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I8" i="12"/>
  <c r="C9" i="12"/>
  <c r="D9" i="12"/>
  <c r="E9" i="12"/>
  <c r="H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7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7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<sst xmlns="http://schemas.openxmlformats.org/spreadsheetml/2006/main" count="790" uniqueCount="146">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</sst>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0.0422329763387297</c:v>
                </c:pt>
                <c:pt idx="2" formatCode="0.00%">
                  <c:v>0.0422329763387297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0.0202651482721046</c:v>
                </c:pt>
                <c:pt idx="2" formatCode="0.00%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0.161172084760274</c:v>
                </c:pt>
                <c:pt idx="2" formatCode="0.00%">
                  <c:v>0.161172084760274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0.0217254113204082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0.00229688065569775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0.00150710870116285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0.00998690456365872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0.0316663868756553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0.251752140854463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0.301534470615547</c:v>
                </c:pt>
                <c:pt idx="2" formatCode="0.0%">
                  <c:v>0.235715712750356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936760"/>
        <c:axId val="1817940056"/>
      </c:barChart>
      <c:catAx>
        <c:axId val="181793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94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94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93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0.146884157568528</c:v>
                </c:pt>
                <c:pt idx="2">
                  <c:v>0.146884157568528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0.0110163118176396</c:v>
                </c:pt>
                <c:pt idx="2">
                  <c:v>0.0106992051186074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0.000473421628197475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0.000473421628197475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0.00145224449573403</c:v>
                </c:pt>
                <c:pt idx="2">
                  <c:v>0.00151494921023192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0.675667124815228</c:v>
                </c:pt>
                <c:pt idx="2">
                  <c:v>0.675667124815228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0.304968232151656</c:v>
                </c:pt>
                <c:pt idx="2">
                  <c:v>0.304968232151656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687256"/>
        <c:axId val="1829690280"/>
      </c:barChart>
      <c:catAx>
        <c:axId val="182968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9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69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8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038520"/>
        <c:axId val="1829035384"/>
      </c:barChart>
      <c:catAx>
        <c:axId val="182903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03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03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03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0.164560271942822</c:v>
                </c:pt>
                <c:pt idx="2">
                  <c:v>0.0822801359714111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0.00822801359714111</c:v>
                </c:pt>
                <c:pt idx="2">
                  <c:v>0.00822801359714111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0.00061012812690665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0.0522443998954066</c:v>
                </c:pt>
                <c:pt idx="2">
                  <c:v>0.0522443998954066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0.735173014904558</c:v>
                </c:pt>
                <c:pt idx="2">
                  <c:v>0.735173014904558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8894808"/>
        <c:axId val="1828891672"/>
      </c:barChart>
      <c:catAx>
        <c:axId val="182889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91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89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89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2907.225327191753</c:v>
                </c:pt>
                <c:pt idx="4">
                  <c:v>3953.244196162453</c:v>
                </c:pt>
                <c:pt idx="5">
                  <c:v>3496.761058692312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229.6069496948716</c:v>
                </c:pt>
                <c:pt idx="5">
                  <c:v>216.9809812699401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440.1866135633685</c:v>
                </c:pt>
                <c:pt idx="4">
                  <c:v>951.8403511948084</c:v>
                </c:pt>
                <c:pt idx="5">
                  <c:v>1332.847683884597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3115.2</c:v>
                </c:pt>
                <c:pt idx="4">
                  <c:v>9345.6</c:v>
                </c:pt>
                <c:pt idx="5">
                  <c:v>13889.30753960827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1959.438290687047</c:v>
                </c:pt>
                <c:pt idx="4">
                  <c:v>1350.899583890139</c:v>
                </c:pt>
                <c:pt idx="5">
                  <c:v>226.7464252128458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59552.91428571428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25303.92</c:v>
                </c:pt>
                <c:pt idx="4">
                  <c:v>25466.76</c:v>
                </c:pt>
                <c:pt idx="5">
                  <c:v>26879.72571428572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768520"/>
        <c:axId val="18287651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768520"/>
        <c:axId val="1828765128"/>
      </c:lineChart>
      <c:catAx>
        <c:axId val="182876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876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876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876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233784"/>
        <c:axId val="18302370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33784"/>
        <c:axId val="1830237016"/>
      </c:lineChart>
      <c:catAx>
        <c:axId val="18302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3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23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3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323608"/>
        <c:axId val="18303268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23608"/>
        <c:axId val="1830326888"/>
      </c:lineChart>
      <c:catAx>
        <c:axId val="1830323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2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2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32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0.430289468345739</c:v>
                </c:pt>
                <c:pt idx="2">
                  <c:v>0.430289468345739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0.0636213617426126</c:v>
                </c:pt>
                <c:pt idx="2">
                  <c:v>0.0872162360921392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0.107493577579285</c:v>
                </c:pt>
                <c:pt idx="2">
                  <c:v>0.0840299459078842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-0.366668106603126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391864"/>
        <c:axId val="1830395240"/>
      </c:barChart>
      <c:catAx>
        <c:axId val="183039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9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39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391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0.0692475323938297</c:v>
                </c:pt>
                <c:pt idx="2">
                  <c:v>0.0377357058457402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0.100829853997562</c:v>
                </c:pt>
                <c:pt idx="2">
                  <c:v>0.100829853997562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0.371433313451415</c:v>
                </c:pt>
                <c:pt idx="2">
                  <c:v>0.371433313451415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0.144832637765092</c:v>
                </c:pt>
                <c:pt idx="2">
                  <c:v>0.176129252775208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0.0692475323938297</c:v>
                </c:pt>
                <c:pt idx="2">
                  <c:v>0.0377357058457402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453720"/>
        <c:axId val="1830457128"/>
      </c:barChart>
      <c:catAx>
        <c:axId val="183045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5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45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45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508968"/>
        <c:axId val="1830512472"/>
      </c:barChart>
      <c:catAx>
        <c:axId val="183050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1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51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0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0.629918385067062</c:v>
                </c:pt>
                <c:pt idx="2">
                  <c:v>0.629918385067062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0.503685728939737</c:v>
                </c:pt>
                <c:pt idx="2">
                  <c:v>0.420795464841419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0.143994070387423</c:v>
                </c:pt>
                <c:pt idx="2">
                  <c:v>0.17530147983324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-0.53408950482776</c:v>
                </c:pt>
                <c:pt idx="2">
                  <c:v>-0.288595519819581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569928"/>
        <c:axId val="1830573304"/>
      </c:barChart>
      <c:catAx>
        <c:axId val="183056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7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57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56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0.110518000978474</c:v>
                </c:pt>
                <c:pt idx="2" formatCode="0.0%">
                  <c:v>0.110518000978474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0.00597519956575345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0.000874669238774304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0.0111145979516651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0.0148882386843813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0.0990697024823209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0.214487673548392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0.400753576109851</c:v>
                </c:pt>
                <c:pt idx="2" formatCode="0.0%">
                  <c:v>0.218386396481289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225656"/>
        <c:axId val="1819228968"/>
      </c:barChart>
      <c:catAx>
        <c:axId val="181922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22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22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749544"/>
        <c:axId val="18307529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749544"/>
        <c:axId val="18307529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49544"/>
        <c:axId val="1830752968"/>
      </c:scatterChart>
      <c:catAx>
        <c:axId val="1830749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752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0752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7495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115000"/>
        <c:axId val="18301116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115000"/>
        <c:axId val="1830111608"/>
      </c:lineChart>
      <c:catAx>
        <c:axId val="18301150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111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0111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01150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34392"/>
        <c:axId val="18299310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27432"/>
        <c:axId val="1829924536"/>
      </c:scatterChart>
      <c:valAx>
        <c:axId val="18299343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31048"/>
        <c:crosses val="autoZero"/>
        <c:crossBetween val="midCat"/>
      </c:valAx>
      <c:valAx>
        <c:axId val="1829931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34392"/>
        <c:crosses val="autoZero"/>
        <c:crossBetween val="midCat"/>
      </c:valAx>
      <c:valAx>
        <c:axId val="18299274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29924536"/>
        <c:crosses val="autoZero"/>
        <c:crossBetween val="midCat"/>
      </c:valAx>
      <c:valAx>
        <c:axId val="18299245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9274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4200"/>
        <c:axId val="18298384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844200"/>
        <c:axId val="1829838440"/>
      </c:lineChart>
      <c:catAx>
        <c:axId val="182984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38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9838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2984420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539944"/>
        <c:axId val="1818536584"/>
      </c:barChart>
      <c:catAx>
        <c:axId val="18185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53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53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53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>
                  <c:v>0.0101325741360523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0.116043901027397</c:v>
                </c:pt>
                <c:pt idx="2">
                  <c:v>0.116043901027397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0.00139724758781201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0.0105869548089105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0.325421116289768</c:v>
                </c:pt>
                <c:pt idx="2">
                  <c:v>0.396174669561698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408888"/>
        <c:axId val="1818405528"/>
      </c:barChart>
      <c:catAx>
        <c:axId val="181840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4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40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40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0.0287184239103362</c:v>
                </c:pt>
                <c:pt idx="1">
                  <c:v>0.0287184239103362</c:v>
                </c:pt>
                <c:pt idx="2">
                  <c:v>0.0557475287671233</c:v>
                </c:pt>
                <c:pt idx="3">
                  <c:v>0.0557475287671233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0.0711615678859812</c:v>
                </c:pt>
                <c:pt idx="1">
                  <c:v>0.0620677782628054</c:v>
                </c:pt>
                <c:pt idx="2">
                  <c:v>0.000103987184546628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0.344077747529801</c:v>
                </c:pt>
                <c:pt idx="1">
                  <c:v>0.300107796571643</c:v>
                </c:pt>
                <c:pt idx="2">
                  <c:v>0.000502794939651885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0.0463804299758429</c:v>
                </c:pt>
                <c:pt idx="1">
                  <c:v>0.0404534403751003</c:v>
                </c:pt>
                <c:pt idx="2">
                  <c:v>6.77749306897957E-5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0.00160007848827263</c:v>
                </c:pt>
                <c:pt idx="1">
                  <c:v>0.00139560326962323</c:v>
                </c:pt>
                <c:pt idx="2">
                  <c:v>2.33816738433442E-6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0.00918752262279102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0.00602843480465139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0.251752140854463</c:v>
                </c:pt>
                <c:pt idx="1">
                  <c:v>0.251752140854463</c:v>
                </c:pt>
                <c:pt idx="2">
                  <c:v>0.251752140854463</c:v>
                </c:pt>
                <c:pt idx="3">
                  <c:v>0.251752140854463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0.43252587655882</c:v>
                </c:pt>
                <c:pt idx="3">
                  <c:v>0.510336974442604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314232"/>
        <c:axId val="1818310840"/>
      </c:barChart>
      <c:catAx>
        <c:axId val="1818314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1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831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314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0.113197935743985</c:v>
                </c:pt>
                <c:pt idx="1">
                  <c:v>0.0201353975893481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0.394077901559421</c:v>
                </c:pt>
                <c:pt idx="1">
                  <c:v>0.0700977025501681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0.093787758477634</c:v>
                </c:pt>
                <c:pt idx="1">
                  <c:v>0.0166827583343211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0.0127263625072896</c:v>
                </c:pt>
                <c:pt idx="1">
                  <c:v>0.00226373711911142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0.504610362695381</c:v>
                </c:pt>
                <c:pt idx="2">
                  <c:v>0.591951990106512</c:v>
                </c:pt>
                <c:pt idx="3">
                  <c:v>0.556407531046736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142488"/>
        <c:axId val="1829145864"/>
      </c:barChart>
      <c:catAx>
        <c:axId val="1829142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458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14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14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0.0437614078633695</c:v>
                </c:pt>
                <c:pt idx="1">
                  <c:v>0.0437614078633695</c:v>
                </c:pt>
                <c:pt idx="2">
                  <c:v>0.0849486152641878</c:v>
                </c:pt>
                <c:pt idx="3">
                  <c:v>0.0849486152641878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0.104074395790143</c:v>
                </c:pt>
                <c:pt idx="1">
                  <c:v>0.0292589375431901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0.345062825273073</c:v>
                </c:pt>
                <c:pt idx="1">
                  <c:v>0.0970091786408215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0.0394188078508426</c:v>
                </c:pt>
                <c:pt idx="1">
                  <c:v>0.0110819998346226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0.0160135348362192</c:v>
                </c:pt>
                <c:pt idx="3">
                  <c:v>0.00788726342679455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0.00349867695509722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0.0130752130303388</c:v>
                </c:pt>
                <c:pt idx="1">
                  <c:v>0.00784690615387555</c:v>
                </c:pt>
                <c:pt idx="2">
                  <c:v>0.0104610595921072</c:v>
                </c:pt>
                <c:pt idx="3">
                  <c:v>0.0130752130303388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0.214487673548392</c:v>
                </c:pt>
                <c:pt idx="1">
                  <c:v>0.214487673548392</c:v>
                </c:pt>
                <c:pt idx="2">
                  <c:v>0.214487673548392</c:v>
                </c:pt>
                <c:pt idx="3">
                  <c:v>0.214487673548392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0.145795792445789</c:v>
                </c:pt>
                <c:pt idx="2">
                  <c:v>0.438964992508065</c:v>
                </c:pt>
                <c:pt idx="3">
                  <c:v>0.348337755708826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252856"/>
        <c:axId val="1829256232"/>
      </c:barChart>
      <c:catAx>
        <c:axId val="1829252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56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25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252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358712"/>
        <c:axId val="1829362088"/>
      </c:barChart>
      <c:catAx>
        <c:axId val="182935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36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936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35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0.0198867094237161</c:v>
                </c:pt>
                <c:pt idx="2">
                  <c:v>0.0198867094237161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0.00327700014044286</c:v>
                </c:pt>
                <c:pt idx="2">
                  <c:v>0.00349573793731846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0.000939352482757739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0.000939352482757739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0.028060484059735</c:v>
                </c:pt>
                <c:pt idx="2">
                  <c:v>0.028060484059735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0.596104114975891</c:v>
                </c:pt>
                <c:pt idx="2">
                  <c:v>0.596104114975891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542184"/>
        <c:axId val="1829545240"/>
      </c:barChart>
      <c:catAx>
        <c:axId val="182954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4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54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42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1.8770211706102116E-2</v>
      </c>
      <c r="J6" s="24">
        <f t="shared" ref="J6:J13" si="3">IF(I$32&lt;=1+I$131,I6,B6*H6+J$33*(I6-B6*H6))</f>
        <v>1.8770211706102116E-2</v>
      </c>
      <c r="K6" s="22">
        <f t="shared" ref="K6:K31" si="4">B6</f>
        <v>3.7540423412204232E-2</v>
      </c>
      <c r="L6" s="22">
        <f t="shared" ref="L6:L29" si="5">IF(K6="","",K6*H6)</f>
        <v>1.8770211706102116E-2</v>
      </c>
      <c r="M6" s="262">
        <f t="shared" ref="M6:M31" si="6">J6</f>
        <v>1.8770211706102116E-2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7.5080846824408465E-2</v>
      </c>
      <c r="Z6" s="156">
        <f>Poor!Z6</f>
        <v>0.17</v>
      </c>
      <c r="AA6" s="121">
        <f>$M6*Z6*4</f>
        <v>1.276374396014944E-2</v>
      </c>
      <c r="AB6" s="156">
        <f>Poor!AB6</f>
        <v>0.17</v>
      </c>
      <c r="AC6" s="121">
        <f t="shared" ref="AC6:AC29" si="7">$M6*AB6*4</f>
        <v>1.276374396014944E-2</v>
      </c>
      <c r="AD6" s="156">
        <f>Poor!AD6</f>
        <v>0.33</v>
      </c>
      <c r="AE6" s="121">
        <f t="shared" ref="AE6:AE29" si="8">$M6*AD6*4</f>
        <v>2.4776679452054796E-2</v>
      </c>
      <c r="AF6" s="122">
        <f>1-SUM(Z6,AB6,AD6)</f>
        <v>0.32999999999999996</v>
      </c>
      <c r="AG6" s="121">
        <f>$M6*AF6*4</f>
        <v>2.4776679452054789E-2</v>
      </c>
      <c r="AH6" s="123">
        <f>SUM(Z6,AB6,AD6,AF6)</f>
        <v>1</v>
      </c>
      <c r="AI6" s="184">
        <f>SUM(AA6,AC6,AE6,AG6)/4</f>
        <v>1.8770211706102116E-2</v>
      </c>
      <c r="AJ6" s="120">
        <f>(AA6+AC6)/2</f>
        <v>1.276374396014944E-2</v>
      </c>
      <c r="AK6" s="119">
        <f>(AE6+AG6)/2</f>
        <v>2.4776679452054792E-2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1.0132574136052305E-2</v>
      </c>
      <c r="J7" s="24">
        <f t="shared" si="3"/>
        <v>1.0132574136052305E-2</v>
      </c>
      <c r="K7" s="22">
        <f t="shared" si="4"/>
        <v>2.026514827210461E-2</v>
      </c>
      <c r="L7" s="22">
        <f t="shared" si="5"/>
        <v>1.0132574136052305E-2</v>
      </c>
      <c r="M7" s="262">
        <f t="shared" si="6"/>
        <v>1.0132574136052305E-2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2906.1977864683213</v>
      </c>
      <c r="T7" s="225">
        <f>IF($B$81=0,0,(SUMIF($N$6:$N$28,$U7,M$6:M$28)+SUMIF($N$91:$N$118,$U7,M$91:M$118))*$I$83*Poor!$B$81/$B$81)</f>
        <v>2907.2253271917534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4.053029654420922E-2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4.053029654420922E-2</v>
      </c>
      <c r="AH7" s="123">
        <f t="shared" ref="AH7:AH30" si="12">SUM(Z7,AB7,AD7,AF7)</f>
        <v>1</v>
      </c>
      <c r="AI7" s="184">
        <f t="shared" ref="AI7:AI30" si="13">SUM(AA7,AC7,AE7,AG7)/4</f>
        <v>1.0132574136052305E-2</v>
      </c>
      <c r="AJ7" s="120">
        <f t="shared" ref="AJ7:AJ31" si="14">(AA7+AC7)/2</f>
        <v>0</v>
      </c>
      <c r="AK7" s="119">
        <f t="shared" ref="AK7:AK31" si="15">(AE7+AG7)/2</f>
        <v>2.026514827210461E-2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21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0.84898451807988917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0.11319793574398522</v>
      </c>
      <c r="AB8" s="125">
        <f>IF($Y8=0,0,AC8/$Y8)</f>
        <v>0.15101548192011083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2.0135397589348111E-2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0.11604390102739726</v>
      </c>
      <c r="J9" s="24">
        <f t="shared" si="3"/>
        <v>0.11604390102739726</v>
      </c>
      <c r="K9" s="22">
        <f t="shared" si="4"/>
        <v>0.10646229452054794</v>
      </c>
      <c r="L9" s="22">
        <f t="shared" si="5"/>
        <v>0.11604390102739726</v>
      </c>
      <c r="M9" s="263">
        <f t="shared" si="6"/>
        <v>0.11604390102739726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440.1866135633685</v>
      </c>
      <c r="T9" s="225">
        <f>IF($B$81=0,0,(SUMIF($N$6:$N$28,$U9,M$6:M$28)+SUMIF($N$91:$N$118,$U9,M$91:M$118))*$I$83*Poor!$B$81/$B$81)</f>
        <v>440.1866135633685</v>
      </c>
      <c r="U9" s="226">
        <v>3</v>
      </c>
      <c r="V9" s="56"/>
      <c r="W9" s="115"/>
      <c r="X9" s="118">
        <f>Poor!X9</f>
        <v>1</v>
      </c>
      <c r="Y9" s="184">
        <f t="shared" si="9"/>
        <v>0.46417560410958902</v>
      </c>
      <c r="Z9" s="125">
        <f>IF($Y9=0,0,AA9/$Y9)</f>
        <v>0.84898451807988928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0.39407790155942091</v>
      </c>
      <c r="AB9" s="125">
        <f>IF($Y9=0,0,AC9/$Y9)</f>
        <v>0.15101548192011072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7.0097702550168117E-2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0.11604390102739726</v>
      </c>
      <c r="AJ9" s="120">
        <f t="shared" si="14"/>
        <v>0.23208780205479451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3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0.84898451807988917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9.3787758477634042E-2</v>
      </c>
      <c r="AB10" s="125">
        <f>IF($Y10=0,0,AC10/$Y10)</f>
        <v>0.15101548192011086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1.6682758334321118E-2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3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5947.2</v>
      </c>
      <c r="T11" s="225">
        <f>IF($B$81=0,0,(SUMIF($N$6:$N$28,$U11,M$6:M$28)+SUMIF($N$91:$N$118,$U11,M$91:M$118))*$I$83*Poor!$B$81/$B$81)</f>
        <v>3115.2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0.84898451807988917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1.2726362507289576E-2</v>
      </c>
      <c r="AB11" s="125">
        <f>IF($Y11=0,0,AC11/$Y11)</f>
        <v>0.15101548192011086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2.2637371191114204E-3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3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1948.6261084479504</v>
      </c>
      <c r="T12" s="225">
        <f>IF($B$81=0,0,(SUMIF($N$6:$N$28,$U12,M$6:M$28)+SUMIF($N$91:$N$118,$U12,M$91:M$118))*$I$83*Poor!$B$81/$B$81)</f>
        <v>1959.4382906870467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1.3972475878120103E-3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4">
        <f t="shared" ref="M16:M25" si="23">J16</f>
        <v>1.3972475878120103E-3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4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25303.919999999998</v>
      </c>
      <c r="T17" s="225">
        <f>IF($B$81=0,0,(SUMIF($N$6:$N$28,$U17,M$6:M$28)+SUMIF($N$91:$N$118,$U17,M$91:M$118))*$I$83*Poor!$B$81/$B$81)</f>
        <v>25303.919999999998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1.0586954808910547E-2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1.0586954808910547E-2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44780.685063691926</v>
      </c>
      <c r="T23" s="179">
        <f>SUM(T7:T22)</f>
        <v>41939.524786654452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0.95098172813598714</v>
      </c>
      <c r="J30" s="234">
        <f>IF(I$32&lt;=1,I30,1-SUM(J6:J29))</f>
        <v>0.39617466956169856</v>
      </c>
      <c r="K30" s="22">
        <f t="shared" si="4"/>
        <v>0.58637945846824402</v>
      </c>
      <c r="L30" s="22">
        <f>IF(L124=L119,0,IF(K30="",0,(L119-L124)/(B119-B124)*K30))</f>
        <v>0.32542111628976811</v>
      </c>
      <c r="M30" s="23">
        <f t="shared" si="6"/>
        <v>0.39617466956169856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1.5846986782467942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0.31842669500655385</v>
      </c>
      <c r="AC30" s="188">
        <f>IF(AC79*4/$I$83+SUM(AC6:AC29)&lt;1,AC79*4/$I$83,1-SUM(AC6:AC29))</f>
        <v>0.50461036269538095</v>
      </c>
      <c r="AD30" s="122">
        <f>IF($Y30=0,0,AE30/($Y$30))</f>
        <v>0.37354230064822674</v>
      </c>
      <c r="AE30" s="188">
        <f>IF(AE79*4/$I$83+SUM(AE6:AE29)&lt;1,AE79*4/$I$83,1-SUM(AE6:AE29))</f>
        <v>0.59195199010651156</v>
      </c>
      <c r="AF30" s="122">
        <f>IF($Y30=0,0,AG30/($Y$30))</f>
        <v>0.35111251033685986</v>
      </c>
      <c r="AG30" s="188">
        <f>IF(AG79*4/$I$83+SUM(AG6:AG29)&lt;1,AG79*4/$I$83,1-SUM(AG6:AG29))</f>
        <v>0.55640753104673568</v>
      </c>
      <c r="AH30" s="123">
        <f t="shared" si="12"/>
        <v>1.0430815059916405</v>
      </c>
      <c r="AI30" s="184">
        <f t="shared" si="13"/>
        <v>0.41324247096215705</v>
      </c>
      <c r="AJ30" s="120">
        <f t="shared" si="14"/>
        <v>0.25230518134769048</v>
      </c>
      <c r="AK30" s="119">
        <f t="shared" si="15"/>
        <v>0.57417976057662368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9.4163099660463212E-2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7092.0089196326808</v>
      </c>
      <c r="T31" s="237">
        <f>IF(T25&gt;T$23,T25-T$23,0)</f>
        <v>9933.1691966701546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1.5567335815822982</v>
      </c>
      <c r="J32" s="17"/>
      <c r="L32" s="22">
        <f>SUM(L6:L30)</f>
        <v>0.90583690033953679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39829.928919632686</v>
      </c>
      <c r="T32" s="237">
        <f t="shared" si="24"/>
        <v>42671.08919667016</v>
      </c>
      <c r="U32" s="56"/>
      <c r="V32" s="56"/>
      <c r="W32" s="110"/>
      <c r="X32" s="118"/>
      <c r="Y32" s="115">
        <f>SUM(Y6:Y31)</f>
        <v>3.9317287943981665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0.28750812875910803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9933.1691966701637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2831.9999999999995</v>
      </c>
      <c r="K37" s="40">
        <f>(B37/B$65)</f>
        <v>0.1743223219733287</v>
      </c>
      <c r="L37" s="22">
        <f t="shared" ref="L37" si="28">(K37*H37)</f>
        <v>0.16456027194282227</v>
      </c>
      <c r="M37" s="24">
        <f>J37/B$65</f>
        <v>8.2280135971411122E-2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2831.9999999999995</v>
      </c>
      <c r="AH37" s="123">
        <f>SUM(Z37,AB37,AD37,AF37)</f>
        <v>1</v>
      </c>
      <c r="AI37" s="112">
        <f>SUM(AA37,AC37,AE37,AG37)</f>
        <v>2831.9999999999995</v>
      </c>
      <c r="AJ37" s="148">
        <f>(AA37+AC37)</f>
        <v>0</v>
      </c>
      <c r="AK37" s="147">
        <f>(AE37+AG37)</f>
        <v>2831.9999999999995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283.2</v>
      </c>
      <c r="J38" s="38">
        <f t="shared" ref="J38:J64" si="32">J92*I$83</f>
        <v>283.2</v>
      </c>
      <c r="K38" s="40">
        <f t="shared" ref="K38:K64" si="33">(B38/B$65)</f>
        <v>8.7161160986664338E-3</v>
      </c>
      <c r="L38" s="22">
        <f t="shared" ref="L38:L64" si="34">(K38*H38)</f>
        <v>8.2280135971411136E-3</v>
      </c>
      <c r="M38" s="24">
        <f t="shared" ref="M38:M64" si="35">J38/B$65</f>
        <v>8.2280135971411136E-3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283.2</v>
      </c>
      <c r="AH38" s="123">
        <f t="shared" ref="AH38:AI58" si="37">SUM(Z38,AB38,AD38,AF38)</f>
        <v>1</v>
      </c>
      <c r="AI38" s="112">
        <f t="shared" si="37"/>
        <v>283.2</v>
      </c>
      <c r="AJ38" s="148">
        <f t="shared" ref="AJ38:AJ64" si="38">(AA38+AC38)</f>
        <v>0</v>
      </c>
      <c r="AK38" s="147">
        <f t="shared" ref="AK38:AK64" si="39">(AE38+AG38)</f>
        <v>283.2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0.84898451807988917</v>
      </c>
      <c r="AA39" s="147">
        <f t="shared" ref="AA39:AA64" si="40">$J39*Z39</f>
        <v>0</v>
      </c>
      <c r="AB39" s="122">
        <f>AB8</f>
        <v>0.15101548192011083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0.84898451807988928</v>
      </c>
      <c r="AA40" s="147">
        <f t="shared" si="40"/>
        <v>0</v>
      </c>
      <c r="AB40" s="122">
        <f>AB9</f>
        <v>0.15101548192011072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0.84898451807988917</v>
      </c>
      <c r="AA41" s="147">
        <f t="shared" si="40"/>
        <v>0</v>
      </c>
      <c r="AB41" s="122">
        <f>AB11</f>
        <v>0.15101548192011086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6.1012812690665037E-4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1798.2</v>
      </c>
      <c r="J44" s="38">
        <f t="shared" si="32"/>
        <v>1798.2</v>
      </c>
      <c r="K44" s="40">
        <f t="shared" si="33"/>
        <v>4.7067026932798746E-2</v>
      </c>
      <c r="L44" s="22">
        <f t="shared" si="34"/>
        <v>5.2244399895406614E-2</v>
      </c>
      <c r="M44" s="24">
        <f t="shared" si="35"/>
        <v>5.2244399895406607E-2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449.55</v>
      </c>
      <c r="AB44" s="156">
        <f>Poor!AB44</f>
        <v>0.25</v>
      </c>
      <c r="AC44" s="147">
        <f t="shared" si="41"/>
        <v>449.55</v>
      </c>
      <c r="AD44" s="156">
        <f>Poor!AD44</f>
        <v>0.25</v>
      </c>
      <c r="AE44" s="147">
        <f t="shared" si="42"/>
        <v>449.55</v>
      </c>
      <c r="AF44" s="122">
        <f t="shared" si="29"/>
        <v>0.25</v>
      </c>
      <c r="AG44" s="147">
        <f t="shared" si="36"/>
        <v>449.55</v>
      </c>
      <c r="AH44" s="123">
        <f t="shared" si="37"/>
        <v>1</v>
      </c>
      <c r="AI44" s="112">
        <f t="shared" si="37"/>
        <v>1798.2</v>
      </c>
      <c r="AJ44" s="148">
        <f t="shared" si="38"/>
        <v>899.1</v>
      </c>
      <c r="AK44" s="147">
        <f t="shared" si="39"/>
        <v>899.1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25303.919999999998</v>
      </c>
      <c r="J47" s="38">
        <f t="shared" si="32"/>
        <v>25303.919999999998</v>
      </c>
      <c r="K47" s="40">
        <f t="shared" si="33"/>
        <v>0.62302797873267668</v>
      </c>
      <c r="L47" s="22">
        <f t="shared" si="34"/>
        <v>0.73517301490455844</v>
      </c>
      <c r="M47" s="24">
        <f t="shared" si="35"/>
        <v>0.73517301490455844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6325.98</v>
      </c>
      <c r="AB47" s="156">
        <f>Poor!AB47</f>
        <v>0.25</v>
      </c>
      <c r="AC47" s="147">
        <f t="shared" si="41"/>
        <v>6325.98</v>
      </c>
      <c r="AD47" s="156">
        <f>Poor!AD47</f>
        <v>0.25</v>
      </c>
      <c r="AE47" s="147">
        <f t="shared" si="42"/>
        <v>6325.98</v>
      </c>
      <c r="AF47" s="122">
        <f t="shared" si="29"/>
        <v>0.25</v>
      </c>
      <c r="AG47" s="147">
        <f t="shared" si="36"/>
        <v>6325.98</v>
      </c>
      <c r="AH47" s="123">
        <f t="shared" si="37"/>
        <v>1</v>
      </c>
      <c r="AI47" s="112">
        <f t="shared" si="37"/>
        <v>25303.919999999998</v>
      </c>
      <c r="AJ47" s="148">
        <f t="shared" si="38"/>
        <v>12651.96</v>
      </c>
      <c r="AK47" s="147">
        <f t="shared" si="39"/>
        <v>12651.96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36164.519999999997</v>
      </c>
      <c r="J65" s="39">
        <f>SUM(J37:J64)</f>
        <v>36164.520000000004</v>
      </c>
      <c r="K65" s="40">
        <f>SUM(K37:K64)</f>
        <v>1</v>
      </c>
      <c r="L65" s="22">
        <f>SUM(L37:L64)</f>
        <v>1.1336041140067985</v>
      </c>
      <c r="M65" s="24">
        <f>SUM(M37:M64)</f>
        <v>1.0507138499084807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8262.33</v>
      </c>
      <c r="AB65" s="137"/>
      <c r="AC65" s="153">
        <f>SUM(AC37:AC64)</f>
        <v>8262.33</v>
      </c>
      <c r="AD65" s="137"/>
      <c r="AE65" s="153">
        <f>SUM(AE37:AE64)</f>
        <v>8262.33</v>
      </c>
      <c r="AF65" s="137"/>
      <c r="AG65" s="153">
        <f>SUM(AG37:AG64)</f>
        <v>11377.529999999999</v>
      </c>
      <c r="AH65" s="137"/>
      <c r="AI65" s="153">
        <f>SUM(AI37:AI64)</f>
        <v>36164.520000000004</v>
      </c>
      <c r="AJ65" s="153">
        <f>SUM(AJ37:AJ64)</f>
        <v>16524.66</v>
      </c>
      <c r="AK65" s="153">
        <f>SUM(AK37:AK64)</f>
        <v>19639.86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6" si="44">J124*I$83</f>
        <v>21681.160895623198</v>
      </c>
      <c r="K70" s="40">
        <f>B70/B$76</f>
        <v>0.44994170361932984</v>
      </c>
      <c r="L70" s="22">
        <f t="shared" ref="L70:L74" si="45">(L124*G$37*F$9/F$7)/B$130</f>
        <v>0.62991838506706177</v>
      </c>
      <c r="M70" s="24">
        <f>J70/B$76</f>
        <v>0.62991838506706177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5420.2902239057994</v>
      </c>
      <c r="AB70" s="156">
        <f>Poor!AB70</f>
        <v>0.25</v>
      </c>
      <c r="AC70" s="147">
        <f>$J70*AB70</f>
        <v>5420.2902239057994</v>
      </c>
      <c r="AD70" s="156">
        <f>Poor!AD70</f>
        <v>0.25</v>
      </c>
      <c r="AE70" s="147">
        <f>$J70*AD70</f>
        <v>5420.2902239057994</v>
      </c>
      <c r="AF70" s="156">
        <f>Poor!AF70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14483.359104376801</v>
      </c>
      <c r="J71" s="51">
        <f t="shared" si="44"/>
        <v>14483.359104376801</v>
      </c>
      <c r="K71" s="40">
        <f t="shared" ref="K71:K72" si="47">B71/B$76</f>
        <v>0.45261822443030503</v>
      </c>
      <c r="L71" s="22">
        <f t="shared" si="45"/>
        <v>0.50368572893973673</v>
      </c>
      <c r="M71" s="24">
        <f t="shared" ref="M71:M72" si="48">J71/B$76</f>
        <v>0.420795464841419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14483.359104376801</v>
      </c>
      <c r="J74" s="51">
        <f t="shared" si="44"/>
        <v>6033.7016343802889</v>
      </c>
      <c r="K74" s="40">
        <f>B74/B$76</f>
        <v>0.15725109625986769</v>
      </c>
      <c r="L74" s="22">
        <f t="shared" si="45"/>
        <v>0.14399407038742293</v>
      </c>
      <c r="M74" s="24">
        <f>J74/B$76</f>
        <v>0.17530147983324004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1921.2916700913577</v>
      </c>
      <c r="AD74" s="156"/>
      <c r="AE74" s="147">
        <f>AE30*$I$83/4</f>
        <v>2253.8427899313792</v>
      </c>
      <c r="AF74" s="156"/>
      <c r="AG74" s="147">
        <f>AG30*$I$83/4</f>
        <v>2118.5081274708773</v>
      </c>
      <c r="AH74" s="155"/>
      <c r="AI74" s="147">
        <f>SUM(AA74,AC74,AE74,AG74)</f>
        <v>6293.642587493614</v>
      </c>
      <c r="AJ74" s="148">
        <f>(AA74+AC74)</f>
        <v>1921.2916700913577</v>
      </c>
      <c r="AK74" s="147">
        <f>(AE74+AG74)</f>
        <v>4372.3509174022565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6680.7714247175227</v>
      </c>
      <c r="AB75" s="158"/>
      <c r="AC75" s="149">
        <f>AA75+AC65-SUM(AC70,AC74)</f>
        <v>7601.5195307203658</v>
      </c>
      <c r="AD75" s="158"/>
      <c r="AE75" s="149">
        <f>AC75+AE65-SUM(AE70,AE74)</f>
        <v>8189.716516883188</v>
      </c>
      <c r="AF75" s="158"/>
      <c r="AG75" s="149">
        <f>IF(SUM(AG6:AG29)+((AG65-AG70-$J$75)*4/I$83)&lt;1,0,AG65-AG70-$J$75-(1-SUM(AG6:AG29))*I$83/4)</f>
        <v>3838.7316486233221</v>
      </c>
      <c r="AH75" s="134"/>
      <c r="AI75" s="149">
        <f>AI76-SUM(AI70,AI74)</f>
        <v>8189.7165168831852</v>
      </c>
      <c r="AJ75" s="151">
        <f>AJ76-SUM(AJ70,AJ74)</f>
        <v>3762.7878820970436</v>
      </c>
      <c r="AK75" s="149">
        <f>AJ75+AK76-SUM(AK70,AK74)</f>
        <v>8189.7165168831889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36164.519999999997</v>
      </c>
      <c r="J76" s="51">
        <f t="shared" si="44"/>
        <v>36164.519999999997</v>
      </c>
      <c r="K76" s="40">
        <f>SUM(K70:K75)</f>
        <v>1.9007419055088401</v>
      </c>
      <c r="L76" s="22">
        <f>SUM(L70:L75)</f>
        <v>1.2775981843942215</v>
      </c>
      <c r="M76" s="24">
        <f>SUM(M70:M75)</f>
        <v>1.2260153297417207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8262.33</v>
      </c>
      <c r="AB76" s="137"/>
      <c r="AC76" s="153">
        <f>AC65</f>
        <v>8262.33</v>
      </c>
      <c r="AD76" s="137"/>
      <c r="AE76" s="153">
        <f>AE65</f>
        <v>8262.33</v>
      </c>
      <c r="AF76" s="137"/>
      <c r="AG76" s="153">
        <f>AG65</f>
        <v>11377.529999999999</v>
      </c>
      <c r="AH76" s="137"/>
      <c r="AI76" s="153">
        <f>SUM(AA76,AC76,AE76,AG76)</f>
        <v>36164.519999999997</v>
      </c>
      <c r="AJ76" s="154">
        <f>SUM(AA76,AC76)</f>
        <v>16524.66</v>
      </c>
      <c r="AK76" s="154">
        <f>SUM(AE76,AG76)</f>
        <v>19639.86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18382.826666666671</v>
      </c>
      <c r="J77" s="100">
        <f>J131*I$83</f>
        <v>9933.1691966701637</v>
      </c>
      <c r="K77" s="40"/>
      <c r="L77" s="22">
        <f>-(L131*G$37*F$9/F$7)/B$130</f>
        <v>-0.53408950482776008</v>
      </c>
      <c r="M77" s="24">
        <f>-J77/B$76</f>
        <v>-0.28859551981958115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3838.7316486233221</v>
      </c>
      <c r="AB78" s="112"/>
      <c r="AC78" s="112">
        <f>IF(AA75&lt;0,0,AA75)</f>
        <v>6680.7714247175227</v>
      </c>
      <c r="AD78" s="112"/>
      <c r="AE78" s="112">
        <f>AC75</f>
        <v>7601.5195307203658</v>
      </c>
      <c r="AF78" s="112"/>
      <c r="AG78" s="112">
        <f>AE75</f>
        <v>8189.716516883188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6680.7714247175227</v>
      </c>
      <c r="AB79" s="112"/>
      <c r="AC79" s="112">
        <f>AA79-AA74+AC65-AC70</f>
        <v>9522.8112008117241</v>
      </c>
      <c r="AD79" s="112"/>
      <c r="AE79" s="112">
        <f>AC79-AC74+AE65-AE70</f>
        <v>10443.559306814568</v>
      </c>
      <c r="AF79" s="112"/>
      <c r="AG79" s="112">
        <f>AE79-AE74+AG65-AG70</f>
        <v>14146.956292977389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0.57212121212121214</v>
      </c>
      <c r="I91" s="22">
        <f t="shared" ref="I91:I106" si="54">(D91*H91)</f>
        <v>0.1859499743583137</v>
      </c>
      <c r="J91" s="24">
        <f t="shared" ref="J91:J99" si="55">IF(I$32&lt;=1+I$131,I91,L91+J$33*(I91-L91))</f>
        <v>0.1859499743583137</v>
      </c>
      <c r="K91" s="22">
        <f t="shared" ref="K91:K106" si="56">(B91)</f>
        <v>0.65003698663393561</v>
      </c>
      <c r="L91" s="22">
        <f t="shared" ref="L91:L106" si="57">(K91*H91)</f>
        <v>0.3718999487166274</v>
      </c>
      <c r="M91" s="230">
        <f t="shared" si="49"/>
        <v>0.1859499743583137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0.57212121212121214</v>
      </c>
      <c r="I92" s="22">
        <f t="shared" si="54"/>
        <v>1.859499743583137E-2</v>
      </c>
      <c r="J92" s="24">
        <f t="shared" si="55"/>
        <v>1.859499743583137E-2</v>
      </c>
      <c r="K92" s="22">
        <f t="shared" si="56"/>
        <v>3.250184933169678E-2</v>
      </c>
      <c r="L92" s="22">
        <f t="shared" si="57"/>
        <v>1.859499743583137E-2</v>
      </c>
      <c r="M92" s="230">
        <f t="shared" si="49"/>
        <v>1.859499743583137E-2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1.3788663352841059E-3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0.67272727272727284</v>
      </c>
      <c r="I98" s="22">
        <f t="shared" si="54"/>
        <v>0.11807035448132759</v>
      </c>
      <c r="J98" s="24">
        <f t="shared" si="55"/>
        <v>0.11807035448132759</v>
      </c>
      <c r="K98" s="22">
        <f t="shared" si="56"/>
        <v>0.17550998639116261</v>
      </c>
      <c r="L98" s="22">
        <f t="shared" si="57"/>
        <v>0.11807035448132759</v>
      </c>
      <c r="M98" s="231">
        <f t="shared" si="49"/>
        <v>0.11807035448132759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0.7151515151515152</v>
      </c>
      <c r="I101" s="22">
        <f t="shared" si="54"/>
        <v>1.6614630208915329</v>
      </c>
      <c r="J101" s="24">
        <f>IF(I$32&lt;=1+I131,I101,L101+J$33*(I101-L101))</f>
        <v>1.6614630208915329</v>
      </c>
      <c r="K101" s="22">
        <f t="shared" si="56"/>
        <v>2.3232321902296857</v>
      </c>
      <c r="L101" s="22">
        <f t="shared" si="57"/>
        <v>1.6614630208915329</v>
      </c>
      <c r="M101" s="230">
        <f t="shared" si="49"/>
        <v>1.6614630208915329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2.3745732933194645</v>
      </c>
      <c r="J119" s="24">
        <f>SUM(J91:J118)</f>
        <v>2.3745732933194645</v>
      </c>
      <c r="K119" s="22">
        <f>SUM(K91:K118)</f>
        <v>3.7289371738255719</v>
      </c>
      <c r="L119" s="22">
        <f>SUM(L91:L118)</f>
        <v>2.5619021340130623</v>
      </c>
      <c r="M119" s="57">
        <f t="shared" si="49"/>
        <v>2.3745732933194645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66"/>
        <v>1.4235915651834774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0.95098172813598714</v>
      </c>
      <c r="J125" s="240">
        <f>IF(SUMPRODUCT($B$124:$B125,$H$124:$H125)&lt;J$119,($B125*$H125),IF(SUMPRODUCT($B$124:$B124,$H$124:$H124)&lt;J$119,J$119-SUMPRODUCT($B$124:$B124,$H$124:$H124),0))</f>
        <v>0.95098172813598714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1.1383105688295849</v>
      </c>
      <c r="M125" s="243">
        <f t="shared" si="66"/>
        <v>0.95098172813598714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0.95098172813598714</v>
      </c>
      <c r="J128" s="231">
        <f>(J30)</f>
        <v>0.39617466956169856</v>
      </c>
      <c r="K128" s="29">
        <f>(B128)</f>
        <v>0.58637945846824402</v>
      </c>
      <c r="L128" s="29">
        <f>IF(L124=L119,0,(L119-L124)/(B119-B124)*K128)</f>
        <v>0.32542111628976811</v>
      </c>
      <c r="M128" s="243">
        <f t="shared" si="66"/>
        <v>0.39617466956169856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2.3745732933194645</v>
      </c>
      <c r="J130" s="231">
        <f>(J119)</f>
        <v>2.3745732933194645</v>
      </c>
      <c r="K130" s="29">
        <f>(B130)</f>
        <v>3.7289371738255719</v>
      </c>
      <c r="L130" s="29">
        <f>(L119)</f>
        <v>2.5619021340130623</v>
      </c>
      <c r="M130" s="243">
        <f t="shared" si="66"/>
        <v>2.3745732933194645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1.2070219446680768</v>
      </c>
      <c r="J131" s="240">
        <f>IF(SUMPRODUCT($B124:$B125,$H124:$H125)&gt;(J119-J128),SUMPRODUCT($B124:$B125,$H124:$H125)+J128-J119,0)</f>
        <v>0.65221488609378842</v>
      </c>
      <c r="K131" s="29"/>
      <c r="L131" s="29">
        <f>IF(I131&lt;SUM(L126:L127),0,I131-(SUM(L126:L127)))</f>
        <v>1.2070219446680768</v>
      </c>
      <c r="M131" s="240">
        <f>IF(I131&lt;SUM(M126:M127),0,I131-(SUM(M126:M127)))</f>
        <v>1.2070219446680768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4.2232976338729758E-2</v>
      </c>
      <c r="J6" s="24">
        <f t="shared" ref="J6:J13" si="3">IF(I$32&lt;=1+I$131,I6,B6*H6+J$33*(I6-B6*H6))</f>
        <v>4.2232976338729758E-2</v>
      </c>
      <c r="K6" s="22">
        <f t="shared" ref="K6:K31" si="4">B6</f>
        <v>8.4465952677459516E-2</v>
      </c>
      <c r="L6" s="22">
        <f t="shared" ref="L6:L29" si="5">IF(K6="","",K6*H6)</f>
        <v>4.2232976338729758E-2</v>
      </c>
      <c r="M6" s="258">
        <f t="shared" ref="M6:M31" si="6">J6</f>
        <v>4.2232976338729758E-2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0.16893190535491903</v>
      </c>
      <c r="Z6" s="116">
        <v>0.17</v>
      </c>
      <c r="AA6" s="121">
        <f>$M6*Z6*4</f>
        <v>2.8718423910336237E-2</v>
      </c>
      <c r="AB6" s="116">
        <v>0.17</v>
      </c>
      <c r="AC6" s="121">
        <f t="shared" ref="AC6:AC29" si="7">$M6*AB6*4</f>
        <v>2.8718423910336237E-2</v>
      </c>
      <c r="AD6" s="116">
        <v>0.33</v>
      </c>
      <c r="AE6" s="121">
        <f t="shared" ref="AE6:AE29" si="8">$M6*AD6*4</f>
        <v>5.5747528767123286E-2</v>
      </c>
      <c r="AF6" s="122">
        <f>1-SUM(Z6,AB6,AD6)</f>
        <v>0.32999999999999996</v>
      </c>
      <c r="AG6" s="121">
        <f>$M6*AF6*4</f>
        <v>5.5747528767123272E-2</v>
      </c>
      <c r="AH6" s="123">
        <f>SUM(Z6,AB6,AD6,AF6)</f>
        <v>1</v>
      </c>
      <c r="AI6" s="184">
        <f>SUM(AA6,AC6,AE6,AG6)/4</f>
        <v>4.2232976338729758E-2</v>
      </c>
      <c r="AJ6" s="120">
        <f>(AA6+AC6)/2</f>
        <v>2.8718423910336237E-2</v>
      </c>
      <c r="AK6" s="119">
        <f>(AE6+AG6)/2</f>
        <v>5.5747528767123279E-2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4.053029654420922E-2</v>
      </c>
      <c r="L7" s="22">
        <f t="shared" si="5"/>
        <v>2.026514827210461E-2</v>
      </c>
      <c r="M7" s="258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3958.2326769110027</v>
      </c>
      <c r="T7" s="225">
        <f>IF($B$81=0,0,(SUMIF($N$6:$N$28,$U7,M$6:M$28)+SUMIF($N$91:$N$118,$U7,M$91:M$118))*$I$83*Poor!$B$81/$B$81)</f>
        <v>3953.2441961624527</v>
      </c>
      <c r="U7" s="226">
        <v>1</v>
      </c>
      <c r="V7" s="56"/>
      <c r="W7" s="115"/>
      <c r="X7" s="124"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224</v>
      </c>
      <c r="T8" s="225">
        <f>IF($B$81=0,0,(SUMIF($N$6:$N$28,$U8,M$6:M$28)+SUMIF($N$91:$N$118,$U8,M$91:M$118))*$I$83*Poor!$B$81/$B$81)</f>
        <v>229.60694969487159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0.53371175914485935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7.1161567885981242E-2</v>
      </c>
      <c r="AB8" s="125">
        <f>IF($Y8=0,0,AC8/$Y8)</f>
        <v>0.46550833697104099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6.2067778262805462E-2</v>
      </c>
      <c r="AD8" s="125">
        <f>IF($Y8=0,0,AE8/$Y8)</f>
        <v>7.7990388409970857E-4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1.0398718454662781E-4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6.6614673074393352E-2</v>
      </c>
      <c r="AK8" s="119">
        <f t="shared" si="15"/>
        <v>5.1993592273313904E-5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0.16117208476027395</v>
      </c>
      <c r="J9" s="24">
        <f t="shared" si="3"/>
        <v>0.16117208476027395</v>
      </c>
      <c r="K9" s="22">
        <f t="shared" si="4"/>
        <v>0.14786429794520545</v>
      </c>
      <c r="L9" s="22">
        <f t="shared" si="5"/>
        <v>0.16117208476027395</v>
      </c>
      <c r="M9" s="258">
        <f t="shared" si="6"/>
        <v>0.16117208476027395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951.84035119480836</v>
      </c>
      <c r="T9" s="225">
        <f>IF($B$81=0,0,(SUMIF($N$6:$N$28,$U9,M$6:M$28)+SUMIF($N$91:$N$118,$U9,M$91:M$118))*$I$83*Poor!$B$81/$B$81)</f>
        <v>951.84035119480836</v>
      </c>
      <c r="U9" s="226">
        <v>3</v>
      </c>
      <c r="V9" s="56"/>
      <c r="W9" s="115"/>
      <c r="X9" s="124">
        <v>1</v>
      </c>
      <c r="Y9" s="184">
        <f t="shared" si="9"/>
        <v>0.64468833904109579</v>
      </c>
      <c r="Z9" s="125">
        <f>IF($Y9=0,0,AA9/$Y9)</f>
        <v>0.53371175914485947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0.3440777475298008</v>
      </c>
      <c r="AB9" s="125">
        <f>IF($Y9=0,0,AC9/$Y9)</f>
        <v>0.46550833697104094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0.3001077965716431</v>
      </c>
      <c r="AD9" s="125">
        <f>IF($Y9=0,0,AE9/$Y9)</f>
        <v>7.7990388409962259E-4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5.0279493965188493E-4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0.16117208476027395</v>
      </c>
      <c r="AJ9" s="120">
        <f t="shared" si="14"/>
        <v>0.32209277205072195</v>
      </c>
      <c r="AK9" s="119">
        <f t="shared" si="15"/>
        <v>2.5139746982594247E-4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2.1725411320408238E-2</v>
      </c>
      <c r="K10" s="22">
        <f t="shared" si="4"/>
        <v>2.2094103362391038E-2</v>
      </c>
      <c r="L10" s="22">
        <f t="shared" si="5"/>
        <v>2.2094103362391038E-2</v>
      </c>
      <c r="M10" s="258">
        <f t="shared" si="6"/>
        <v>2.1725411320408238E-2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8.6901645281632953E-2</v>
      </c>
      <c r="Z10" s="125">
        <f>IF($Y10=0,0,AA10/$Y10)</f>
        <v>0.53371175914485935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4.6380429975842893E-2</v>
      </c>
      <c r="AB10" s="125">
        <f>IF($Y10=0,0,AC10/$Y10)</f>
        <v>0.46550833697104094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4.0453440375100264E-2</v>
      </c>
      <c r="AD10" s="125">
        <f>IF($Y10=0,0,AE10/$Y10)</f>
        <v>7.7990388409965132E-4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6.7774930689795676E-5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2.1725411320408238E-2</v>
      </c>
      <c r="AJ10" s="120">
        <f t="shared" si="14"/>
        <v>4.3416935175471578E-2</v>
      </c>
      <c r="AK10" s="119">
        <f t="shared" si="15"/>
        <v>3.3887465344897838E-5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8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9345.6</v>
      </c>
      <c r="T11" s="225">
        <f>IF($B$81=0,0,(SUMIF($N$6:$N$28,$U11,M$6:M$28)+SUMIF($N$91:$N$118,$U11,M$91:M$118))*$I$83*Poor!$B$81/$B$81)</f>
        <v>9345.6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0.53371175914485935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1.6000784882726348E-3</v>
      </c>
      <c r="AB11" s="125">
        <f>IF($Y11=0,0,AC11/$Y11)</f>
        <v>0.46550833697104094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1.3956032696232298E-3</v>
      </c>
      <c r="AD11" s="125">
        <f>IF($Y11=0,0,AE11/$Y11)</f>
        <v>7.799038840997348E-4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2.338167384334424E-6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1.4978408789479323E-3</v>
      </c>
      <c r="AK11" s="119">
        <f t="shared" si="15"/>
        <v>1.169083692167212E-6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8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1349.2261084479505</v>
      </c>
      <c r="T12" s="225">
        <f>IF($B$81=0,0,(SUMIF($N$6:$N$28,$U12,M$6:M$28)+SUMIF($N$91:$N$118,$U12,M$91:M$118))*$I$83*Poor!$B$81/$B$81)</f>
        <v>1350.899583890139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2.296880655697755E-3</v>
      </c>
      <c r="K13" s="22">
        <f t="shared" si="4"/>
        <v>2.2766189290161893E-3</v>
      </c>
      <c r="L13" s="22">
        <f t="shared" si="5"/>
        <v>2.2766189290161893E-3</v>
      </c>
      <c r="M13" s="259">
        <f t="shared" si="6"/>
        <v>2.296880655697755E-3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9.1875226227910202E-3</v>
      </c>
      <c r="Z13" s="116">
        <v>1</v>
      </c>
      <c r="AA13" s="121">
        <f>$M13*Z13*4</f>
        <v>9.1875226227910202E-3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2.296880655697755E-3</v>
      </c>
      <c r="AJ13" s="120">
        <f t="shared" si="14"/>
        <v>4.5937613113955101E-3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59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0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1.507108701162849E-3</v>
      </c>
      <c r="K16" s="22">
        <f t="shared" si="4"/>
        <v>1.4862235367372352E-3</v>
      </c>
      <c r="L16" s="22">
        <f t="shared" si="5"/>
        <v>1.4862235367372352E-3</v>
      </c>
      <c r="M16" s="258">
        <f t="shared" si="6"/>
        <v>1.507108701162849E-3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6.0284348046513959E-3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6.0284348046513959E-3</v>
      </c>
      <c r="AH16" s="123">
        <f t="shared" si="12"/>
        <v>1</v>
      </c>
      <c r="AI16" s="184">
        <f t="shared" si="13"/>
        <v>1.507108701162849E-3</v>
      </c>
      <c r="AJ16" s="120">
        <f t="shared" si="14"/>
        <v>0</v>
      </c>
      <c r="AK16" s="119">
        <f t="shared" si="15"/>
        <v>3.014217402325698E-3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59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25466.76</v>
      </c>
      <c r="T17" s="225">
        <f>IF($B$81=0,0,(SUMIF($N$6:$N$28,$U17,M$6:M$28)+SUMIF($N$91:$N$118,$U17,M$91:M$118))*$I$83*Poor!$B$81/$B$81)</f>
        <v>25466.76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9.9869045636587269E-3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9.9869045636587269E-3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3.9947618254634908E-2</v>
      </c>
      <c r="Z18" s="116">
        <v>1.2941</v>
      </c>
      <c r="AA18" s="121">
        <f t="shared" ref="AA18:AA20" si="25">$M18*Z18*4</f>
        <v>5.1696212783323037E-2</v>
      </c>
      <c r="AB18" s="116">
        <v>1.1765000000000001</v>
      </c>
      <c r="AC18" s="121">
        <f t="shared" ref="AC18:AC20" si="26">$M18*AB18*4</f>
        <v>4.6998372876577973E-2</v>
      </c>
      <c r="AD18" s="116">
        <v>1.2353000000000001</v>
      </c>
      <c r="AE18" s="121">
        <f t="shared" ref="AE18:AE20" si="27">$M18*AD18*4</f>
        <v>4.9347292829950505E-2</v>
      </c>
      <c r="AF18" s="122">
        <f t="shared" ref="AF18:AF20" si="28">1-SUM(Z18,AB18,AD18)</f>
        <v>-2.7059000000000002</v>
      </c>
      <c r="AG18" s="121">
        <f t="shared" ref="AG18:AG20" si="29">$M18*AF18*4</f>
        <v>-0.10809426023521661</v>
      </c>
      <c r="AH18" s="123">
        <f t="shared" ref="AH18:AH20" si="30">SUM(Z18,AB18,AD18,AF18)</f>
        <v>1</v>
      </c>
      <c r="AI18" s="184">
        <f t="shared" ref="AI18:AI20" si="31">SUM(AA18,AC18,AE18,AG18)/4</f>
        <v>9.9869045636587252E-3</v>
      </c>
      <c r="AJ18" s="120">
        <f t="shared" ref="AJ18:AJ20" si="32">(AA18+AC18)/2</f>
        <v>4.9347292829950505E-2</v>
      </c>
      <c r="AK18" s="119">
        <f t="shared" ref="AK18:AK20" si="33">(AE18+AG18)/2</f>
        <v>-2.9373483702633051E-2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54701.213691766039</v>
      </c>
      <c r="T23" s="179">
        <f>SUM(T7:T22)</f>
        <v>54703.50563615455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3.1666386875655352E-2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3.1666386875655352E-2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0.12666554750262141</v>
      </c>
      <c r="Z27" s="116">
        <v>0.25</v>
      </c>
      <c r="AA27" s="121">
        <f t="shared" si="16"/>
        <v>3.1666386875655352E-2</v>
      </c>
      <c r="AB27" s="116">
        <v>0.25</v>
      </c>
      <c r="AC27" s="121">
        <f t="shared" si="7"/>
        <v>3.1666386875655352E-2</v>
      </c>
      <c r="AD27" s="116">
        <v>0.25</v>
      </c>
      <c r="AE27" s="121">
        <f t="shared" si="8"/>
        <v>3.1666386875655352E-2</v>
      </c>
      <c r="AF27" s="122">
        <f t="shared" si="10"/>
        <v>0.25</v>
      </c>
      <c r="AG27" s="121">
        <f t="shared" si="11"/>
        <v>3.1666386875655352E-2</v>
      </c>
      <c r="AH27" s="123">
        <f t="shared" si="12"/>
        <v>1</v>
      </c>
      <c r="AI27" s="184">
        <f t="shared" si="13"/>
        <v>3.1666386875655352E-2</v>
      </c>
      <c r="AJ27" s="120">
        <f t="shared" si="14"/>
        <v>3.1666386875655352E-2</v>
      </c>
      <c r="AK27" s="119">
        <f t="shared" si="15"/>
        <v>3.1666386875655352E-2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0.25175214085446312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0.25175214085446312</v>
      </c>
      <c r="N29" s="232"/>
      <c r="P29" s="22"/>
      <c r="V29" s="56"/>
      <c r="W29" s="110"/>
      <c r="X29" s="118"/>
      <c r="Y29" s="184">
        <f t="shared" si="9"/>
        <v>1.0070085634178525</v>
      </c>
      <c r="Z29" s="116">
        <v>0.25</v>
      </c>
      <c r="AA29" s="121">
        <f t="shared" si="16"/>
        <v>0.25175214085446312</v>
      </c>
      <c r="AB29" s="116">
        <v>0.25</v>
      </c>
      <c r="AC29" s="121">
        <f t="shared" si="7"/>
        <v>0.25175214085446312</v>
      </c>
      <c r="AD29" s="116">
        <v>0.25</v>
      </c>
      <c r="AE29" s="121">
        <f t="shared" si="8"/>
        <v>0.25175214085446312</v>
      </c>
      <c r="AF29" s="122">
        <f t="shared" si="10"/>
        <v>0.25</v>
      </c>
      <c r="AG29" s="121">
        <f t="shared" si="11"/>
        <v>0.25175214085446312</v>
      </c>
      <c r="AH29" s="123">
        <f t="shared" si="12"/>
        <v>1</v>
      </c>
      <c r="AI29" s="184">
        <f t="shared" si="13"/>
        <v>0.25175214085446312</v>
      </c>
      <c r="AJ29" s="120">
        <f t="shared" si="14"/>
        <v>0.25175214085446312</v>
      </c>
      <c r="AK29" s="119">
        <f t="shared" si="15"/>
        <v>0.25175214085446312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1.695296402334415</v>
      </c>
      <c r="J30" s="234">
        <f>IF(I$32&lt;=1,I30,1-SUM(J6:J29))</f>
        <v>0.23571571275035597</v>
      </c>
      <c r="K30" s="22">
        <f t="shared" si="4"/>
        <v>0.52739667515566635</v>
      </c>
      <c r="L30" s="22">
        <f>IF(L124=L119,0,IF(K30="",0,(L119-L124)/(B119-B124)*K30))</f>
        <v>0.30153447061554745</v>
      </c>
      <c r="M30" s="175">
        <f t="shared" si="6"/>
        <v>0.23571571275035597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0.94286285100142386</v>
      </c>
      <c r="Z30" s="122">
        <f>IF($Y30=0,0,AA30/($Y$30))</f>
        <v>-2.3550042796701084E-16</v>
      </c>
      <c r="AA30" s="188">
        <f>IF(AA79*4/$I$83+SUM(AA6:AA29)&lt;1,AA79*4/$I$83,1-SUM(AA6:AA29))</f>
        <v>-2.2204460492503131E-16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0.45873678881231733</v>
      </c>
      <c r="AE30" s="188">
        <f>IF(AE79*4/$I$83+SUM(AE6:AE29)&lt;1,AE79*4/$I$83,1-SUM(AE6:AE29))</f>
        <v>0.43252587655881958</v>
      </c>
      <c r="AF30" s="122">
        <f>IF($Y30=0,0,AG30/($Y$30))</f>
        <v>0.54126321118768261</v>
      </c>
      <c r="AG30" s="188">
        <f>IF(AG79*4/$I$83+SUM(AG6:AG29)&lt;1,AG79*4/$I$83,1-SUM(AG6:AG29))</f>
        <v>0.51033697444260417</v>
      </c>
      <c r="AH30" s="123">
        <f t="shared" si="12"/>
        <v>0.99999999999999978</v>
      </c>
      <c r="AI30" s="184">
        <f t="shared" si="13"/>
        <v>0.23571571275035588</v>
      </c>
      <c r="AJ30" s="120">
        <f t="shared" si="14"/>
        <v>-1.1102230246251565E-16</v>
      </c>
      <c r="AK30" s="119">
        <f t="shared" si="15"/>
        <v>0.47143142550071188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-6.8774008175590096E-2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2.3961252247330922</v>
      </c>
      <c r="J32" s="17"/>
      <c r="L32" s="22">
        <f>SUM(L6:L30)</f>
        <v>1.0687740081755901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29909.400291558559</v>
      </c>
      <c r="T32" s="237">
        <f t="shared" si="50"/>
        <v>29907.108347170048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4.4499600752949488E-2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8496</v>
      </c>
      <c r="J37" s="38">
        <f t="shared" ref="J37:J49" si="53">J91*I$83</f>
        <v>8496</v>
      </c>
      <c r="K37" s="40">
        <f t="shared" ref="K37:K49" si="54">(B37/B$65)</f>
        <v>0.2106642947427555</v>
      </c>
      <c r="L37" s="22">
        <f t="shared" ref="L37:L49" si="55">(K37*H37)</f>
        <v>0.19886709423716117</v>
      </c>
      <c r="M37" s="24">
        <f t="shared" ref="M37:M49" si="56">J37/B$65</f>
        <v>0.19886709423716117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849.59999999999991</v>
      </c>
      <c r="J38" s="38">
        <f t="shared" si="53"/>
        <v>849.59999999999991</v>
      </c>
      <c r="K38" s="40">
        <f t="shared" si="54"/>
        <v>2.106642947427555E-2</v>
      </c>
      <c r="L38" s="22">
        <f t="shared" si="55"/>
        <v>1.988670942371612E-2</v>
      </c>
      <c r="M38" s="24">
        <f t="shared" si="56"/>
        <v>1.9886709423716117E-2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849.59999999999991</v>
      </c>
      <c r="AH38" s="123">
        <f t="shared" ref="AH38:AI58" si="61">SUM(Z38,AB38,AD38,AF38)</f>
        <v>1</v>
      </c>
      <c r="AI38" s="112">
        <f t="shared" si="61"/>
        <v>849.59999999999991</v>
      </c>
      <c r="AJ38" s="148">
        <f t="shared" ref="AJ38:AJ64" si="62">(AA38+AC38)</f>
        <v>0</v>
      </c>
      <c r="AK38" s="147">
        <f t="shared" ref="AK38:AK64" si="63">(AE38+AG38)</f>
        <v>849.59999999999991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350</v>
      </c>
      <c r="J39" s="38">
        <f t="shared" si="53"/>
        <v>149.34491615811939</v>
      </c>
      <c r="K39" s="40">
        <f t="shared" si="54"/>
        <v>2.3407143860306166E-3</v>
      </c>
      <c r="L39" s="22">
        <f t="shared" si="55"/>
        <v>3.277000140442863E-3</v>
      </c>
      <c r="M39" s="24">
        <f t="shared" si="56"/>
        <v>3.4957379373184634E-3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0.53371175914485935</v>
      </c>
      <c r="AA39" s="147">
        <f t="shared" ref="AA39:AA64" si="64">$J39*Z39</f>
        <v>79.707137922091434</v>
      </c>
      <c r="AB39" s="122">
        <f>AB8</f>
        <v>0.46550833697104099</v>
      </c>
      <c r="AC39" s="147">
        <f t="shared" ref="AC39:AC64" si="65">$J39*AB39</f>
        <v>69.521303555845705</v>
      </c>
      <c r="AD39" s="122">
        <f>AD8</f>
        <v>7.7990388409970857E-4</v>
      </c>
      <c r="AE39" s="147">
        <f t="shared" ref="AE39:AE64" si="66">$J39*AD39</f>
        <v>0.11647468018226263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149.34491615811939</v>
      </c>
      <c r="AJ39" s="148">
        <f t="shared" si="62"/>
        <v>149.22844147793714</v>
      </c>
      <c r="AK39" s="147">
        <f t="shared" si="63"/>
        <v>0.11647468018226263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0.53371175914485947</v>
      </c>
      <c r="AA40" s="147">
        <f t="shared" si="64"/>
        <v>0</v>
      </c>
      <c r="AB40" s="122">
        <f>AB9</f>
        <v>0.46550833697104094</v>
      </c>
      <c r="AC40" s="147">
        <f t="shared" si="65"/>
        <v>0</v>
      </c>
      <c r="AD40" s="122">
        <f>AD9</f>
        <v>7.7990388409962259E-4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40.131016768376121</v>
      </c>
      <c r="K41" s="40">
        <f t="shared" si="54"/>
        <v>7.0221431580918495E-4</v>
      </c>
      <c r="L41" s="22">
        <f t="shared" si="55"/>
        <v>9.8310004213285882E-4</v>
      </c>
      <c r="M41" s="24">
        <f t="shared" si="56"/>
        <v>9.3935248275773891E-4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0.53371175914485935</v>
      </c>
      <c r="AA41" s="147">
        <f t="shared" si="64"/>
        <v>21.418395555721869</v>
      </c>
      <c r="AB41" s="122">
        <f>AB11</f>
        <v>0.46550833697104094</v>
      </c>
      <c r="AC41" s="147">
        <f t="shared" si="65"/>
        <v>18.681322876803726</v>
      </c>
      <c r="AD41" s="122">
        <f>AD11</f>
        <v>7.799038840997348E-4</v>
      </c>
      <c r="AE41" s="147">
        <f t="shared" si="66"/>
        <v>3.1298335850528124E-2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40.131016768376121</v>
      </c>
      <c r="AJ41" s="148">
        <f t="shared" si="62"/>
        <v>40.099718432525592</v>
      </c>
      <c r="AK41" s="147">
        <f t="shared" si="63"/>
        <v>3.1298335850528124E-2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40.131016768376121</v>
      </c>
      <c r="K42" s="40">
        <f t="shared" si="54"/>
        <v>7.0221431580918495E-4</v>
      </c>
      <c r="L42" s="22">
        <f t="shared" si="55"/>
        <v>9.8310004213285882E-4</v>
      </c>
      <c r="M42" s="24">
        <f t="shared" si="56"/>
        <v>9.3935248275773891E-4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10.03275419209403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20.06550838418806</v>
      </c>
      <c r="AF42" s="122">
        <f t="shared" si="57"/>
        <v>0.25</v>
      </c>
      <c r="AG42" s="147">
        <f t="shared" si="60"/>
        <v>10.03275419209403</v>
      </c>
      <c r="AH42" s="123">
        <f t="shared" si="61"/>
        <v>1</v>
      </c>
      <c r="AI42" s="112">
        <f t="shared" si="61"/>
        <v>40.131016768376121</v>
      </c>
      <c r="AJ42" s="148">
        <f t="shared" si="62"/>
        <v>10.03275419209403</v>
      </c>
      <c r="AK42" s="147">
        <f t="shared" si="63"/>
        <v>30.098262576282089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1198.8000000000002</v>
      </c>
      <c r="J44" s="38">
        <f t="shared" si="53"/>
        <v>1198.8000000000002</v>
      </c>
      <c r="K44" s="40">
        <f t="shared" si="54"/>
        <v>2.5279715369130658E-2</v>
      </c>
      <c r="L44" s="22">
        <f t="shared" si="55"/>
        <v>2.8060484059735033E-2</v>
      </c>
      <c r="M44" s="24">
        <f t="shared" si="56"/>
        <v>2.8060484059735036E-2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299.70000000000005</v>
      </c>
      <c r="AB44" s="116">
        <v>0.25</v>
      </c>
      <c r="AC44" s="147">
        <f t="shared" si="65"/>
        <v>299.70000000000005</v>
      </c>
      <c r="AD44" s="116">
        <v>0.25</v>
      </c>
      <c r="AE44" s="147">
        <f t="shared" si="66"/>
        <v>299.70000000000005</v>
      </c>
      <c r="AF44" s="122">
        <f t="shared" si="57"/>
        <v>0.25</v>
      </c>
      <c r="AG44" s="147">
        <f t="shared" si="60"/>
        <v>299.70000000000005</v>
      </c>
      <c r="AH44" s="123">
        <f t="shared" si="61"/>
        <v>1</v>
      </c>
      <c r="AI44" s="112">
        <f t="shared" si="61"/>
        <v>1198.8000000000002</v>
      </c>
      <c r="AJ44" s="148">
        <f t="shared" si="62"/>
        <v>599.40000000000009</v>
      </c>
      <c r="AK44" s="147">
        <f t="shared" si="63"/>
        <v>599.40000000000009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25466.76</v>
      </c>
      <c r="J47" s="38">
        <f t="shared" si="53"/>
        <v>25466.76</v>
      </c>
      <c r="K47" s="40">
        <f t="shared" si="54"/>
        <v>0.50517297879312761</v>
      </c>
      <c r="L47" s="22">
        <f t="shared" si="55"/>
        <v>0.59610411497589055</v>
      </c>
      <c r="M47" s="24">
        <f t="shared" si="56"/>
        <v>0.59610411497589055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6366.69</v>
      </c>
      <c r="AB47" s="116">
        <v>0.25</v>
      </c>
      <c r="AC47" s="147">
        <f t="shared" si="65"/>
        <v>6366.69</v>
      </c>
      <c r="AD47" s="116">
        <v>0.25</v>
      </c>
      <c r="AE47" s="147">
        <f t="shared" si="66"/>
        <v>6366.69</v>
      </c>
      <c r="AF47" s="122">
        <f t="shared" si="57"/>
        <v>0.25</v>
      </c>
      <c r="AG47" s="147">
        <f t="shared" si="60"/>
        <v>6366.69</v>
      </c>
      <c r="AH47" s="123">
        <f t="shared" si="61"/>
        <v>1</v>
      </c>
      <c r="AI47" s="112">
        <f t="shared" si="61"/>
        <v>25466.76</v>
      </c>
      <c r="AJ47" s="148">
        <f t="shared" si="62"/>
        <v>12733.38</v>
      </c>
      <c r="AK47" s="147">
        <f t="shared" si="63"/>
        <v>12733.38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47500.36</v>
      </c>
      <c r="J65" s="39">
        <f>SUM(J37:J64)</f>
        <v>47379.966949694877</v>
      </c>
      <c r="K65" s="40">
        <f>SUM(K37:K64)</f>
        <v>0.99999999999999989</v>
      </c>
      <c r="L65" s="22">
        <f>SUM(L37:L64)</f>
        <v>1.1088984598099338</v>
      </c>
      <c r="M65" s="24">
        <f>SUM(M37:M64)</f>
        <v>1.1090297024880591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9562.3482876699072</v>
      </c>
      <c r="AB65" s="137"/>
      <c r="AC65" s="153">
        <f>SUM(AC37:AC64)</f>
        <v>9539.3926264326492</v>
      </c>
      <c r="AD65" s="137"/>
      <c r="AE65" s="153">
        <f>SUM(AE37:AE64)</f>
        <v>9471.4032814002203</v>
      </c>
      <c r="AF65" s="137"/>
      <c r="AG65" s="153">
        <f>SUM(AG37:AG64)</f>
        <v>18806.822754192093</v>
      </c>
      <c r="AH65" s="137"/>
      <c r="AI65" s="153">
        <f>SUM(AI37:AI64)</f>
        <v>47379.966949694877</v>
      </c>
      <c r="AJ65" s="153">
        <f>SUM(AJ37:AJ64)</f>
        <v>19101.740914102556</v>
      </c>
      <c r="AK65" s="153">
        <f>SUM(AK37:AK64)</f>
        <v>28278.226035592314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18382.826666666668</v>
      </c>
      <c r="J71" s="51">
        <f t="shared" si="75"/>
        <v>18382.826666666668</v>
      </c>
      <c r="K71" s="40">
        <f t="shared" ref="K71:K72" si="78">B71/B$76</f>
        <v>0.36465209181842301</v>
      </c>
      <c r="L71" s="22">
        <f t="shared" si="76"/>
        <v>0.43028946834573928</v>
      </c>
      <c r="M71" s="24">
        <f t="shared" ref="M71:M72" si="79">J71/B$76</f>
        <v>0.43028946834573917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3726.0520383283711</v>
      </c>
      <c r="K72" s="40">
        <f t="shared" si="78"/>
        <v>0.64940779926033421</v>
      </c>
      <c r="L72" s="22">
        <f t="shared" si="76"/>
        <v>6.3621361742612612E-2</v>
      </c>
      <c r="M72" s="24">
        <f t="shared" si="79"/>
        <v>8.7216236092139202E-2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25819.199104376803</v>
      </c>
      <c r="J74" s="51">
        <f t="shared" si="75"/>
        <v>3589.9273490766277</v>
      </c>
      <c r="K74" s="40">
        <f>B74/B$76</f>
        <v>0.1139459763119704</v>
      </c>
      <c r="L74" s="22">
        <f t="shared" si="76"/>
        <v>0.10749357757928542</v>
      </c>
      <c r="M74" s="24">
        <f>J74/B$76</f>
        <v>8.4029945907884179E-2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-8.4542942707802263E-13</v>
      </c>
      <c r="AB74" s="156"/>
      <c r="AC74" s="147">
        <f>AC30*$I$83/4</f>
        <v>0</v>
      </c>
      <c r="AD74" s="156"/>
      <c r="AE74" s="147">
        <f>AE30*$I$83/4</f>
        <v>1646.8317441849272</v>
      </c>
      <c r="AF74" s="156"/>
      <c r="AG74" s="147">
        <f>AG30*$I$83/4</f>
        <v>1943.0956048917003</v>
      </c>
      <c r="AH74" s="155"/>
      <c r="AI74" s="147">
        <f>SUM(AA74,AC74,AE74,AG74)</f>
        <v>3589.9273490766263</v>
      </c>
      <c r="AJ74" s="148">
        <f>(AA74+AC74)</f>
        <v>-8.4542942707802263E-13</v>
      </c>
      <c r="AK74" s="147">
        <f>(AE74+AG74)</f>
        <v>3589.9273490766273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15585.494989158702</v>
      </c>
      <c r="AB75" s="158"/>
      <c r="AC75" s="149">
        <f>AA75+AC65-SUM(AC70,AC74)</f>
        <v>19704.597391685555</v>
      </c>
      <c r="AD75" s="158"/>
      <c r="AE75" s="149">
        <f>AC75+AE65-SUM(AE70,AE74)</f>
        <v>22108.878704995048</v>
      </c>
      <c r="AF75" s="158"/>
      <c r="AG75" s="149">
        <f>IF(SUM(AG6:AG29)+((AG65-AG70-$J$75)*4/I$83)&lt;1,0,AG65-AG70-$J$75-(1-SUM(AG6:AG29))*I$83/4)</f>
        <v>11443.436925394595</v>
      </c>
      <c r="AH75" s="134"/>
      <c r="AI75" s="149">
        <f>AI76-SUM(AI70,AI74)</f>
        <v>22108.878704995048</v>
      </c>
      <c r="AJ75" s="151">
        <f>AJ76-SUM(AJ70,AJ74)</f>
        <v>8261.1604662909576</v>
      </c>
      <c r="AK75" s="149">
        <f>AJ75+AK76-SUM(AK70,AK74)</f>
        <v>22108.878704995048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47500.36</v>
      </c>
      <c r="J76" s="51">
        <f t="shared" si="75"/>
        <v>47379.96694969487</v>
      </c>
      <c r="K76" s="40">
        <f>SUM(K70:K75)</f>
        <v>1.5291234062904446</v>
      </c>
      <c r="L76" s="22">
        <f>SUM(L70:L75)</f>
        <v>1.1088984598099341</v>
      </c>
      <c r="M76" s="24">
        <f>SUM(M70:M75)</f>
        <v>1.1090297024880591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9562.3482876699072</v>
      </c>
      <c r="AB76" s="137"/>
      <c r="AC76" s="153">
        <f>AC65</f>
        <v>9539.3926264326492</v>
      </c>
      <c r="AD76" s="137"/>
      <c r="AE76" s="153">
        <f>AE65</f>
        <v>9471.4032814002203</v>
      </c>
      <c r="AF76" s="137"/>
      <c r="AG76" s="153">
        <f>AG65</f>
        <v>18806.822754192093</v>
      </c>
      <c r="AH76" s="137"/>
      <c r="AI76" s="153">
        <f>SUM(AA76,AC76,AE76,AG76)</f>
        <v>47379.96694969487</v>
      </c>
      <c r="AJ76" s="154">
        <f>SUM(AA76,AC76)</f>
        <v>19101.740914102556</v>
      </c>
      <c r="AK76" s="154">
        <f>SUM(AE76,AG76)</f>
        <v>28278.226035592314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18382.826666666664</v>
      </c>
      <c r="J77" s="100">
        <f t="shared" si="75"/>
        <v>0</v>
      </c>
      <c r="K77" s="40"/>
      <c r="L77" s="22">
        <f>-(L131*G$37*F$9/F$7)/B$130</f>
        <v>-0.36666810660312649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11443.436925394595</v>
      </c>
      <c r="AB78" s="112"/>
      <c r="AC78" s="112">
        <f>IF(AA75&lt;0,0,AA75)</f>
        <v>15585.494989158702</v>
      </c>
      <c r="AD78" s="112"/>
      <c r="AE78" s="112">
        <f>AC75</f>
        <v>19704.597391685555</v>
      </c>
      <c r="AF78" s="112"/>
      <c r="AG78" s="112">
        <f>AE75</f>
        <v>22108.878704995048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15585.494989158702</v>
      </c>
      <c r="AB79" s="112"/>
      <c r="AC79" s="112">
        <f>AA79-AA74+AC65-AC70</f>
        <v>19704.597391685555</v>
      </c>
      <c r="AD79" s="112"/>
      <c r="AE79" s="112">
        <f>AC79-AC74+AE65-AE70</f>
        <v>23755.710449179976</v>
      </c>
      <c r="AF79" s="112"/>
      <c r="AG79" s="112">
        <f>AE79-AE74+AG65-AG70</f>
        <v>35495.411235281339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0.57212121212121214</v>
      </c>
      <c r="I91" s="22">
        <f t="shared" ref="I91" si="82">(D91*H91)</f>
        <v>0.55784992307494119</v>
      </c>
      <c r="J91" s="24">
        <f>IF(I$32&lt;=1+I$131,I91,L91+J$33*(I91-L91))</f>
        <v>0.55784992307494119</v>
      </c>
      <c r="K91" s="22">
        <f t="shared" ref="K91" si="83">IF(B91="",0,B91)</f>
        <v>0.97505547995090347</v>
      </c>
      <c r="L91" s="22">
        <f t="shared" ref="L91" si="84">(K91*H91)</f>
        <v>0.55784992307494119</v>
      </c>
      <c r="M91" s="230">
        <f t="shared" si="80"/>
        <v>0.55784992307494119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0.57212121212121214</v>
      </c>
      <c r="I92" s="22">
        <f t="shared" ref="I92:I118" si="88">(D92*H92)</f>
        <v>5.5784992307494112E-2</v>
      </c>
      <c r="J92" s="24">
        <f t="shared" ref="J92:J118" si="89">IF(I$32&lt;=1+I$131,I92,L92+J$33*(I92-L92))</f>
        <v>5.5784992307494112E-2</v>
      </c>
      <c r="K92" s="22">
        <f t="shared" ref="K92:K118" si="90">IF(B92="",0,B92)</f>
        <v>9.7505547995090341E-2</v>
      </c>
      <c r="L92" s="22">
        <f t="shared" ref="L92:L118" si="91">(K92*H92)</f>
        <v>5.5784992307494112E-2</v>
      </c>
      <c r="M92" s="230">
        <f t="shared" ref="M92:M118" si="92">(J92)</f>
        <v>5.5784992307494112E-2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0.84848484848484851</v>
      </c>
      <c r="I93" s="22">
        <f t="shared" si="88"/>
        <v>2.2981105588068432E-2</v>
      </c>
      <c r="J93" s="24">
        <f t="shared" si="89"/>
        <v>9.806032249345625E-3</v>
      </c>
      <c r="K93" s="22">
        <f t="shared" si="90"/>
        <v>1.083394977723226E-2</v>
      </c>
      <c r="L93" s="22">
        <f t="shared" si="91"/>
        <v>9.1924422352273726E-3</v>
      </c>
      <c r="M93" s="230">
        <f t="shared" si="92"/>
        <v>9.806032249345625E-3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2.6350146677445612E-3</v>
      </c>
      <c r="K95" s="22">
        <f t="shared" si="90"/>
        <v>3.250184933169678E-3</v>
      </c>
      <c r="L95" s="22">
        <f t="shared" si="91"/>
        <v>2.7577326705682118E-3</v>
      </c>
      <c r="M95" s="230">
        <f t="shared" si="92"/>
        <v>2.6350146677445612E-3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2.6350146677445612E-3</v>
      </c>
      <c r="K96" s="22">
        <f t="shared" si="90"/>
        <v>3.250184933169678E-3</v>
      </c>
      <c r="L96" s="22">
        <f t="shared" si="91"/>
        <v>2.7577326705682118E-3</v>
      </c>
      <c r="M96" s="230">
        <f t="shared" si="92"/>
        <v>2.6350146677445612E-3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0.67272727272727284</v>
      </c>
      <c r="I98" s="22">
        <f t="shared" si="88"/>
        <v>7.8713569654218399E-2</v>
      </c>
      <c r="J98" s="24">
        <f t="shared" si="89"/>
        <v>7.8713569654218399E-2</v>
      </c>
      <c r="K98" s="22">
        <f t="shared" si="90"/>
        <v>0.11700665759410842</v>
      </c>
      <c r="L98" s="22">
        <f t="shared" si="91"/>
        <v>7.8713569654218399E-2</v>
      </c>
      <c r="M98" s="230">
        <f t="shared" si="92"/>
        <v>7.8713569654218399E-2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0.7151515151515152</v>
      </c>
      <c r="I101" s="22">
        <f t="shared" si="88"/>
        <v>1.6721551444171361</v>
      </c>
      <c r="J101" s="24">
        <f t="shared" si="89"/>
        <v>1.6721551444171361</v>
      </c>
      <c r="K101" s="22">
        <f t="shared" si="90"/>
        <v>2.3381830409222664</v>
      </c>
      <c r="L101" s="22">
        <f t="shared" si="91"/>
        <v>1.6721551444171361</v>
      </c>
      <c r="M101" s="230">
        <f t="shared" si="92"/>
        <v>1.6721551444171361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3.1188879675178924</v>
      </c>
      <c r="J119" s="24">
        <f>SUM(J91:J118)</f>
        <v>3.1109829235146584</v>
      </c>
      <c r="K119" s="22">
        <f>SUM(K91:K118)</f>
        <v>4.6284800238291659</v>
      </c>
      <c r="L119" s="22">
        <f>SUM(L91:L118)</f>
        <v>3.1106147695061876</v>
      </c>
      <c r="M119" s="57">
        <f t="shared" si="80"/>
        <v>3.1109829235146584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1.2070219446680766</v>
      </c>
      <c r="J125" s="240">
        <f>IF(SUMPRODUCT($B$124:$B125,$H$124:$H125)&lt;J$119,($B125*$H125),IF(SUMPRODUCT($B$124:$B124,$H$124:$H124)&lt;J$119,J$119-SUMPRODUCT($B$124:$B124,$H$124:$H124),0))</f>
        <v>1.2070219446680766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1.2070219446680766</v>
      </c>
      <c r="M125" s="243">
        <f t="shared" si="93"/>
        <v>1.2070219446680766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0.2446537009127483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0.17846678903908586</v>
      </c>
      <c r="M126" s="243">
        <f t="shared" si="93"/>
        <v>0.2446537009127483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1.695296402334415</v>
      </c>
      <c r="J128" s="231">
        <f>(J30)</f>
        <v>0.23571571275035597</v>
      </c>
      <c r="K128" s="29">
        <f>(B128)</f>
        <v>0.52739667515566635</v>
      </c>
      <c r="L128" s="29">
        <f>IF(L124=L119,0,(L119-L124)/(B119-B124)*K128)</f>
        <v>0.30153447061554745</v>
      </c>
      <c r="M128" s="243">
        <f t="shared" si="93"/>
        <v>0.23571571275035597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3.1188879675178924</v>
      </c>
      <c r="J130" s="231">
        <f>(J119)</f>
        <v>3.1109829235146584</v>
      </c>
      <c r="K130" s="29">
        <f>(B130)</f>
        <v>4.6284800238291659</v>
      </c>
      <c r="L130" s="29">
        <f>(L119)</f>
        <v>3.1106147695061876</v>
      </c>
      <c r="M130" s="243">
        <f t="shared" si="93"/>
        <v>3.1109829235146584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1.0285551556289905</v>
      </c>
      <c r="M131" s="240">
        <f>IF(I131&lt;SUM(M126:M127),0,I131-(SUM(M126:M127)))</f>
        <v>0.96236824375532803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6.435501156377868E-2</v>
      </c>
      <c r="J6" s="24">
        <f t="shared" ref="J6:J13" si="3">IF(I$32&lt;=1+I$131,I6,B6*H6+J$33*(I6-B6*H6))</f>
        <v>6.435501156377868E-2</v>
      </c>
      <c r="K6" s="22">
        <f t="shared" ref="K6:K31" si="4">B6</f>
        <v>0.12871002312755736</v>
      </c>
      <c r="L6" s="22">
        <f t="shared" ref="L6:L29" si="5">IF(K6="","",K6*H6)</f>
        <v>6.435501156377868E-2</v>
      </c>
      <c r="M6" s="227">
        <f t="shared" ref="M6:M31" si="6">J6</f>
        <v>6.435501156377868E-2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0.25742004625511472</v>
      </c>
      <c r="Z6" s="156">
        <f>Poor!Z6</f>
        <v>0.17</v>
      </c>
      <c r="AA6" s="121">
        <f>$M6*Z6*4</f>
        <v>4.3761407863369503E-2</v>
      </c>
      <c r="AB6" s="156">
        <f>Poor!AB6</f>
        <v>0.17</v>
      </c>
      <c r="AC6" s="121">
        <f t="shared" ref="AC6:AC29" si="7">$M6*AB6*4</f>
        <v>4.3761407863369503E-2</v>
      </c>
      <c r="AD6" s="156">
        <f>Poor!AD6</f>
        <v>0.33</v>
      </c>
      <c r="AE6" s="121">
        <f t="shared" ref="AE6:AE29" si="8">$M6*AD6*4</f>
        <v>8.4948615264187857E-2</v>
      </c>
      <c r="AF6" s="122">
        <f>1-SUM(Z6,AB6,AD6)</f>
        <v>0.32999999999999996</v>
      </c>
      <c r="AG6" s="121">
        <f>$M6*AF6*4</f>
        <v>8.4948615264187843E-2</v>
      </c>
      <c r="AH6" s="123">
        <f>SUM(Z6,AB6,AD6,AF6)</f>
        <v>1</v>
      </c>
      <c r="AI6" s="184">
        <f>SUM(AA6,AC6,AE6,AG6)/4</f>
        <v>6.435501156377868E-2</v>
      </c>
      <c r="AJ6" s="120">
        <f>(AA6+AC6)/2</f>
        <v>4.3761407863369503E-2</v>
      </c>
      <c r="AK6" s="119">
        <f>(AE6+AG6)/2</f>
        <v>8.4948615264187843E-2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2.3160169453833836E-2</v>
      </c>
      <c r="J7" s="24">
        <f t="shared" si="3"/>
        <v>2.3160169453833836E-2</v>
      </c>
      <c r="K7" s="22">
        <f t="shared" si="4"/>
        <v>4.6320338907667673E-2</v>
      </c>
      <c r="L7" s="22">
        <f t="shared" si="5"/>
        <v>2.3160169453833836E-2</v>
      </c>
      <c r="M7" s="227">
        <f t="shared" si="6"/>
        <v>2.3160169453833836E-2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3497.8325636613627</v>
      </c>
      <c r="T7" s="225">
        <f>IF($B$81=0,0,(SUMIF($N$6:$N$28,$U7,M$6:M$28)+SUMIF($N$91:$N$118,$U7,M$91:M$118))*$I$83*Poor!$B$81/$B$81)</f>
        <v>3496.761058692312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9.2640677815335346E-2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9.2640677815335346E-2</v>
      </c>
      <c r="AH7" s="123">
        <f t="shared" ref="AH7:AH30" si="12">SUM(Z7,AB7,AD7,AF7)</f>
        <v>1</v>
      </c>
      <c r="AI7" s="184">
        <f t="shared" ref="AI7:AI30" si="13">SUM(AA7,AC7,AE7,AG7)/4</f>
        <v>2.3160169453833836E-2</v>
      </c>
      <c r="AJ7" s="120">
        <f t="shared" ref="AJ7:AJ31" si="14">(AA7+AC7)/2</f>
        <v>0</v>
      </c>
      <c r="AK7" s="119">
        <f t="shared" ref="AK7:AK31" si="15">(AE7+AG7)/2</f>
        <v>4.6320338907667673E-2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208</v>
      </c>
      <c r="T8" s="225">
        <f>IF($B$81=0,0,(SUMIF($N$6:$N$28,$U8,M$6:M$28)+SUMIF($N$91:$N$118,$U8,M$91:M$118))*$I$83*Poor!$B$81/$B$81)</f>
        <v>216.98098126994014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0.78055796842607406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0.1040743957901432</v>
      </c>
      <c r="AB8" s="125">
        <f>IF($Y8=0,0,AC8/$Y8)</f>
        <v>0.21944203157392597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2.9258937543190131E-2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0.11051800097847357</v>
      </c>
      <c r="J9" s="24">
        <f t="shared" si="3"/>
        <v>0.11051800097847357</v>
      </c>
      <c r="K9" s="22">
        <f t="shared" si="4"/>
        <v>0.10139266144814088</v>
      </c>
      <c r="L9" s="22">
        <f t="shared" si="5"/>
        <v>0.11051800097847357</v>
      </c>
      <c r="M9" s="227">
        <f t="shared" si="6"/>
        <v>0.11051800097847357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1332.847683884597</v>
      </c>
      <c r="T9" s="225">
        <f>IF($B$81=0,0,(SUMIF($N$6:$N$28,$U9,M$6:M$28)+SUMIF($N$91:$N$118,$U9,M$91:M$118))*$I$83*Poor!$B$81/$B$81)</f>
        <v>1332.847683884597</v>
      </c>
      <c r="U9" s="226">
        <v>3</v>
      </c>
      <c r="V9" s="56"/>
      <c r="W9" s="115"/>
      <c r="X9" s="118">
        <f>Poor!X9</f>
        <v>1</v>
      </c>
      <c r="Y9" s="184">
        <f t="shared" si="9"/>
        <v>0.44207200391389428</v>
      </c>
      <c r="Z9" s="125">
        <f>IF($Y9=0,0,AA9/$Y9)</f>
        <v>0.78055796842607406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0.3450628252730728</v>
      </c>
      <c r="AB9" s="125">
        <f>IF($Y9=0,0,AC9/$Y9)</f>
        <v>0.21944203157392589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9.7009178640821481E-2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0.11051800097847357</v>
      </c>
      <c r="AJ9" s="120">
        <f t="shared" si="14"/>
        <v>0.22103600195694714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0.78055796842607417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3.9418807850842612E-2</v>
      </c>
      <c r="AB10" s="125">
        <f>IF($Y10=0,0,AC10/$Y10)</f>
        <v>0.21944203157392581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1.1081999834622616E-2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13917.257142857143</v>
      </c>
      <c r="T11" s="225">
        <f>IF($B$81=0,0,(SUMIF($N$6:$N$28,$U11,M$6:M$28)+SUMIF($N$91:$N$118,$U11,M$91:M$118))*$I$83*Poor!$B$81/$B$81)</f>
        <v>13889.307539608273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5.9751995657534472E-3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5.9751995657534472E-3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226.74642521284582</v>
      </c>
      <c r="U12" s="226">
        <v>6</v>
      </c>
      <c r="V12" s="56"/>
      <c r="W12" s="117"/>
      <c r="X12" s="118"/>
      <c r="Y12" s="184">
        <f t="shared" si="9"/>
        <v>2.3900798263013789E-2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1.6013534836219239E-2</v>
      </c>
      <c r="AF12" s="122">
        <f>1-SUM(Z12,AB12,AD12)</f>
        <v>0.32999999999999996</v>
      </c>
      <c r="AG12" s="121">
        <f>$M12*AF12*4</f>
        <v>7.8872634267945496E-3</v>
      </c>
      <c r="AH12" s="123">
        <f t="shared" si="12"/>
        <v>1</v>
      </c>
      <c r="AI12" s="184">
        <f t="shared" si="13"/>
        <v>5.9751995657534472E-3</v>
      </c>
      <c r="AJ12" s="120">
        <f t="shared" si="14"/>
        <v>0</v>
      </c>
      <c r="AK12" s="119">
        <f t="shared" si="15"/>
        <v>1.1950399131506894E-2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59552.91428571428</v>
      </c>
      <c r="T13" s="225">
        <f>IF($B$81=0,0,(SUMIF($N$6:$N$28,$U13,M$6:M$28)+SUMIF($N$91:$N$118,$U13,M$91:M$118))*$I$83*Poor!$B$81/$B$81)</f>
        <v>59552.91428571428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8.7466923877430405E-4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8.7466923877430405E-4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3.4986769550972162E-3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3.4986769550972162E-3</v>
      </c>
      <c r="AH16" s="123">
        <f t="shared" si="12"/>
        <v>1</v>
      </c>
      <c r="AI16" s="184">
        <f t="shared" si="13"/>
        <v>8.7466923877430405E-4</v>
      </c>
      <c r="AJ16" s="120">
        <f t="shared" si="14"/>
        <v>0</v>
      </c>
      <c r="AK16" s="119">
        <f t="shared" si="15"/>
        <v>1.7493384775486081E-3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1.1114597951665082E-2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1.1114597951665082E-2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26879.72571428572</v>
      </c>
      <c r="T17" s="225">
        <f>IF($B$81=0,0,(SUMIF($N$6:$N$28,$U17,M$6:M$28)+SUMIF($N$91:$N$118,$U17,M$91:M$118))*$I$83*Poor!$B$81/$B$81)</f>
        <v>26879.72571428572</v>
      </c>
      <c r="U17" s="226">
        <v>11</v>
      </c>
      <c r="V17" s="56"/>
      <c r="W17" s="110"/>
      <c r="X17" s="118"/>
      <c r="Y17" s="184">
        <f t="shared" si="9"/>
        <v>4.4458391806660329E-2</v>
      </c>
      <c r="Z17" s="156">
        <f>Poor!Z17</f>
        <v>0.29409999999999997</v>
      </c>
      <c r="AA17" s="121">
        <f t="shared" si="16"/>
        <v>1.3075213030338801E-2</v>
      </c>
      <c r="AB17" s="156">
        <f>Poor!AB17</f>
        <v>0.17649999999999999</v>
      </c>
      <c r="AC17" s="121">
        <f t="shared" si="7"/>
        <v>7.8469061538755484E-3</v>
      </c>
      <c r="AD17" s="156">
        <f>Poor!AD17</f>
        <v>0.23530000000000001</v>
      </c>
      <c r="AE17" s="121">
        <f t="shared" si="8"/>
        <v>1.0461059592107176E-2</v>
      </c>
      <c r="AF17" s="122">
        <f t="shared" si="10"/>
        <v>0.29410000000000003</v>
      </c>
      <c r="AG17" s="121">
        <f t="shared" si="11"/>
        <v>1.3075213030338803E-2</v>
      </c>
      <c r="AH17" s="123">
        <f t="shared" si="12"/>
        <v>1</v>
      </c>
      <c r="AI17" s="184">
        <f t="shared" si="13"/>
        <v>1.1114597951665082E-2</v>
      </c>
      <c r="AJ17" s="120">
        <f t="shared" si="14"/>
        <v>1.0461059592107174E-2</v>
      </c>
      <c r="AK17" s="119">
        <f t="shared" si="15"/>
        <v>1.176813631122299E-2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1.4888238684381347E-2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1.4888238684381347E-2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107689.89372042264</v>
      </c>
      <c r="T23" s="179">
        <f>SUM(T7:T22)</f>
        <v>107667.3792820049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9.9069702482320943E-2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9.9069702482320943E-2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0.39627880992928377</v>
      </c>
      <c r="Z27" s="156">
        <f>Poor!Z27</f>
        <v>0.25</v>
      </c>
      <c r="AA27" s="121">
        <f t="shared" si="16"/>
        <v>9.9069702482320943E-2</v>
      </c>
      <c r="AB27" s="156">
        <f>Poor!AB27</f>
        <v>0.25</v>
      </c>
      <c r="AC27" s="121">
        <f t="shared" si="7"/>
        <v>9.9069702482320943E-2</v>
      </c>
      <c r="AD27" s="156">
        <f>Poor!AD27</f>
        <v>0.25</v>
      </c>
      <c r="AE27" s="121">
        <f t="shared" si="8"/>
        <v>9.9069702482320943E-2</v>
      </c>
      <c r="AF27" s="122">
        <f t="shared" si="10"/>
        <v>0.25</v>
      </c>
      <c r="AG27" s="121">
        <f t="shared" si="11"/>
        <v>9.9069702482320943E-2</v>
      </c>
      <c r="AH27" s="123">
        <f t="shared" si="12"/>
        <v>1</v>
      </c>
      <c r="AI27" s="184">
        <f t="shared" si="13"/>
        <v>9.9069702482320943E-2</v>
      </c>
      <c r="AJ27" s="120">
        <f t="shared" si="14"/>
        <v>9.9069702482320943E-2</v>
      </c>
      <c r="AK27" s="119">
        <f t="shared" si="15"/>
        <v>9.9069702482320943E-2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0.21448767354839191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0.21448767354839191</v>
      </c>
      <c r="N29" s="232"/>
      <c r="P29" s="22"/>
      <c r="V29" s="56"/>
      <c r="W29" s="110"/>
      <c r="X29" s="118"/>
      <c r="Y29" s="184">
        <f t="shared" si="9"/>
        <v>0.85795069419356762</v>
      </c>
      <c r="Z29" s="156">
        <f>Poor!Z29</f>
        <v>0.25</v>
      </c>
      <c r="AA29" s="121">
        <f t="shared" si="16"/>
        <v>0.21448767354839191</v>
      </c>
      <c r="AB29" s="156">
        <f>Poor!AB29</f>
        <v>0.25</v>
      </c>
      <c r="AC29" s="121">
        <f t="shared" si="7"/>
        <v>0.21448767354839191</v>
      </c>
      <c r="AD29" s="156">
        <f>Poor!AD29</f>
        <v>0.25</v>
      </c>
      <c r="AE29" s="121">
        <f t="shared" si="8"/>
        <v>0.21448767354839191</v>
      </c>
      <c r="AF29" s="122">
        <f t="shared" si="10"/>
        <v>0.25</v>
      </c>
      <c r="AG29" s="121">
        <f t="shared" si="11"/>
        <v>0.21448767354839191</v>
      </c>
      <c r="AH29" s="123">
        <f t="shared" si="12"/>
        <v>1</v>
      </c>
      <c r="AI29" s="184">
        <f t="shared" si="13"/>
        <v>0.21448767354839191</v>
      </c>
      <c r="AJ29" s="120">
        <f t="shared" si="14"/>
        <v>0.21448767354839191</v>
      </c>
      <c r="AK29" s="119">
        <f t="shared" si="15"/>
        <v>0.21448767354839191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5.2079158060750128</v>
      </c>
      <c r="J30" s="234">
        <f>IF(I$32&lt;=1,I30,1-SUM(J6:J29))</f>
        <v>0.21838639648128877</v>
      </c>
      <c r="K30" s="22">
        <f t="shared" si="4"/>
        <v>0.60906730012453303</v>
      </c>
      <c r="L30" s="22">
        <f>IF(L124=L119,0,IF(K30="",0,(L119-L124)/(B119-B124)*K30))</f>
        <v>0.40075357610985074</v>
      </c>
      <c r="M30" s="175">
        <f t="shared" si="6"/>
        <v>0.21838639648128877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0.87354558592515508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0.16690118385908806</v>
      </c>
      <c r="AC30" s="188">
        <f>IF(AC79*4/$I$84+SUM(AC6:AC29)&lt;1,AC79*4/$I$84,1-SUM(AC6:AC29))</f>
        <v>0.14579579244578911</v>
      </c>
      <c r="AD30" s="122">
        <f>IF($Y30=0,0,AE30/($Y$30))</f>
        <v>0.50250954223890465</v>
      </c>
      <c r="AE30" s="188">
        <f>IF(AE79*4/$I$84+SUM(AE6:AE29)&lt;1,AE79*4/$I$84,1-SUM(AE6:AE29))</f>
        <v>0.43896499250806542</v>
      </c>
      <c r="AF30" s="122">
        <f>IF($Y30=0,0,AG30/($Y$30))</f>
        <v>0.39876311130335362</v>
      </c>
      <c r="AG30" s="188">
        <f>IF(AG79*4/$I$84+SUM(AG6:AG29)&lt;1,AG79*4/$I$84,1-SUM(AG6:AG29))</f>
        <v>0.34833775570882586</v>
      </c>
      <c r="AH30" s="123">
        <f t="shared" si="12"/>
        <v>1.0681738374013463</v>
      </c>
      <c r="AI30" s="184">
        <f t="shared" si="13"/>
        <v>0.2332746351656701</v>
      </c>
      <c r="AJ30" s="120">
        <f t="shared" si="14"/>
        <v>7.2897896222894554E-2</v>
      </c>
      <c r="AK30" s="119">
        <f t="shared" si="15"/>
        <v>0.39365137410844564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-0.17891951854510646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5.9062337359374109</v>
      </c>
      <c r="J32" s="17"/>
      <c r="L32" s="22">
        <f>SUM(L6:L30)</f>
        <v>1.1789195185451065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3.9404470452624749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-4.3177794567019701E-2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11328</v>
      </c>
      <c r="K37" s="40">
        <f>(B37/B$65)</f>
        <v>0.15559762454293197</v>
      </c>
      <c r="L37" s="22">
        <f t="shared" ref="L37" si="28">(K37*H37)</f>
        <v>0.14688415756852777</v>
      </c>
      <c r="M37" s="24">
        <f>J37/B$65</f>
        <v>0.1468841575685278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11328</v>
      </c>
      <c r="AH37" s="123">
        <f>SUM(Z37,AB37,AD37,AF37)</f>
        <v>1</v>
      </c>
      <c r="AI37" s="112">
        <f>SUM(AA37,AC37,AE37,AG37)</f>
        <v>11328</v>
      </c>
      <c r="AJ37" s="148">
        <f>(AA37+AC37)</f>
        <v>0</v>
      </c>
      <c r="AK37" s="147">
        <f>(AE37+AG37)</f>
        <v>11328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1416</v>
      </c>
      <c r="J38" s="38">
        <f t="shared" ref="J38:J64" si="32">J92*I$83</f>
        <v>825.14409715723991</v>
      </c>
      <c r="K38" s="40">
        <f t="shared" ref="K38:K64" si="33">(B38/B$65)</f>
        <v>1.1669821840719899E-2</v>
      </c>
      <c r="L38" s="22">
        <f t="shared" ref="L38:L64" si="34">(K38*H38)</f>
        <v>1.1016311817639584E-2</v>
      </c>
      <c r="M38" s="24">
        <f t="shared" ref="M38:M64" si="35">J38/B$65</f>
        <v>1.06992051186074E-2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825.14409715723991</v>
      </c>
      <c r="AH38" s="123">
        <f t="shared" ref="AH38:AI58" si="37">SUM(Z38,AB38,AD38,AF38)</f>
        <v>1</v>
      </c>
      <c r="AI38" s="112">
        <f t="shared" si="37"/>
        <v>825.14409715723991</v>
      </c>
      <c r="AJ38" s="148">
        <f t="shared" ref="AJ38:AJ64" si="38">(AA38+AC38)</f>
        <v>0</v>
      </c>
      <c r="AK38" s="147">
        <f t="shared" ref="AK38:AK64" si="39">(AE38+AG38)</f>
        <v>825.14409715723991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0.78055796842607406</v>
      </c>
      <c r="AA39" s="147">
        <f t="shared" ref="AA39:AA64" si="40">$J39*Z39</f>
        <v>0</v>
      </c>
      <c r="AB39" s="122">
        <f>AB8</f>
        <v>0.21944203157392597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36.511222809845691</v>
      </c>
      <c r="K40" s="40">
        <f t="shared" si="33"/>
        <v>3.2416171779777494E-4</v>
      </c>
      <c r="L40" s="22">
        <f t="shared" si="34"/>
        <v>4.5382640491688491E-4</v>
      </c>
      <c r="M40" s="24">
        <f t="shared" si="35"/>
        <v>4.7342162819747529E-4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0.78055796842607406</v>
      </c>
      <c r="AA40" s="147">
        <f t="shared" si="40"/>
        <v>28.499125901204888</v>
      </c>
      <c r="AB40" s="122">
        <f>AB9</f>
        <v>0.21944203157392589</v>
      </c>
      <c r="AC40" s="147">
        <f t="shared" si="41"/>
        <v>8.0120969086408014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36.511222809845691</v>
      </c>
      <c r="AJ40" s="148">
        <f t="shared" si="38"/>
        <v>36.511222809845691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36.511222809845691</v>
      </c>
      <c r="K42" s="40">
        <f t="shared" si="33"/>
        <v>3.2416171779777494E-4</v>
      </c>
      <c r="L42" s="22">
        <f t="shared" si="34"/>
        <v>4.5382640491688491E-4</v>
      </c>
      <c r="M42" s="24">
        <f t="shared" si="35"/>
        <v>4.7342162819747529E-4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9.1278057024614228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18.255611404922846</v>
      </c>
      <c r="AF42" s="122">
        <f t="shared" si="29"/>
        <v>0.25</v>
      </c>
      <c r="AG42" s="147">
        <f t="shared" si="36"/>
        <v>9.1278057024614228</v>
      </c>
      <c r="AH42" s="123">
        <f t="shared" si="37"/>
        <v>1</v>
      </c>
      <c r="AI42" s="112">
        <f t="shared" si="37"/>
        <v>36.511222809845691</v>
      </c>
      <c r="AJ42" s="148">
        <f t="shared" si="38"/>
        <v>9.1278057024614228</v>
      </c>
      <c r="AK42" s="147">
        <f t="shared" si="39"/>
        <v>27.383417107384268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116.83591299150622</v>
      </c>
      <c r="K43" s="40">
        <f t="shared" si="33"/>
        <v>1.0373174969528799E-3</v>
      </c>
      <c r="L43" s="22">
        <f t="shared" si="34"/>
        <v>1.4522444957340318E-3</v>
      </c>
      <c r="M43" s="24">
        <f t="shared" si="35"/>
        <v>1.5149492102319211E-3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29.208978247876555</v>
      </c>
      <c r="AB43" s="156">
        <f>Poor!AB43</f>
        <v>0.25</v>
      </c>
      <c r="AC43" s="147">
        <f t="shared" si="41"/>
        <v>29.208978247876555</v>
      </c>
      <c r="AD43" s="156">
        <f>Poor!AD43</f>
        <v>0.25</v>
      </c>
      <c r="AE43" s="147">
        <f t="shared" si="42"/>
        <v>29.208978247876555</v>
      </c>
      <c r="AF43" s="122">
        <f t="shared" si="29"/>
        <v>0.25</v>
      </c>
      <c r="AG43" s="147">
        <f t="shared" si="36"/>
        <v>29.208978247876555</v>
      </c>
      <c r="AH43" s="123">
        <f t="shared" si="37"/>
        <v>1</v>
      </c>
      <c r="AI43" s="112">
        <f t="shared" si="37"/>
        <v>116.83591299150622</v>
      </c>
      <c r="AJ43" s="148">
        <f t="shared" si="38"/>
        <v>58.41795649575311</v>
      </c>
      <c r="AK43" s="147">
        <f t="shared" si="39"/>
        <v>58.41795649575311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52108.799999999996</v>
      </c>
      <c r="J45" s="38">
        <f t="shared" si="32"/>
        <v>52108.799999999996</v>
      </c>
      <c r="K45" s="40">
        <f t="shared" si="33"/>
        <v>0.57259925831798963</v>
      </c>
      <c r="L45" s="22">
        <f t="shared" si="34"/>
        <v>0.67566712481522773</v>
      </c>
      <c r="M45" s="24">
        <f t="shared" si="35"/>
        <v>0.67566712481522773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13027.199999999999</v>
      </c>
      <c r="AB45" s="156">
        <f>Poor!AB45</f>
        <v>0.25</v>
      </c>
      <c r="AC45" s="147">
        <f t="shared" si="41"/>
        <v>13027.199999999999</v>
      </c>
      <c r="AD45" s="156">
        <f>Poor!AD45</f>
        <v>0.25</v>
      </c>
      <c r="AE45" s="147">
        <f t="shared" si="42"/>
        <v>13027.199999999999</v>
      </c>
      <c r="AF45" s="122">
        <f t="shared" si="29"/>
        <v>0.25</v>
      </c>
      <c r="AG45" s="147">
        <f t="shared" si="36"/>
        <v>13027.199999999999</v>
      </c>
      <c r="AH45" s="123">
        <f t="shared" si="37"/>
        <v>1</v>
      </c>
      <c r="AI45" s="112">
        <f t="shared" si="37"/>
        <v>52108.799999999996</v>
      </c>
      <c r="AJ45" s="148">
        <f t="shared" si="38"/>
        <v>26054.399999999998</v>
      </c>
      <c r="AK45" s="147">
        <f t="shared" si="39"/>
        <v>26054.399999999998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23519.759999999998</v>
      </c>
      <c r="J47" s="38">
        <f t="shared" si="32"/>
        <v>23519.760000000006</v>
      </c>
      <c r="K47" s="40">
        <f t="shared" si="33"/>
        <v>0.25844765436581002</v>
      </c>
      <c r="L47" s="22">
        <f t="shared" si="34"/>
        <v>0.3049682321516558</v>
      </c>
      <c r="M47" s="24">
        <f t="shared" si="35"/>
        <v>0.30496823215165592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5879.9400000000014</v>
      </c>
      <c r="AB47" s="156">
        <f>Poor!AB47</f>
        <v>0.25</v>
      </c>
      <c r="AC47" s="147">
        <f t="shared" si="41"/>
        <v>5879.9400000000014</v>
      </c>
      <c r="AD47" s="156">
        <f>Poor!AD47</f>
        <v>0.25</v>
      </c>
      <c r="AE47" s="147">
        <f t="shared" si="42"/>
        <v>5879.9400000000014</v>
      </c>
      <c r="AF47" s="122">
        <f t="shared" si="29"/>
        <v>0.25</v>
      </c>
      <c r="AG47" s="147">
        <f t="shared" si="36"/>
        <v>5879.9400000000014</v>
      </c>
      <c r="AH47" s="123">
        <f t="shared" si="37"/>
        <v>1</v>
      </c>
      <c r="AI47" s="112">
        <f t="shared" si="37"/>
        <v>23519.760000000006</v>
      </c>
      <c r="AJ47" s="148">
        <f t="shared" si="38"/>
        <v>11759.880000000003</v>
      </c>
      <c r="AK47" s="147">
        <f t="shared" si="39"/>
        <v>11759.880000000003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88372.56</v>
      </c>
      <c r="J65" s="39">
        <f>SUM(J37:J64)</f>
        <v>87971.562455768435</v>
      </c>
      <c r="K65" s="40">
        <f>SUM(K37:K64)</f>
        <v>1</v>
      </c>
      <c r="L65" s="22">
        <f>SUM(L37:L64)</f>
        <v>1.1408957236586188</v>
      </c>
      <c r="M65" s="24">
        <f>SUM(M37:M64)</f>
        <v>1.1406805121206456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18973.975909851542</v>
      </c>
      <c r="AB65" s="137"/>
      <c r="AC65" s="153">
        <f>SUM(AC37:AC64)</f>
        <v>18944.361075156517</v>
      </c>
      <c r="AD65" s="137"/>
      <c r="AE65" s="153">
        <f>SUM(AE37:AE64)</f>
        <v>18954.604589652801</v>
      </c>
      <c r="AF65" s="137"/>
      <c r="AG65" s="153">
        <f>SUM(AG37:AG64)</f>
        <v>31098.620881107578</v>
      </c>
      <c r="AH65" s="137"/>
      <c r="AI65" s="153">
        <f>SUM(AI37:AI64)</f>
        <v>87971.562455768435</v>
      </c>
      <c r="AJ65" s="153">
        <f>SUM(AJ37:AJ64)</f>
        <v>37918.336985008063</v>
      </c>
      <c r="AK65" s="153">
        <f>SUM(AK37:AK64)</f>
        <v>50053.225470760379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0.31477399445035137</v>
      </c>
      <c r="L72" s="22">
        <f t="shared" si="45"/>
        <v>0.37143331345141462</v>
      </c>
      <c r="M72" s="24">
        <f t="shared" si="48"/>
        <v>0.37143331345141467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7776.2000000000007</v>
      </c>
      <c r="K73" s="40">
        <f>B73/B$76</f>
        <v>8.544902881149348E-2</v>
      </c>
      <c r="L73" s="22">
        <f t="shared" si="45"/>
        <v>0.10082985399756229</v>
      </c>
      <c r="M73" s="24">
        <f>J73/B$76</f>
        <v>0.10082985399756231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69401.544216329698</v>
      </c>
      <c r="J74" s="51">
        <f t="shared" si="44"/>
        <v>2910.253106235175</v>
      </c>
      <c r="K74" s="40">
        <f>B74/B$76</f>
        <v>6.3783483598205459E-2</v>
      </c>
      <c r="L74" s="22">
        <f t="shared" si="45"/>
        <v>6.9247532393829692E-2</v>
      </c>
      <c r="M74" s="24">
        <f>J74/B$76</f>
        <v>3.7735705845740188E-2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1068.0866315736043</v>
      </c>
      <c r="AD74" s="156"/>
      <c r="AE74" s="147">
        <f>AE30*$I$84/4</f>
        <v>3215.8173590709375</v>
      </c>
      <c r="AF74" s="156"/>
      <c r="AG74" s="147">
        <f>AG30*$I$84/4</f>
        <v>2551.890516890528</v>
      </c>
      <c r="AH74" s="155"/>
      <c r="AI74" s="147">
        <f>SUM(AA74,AC74,AE74,AG74)</f>
        <v>6835.794507535069</v>
      </c>
      <c r="AJ74" s="148">
        <f>(AA74+AC74)</f>
        <v>1068.0866315736043</v>
      </c>
      <c r="AK74" s="147">
        <f>(AE74+AG74)</f>
        <v>5767.7078759614651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13583.440232529625</v>
      </c>
      <c r="K75" s="40">
        <f>B75/B$76</f>
        <v>0.18353817697727456</v>
      </c>
      <c r="L75" s="22">
        <f t="shared" si="45"/>
        <v>0.14483263776509209</v>
      </c>
      <c r="M75" s="24">
        <f>J75/B$76</f>
        <v>0.17612925277520844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25843.147083271757</v>
      </c>
      <c r="AB75" s="158"/>
      <c r="AC75" s="149">
        <f>AA75+AC65-SUM(AC70,AC74)</f>
        <v>38976.667580937094</v>
      </c>
      <c r="AD75" s="158"/>
      <c r="AE75" s="149">
        <f>AC75+AE65-SUM(AE70,AE74)</f>
        <v>49972.700865601379</v>
      </c>
      <c r="AF75" s="158"/>
      <c r="AG75" s="149">
        <f>IF(SUM(AG6:AG29)+((AG65-AG70-$J$75)*4/I$83)&lt;1,0,AG65-AG70-$J$75-(1-SUM(AG6:AG29))*I$83/4)</f>
        <v>11611.92511933779</v>
      </c>
      <c r="AH75" s="134"/>
      <c r="AI75" s="149">
        <f>AI76-SUM(AI70,AI74)</f>
        <v>62164.752164563062</v>
      </c>
      <c r="AJ75" s="151">
        <f>AJ76-SUM(AJ70,AJ74)</f>
        <v>27364.742461599308</v>
      </c>
      <c r="AK75" s="149">
        <f>AJ75+AK76-SUM(AK70,AK74)</f>
        <v>62164.752164563077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88372.56</v>
      </c>
      <c r="J76" s="51">
        <f t="shared" si="44"/>
        <v>87971.562455768435</v>
      </c>
      <c r="K76" s="40">
        <f>SUM(K70:K75)</f>
        <v>1</v>
      </c>
      <c r="L76" s="22">
        <f>SUM(L70:L75)</f>
        <v>1.1408957236586188</v>
      </c>
      <c r="M76" s="24">
        <f>SUM(M70:M75)</f>
        <v>1.1406805121206458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18973.975909851542</v>
      </c>
      <c r="AB76" s="137"/>
      <c r="AC76" s="153">
        <f>AC65</f>
        <v>18944.361075156517</v>
      </c>
      <c r="AD76" s="137"/>
      <c r="AE76" s="153">
        <f>AE65</f>
        <v>18954.604589652801</v>
      </c>
      <c r="AF76" s="137"/>
      <c r="AG76" s="153">
        <f>AG65</f>
        <v>31098.620881107578</v>
      </c>
      <c r="AH76" s="137"/>
      <c r="AI76" s="153">
        <f>SUM(AA76,AC76,AE76,AG76)</f>
        <v>87971.562455768435</v>
      </c>
      <c r="AJ76" s="154">
        <f>SUM(AA76,AC76)</f>
        <v>37918.336985008063</v>
      </c>
      <c r="AK76" s="154">
        <f>SUM(AE76,AG76)</f>
        <v>50053.225470760379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11611.92511933779</v>
      </c>
      <c r="AB78" s="112"/>
      <c r="AC78" s="112">
        <f>IF(AA75&lt;0,0,AA75)</f>
        <v>25843.147083271757</v>
      </c>
      <c r="AD78" s="112"/>
      <c r="AE78" s="112">
        <f>AC75</f>
        <v>38976.667580937094</v>
      </c>
      <c r="AF78" s="112"/>
      <c r="AG78" s="112">
        <f>AE75</f>
        <v>49972.700865601379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25843.147083271757</v>
      </c>
      <c r="AB79" s="112"/>
      <c r="AC79" s="112">
        <f>AA79-AA74+AC65-AC70</f>
        <v>40044.754212510699</v>
      </c>
      <c r="AD79" s="112"/>
      <c r="AE79" s="112">
        <f>AC79-AC74+AE65-AE70</f>
        <v>53188.51822467232</v>
      </c>
      <c r="AF79" s="112"/>
      <c r="AG79" s="112">
        <f>AE79-AE74+AG65-AG70</f>
        <v>76328.567800791381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0.57212121212121214</v>
      </c>
      <c r="I91" s="22">
        <f t="shared" ref="I91" si="52">(D91*H91)</f>
        <v>0.85005702563800545</v>
      </c>
      <c r="J91" s="24">
        <f>IF(I$32&lt;=1+I$131,I91,L91+J$33*(I91-L91))</f>
        <v>0.85005702563800545</v>
      </c>
      <c r="K91" s="22">
        <f t="shared" ref="K91" si="53">(B91)</f>
        <v>1.4857988265918527</v>
      </c>
      <c r="L91" s="22">
        <f t="shared" ref="L91" si="54">(K91*H91)</f>
        <v>0.85005702563800545</v>
      </c>
      <c r="M91" s="230">
        <f t="shared" si="49"/>
        <v>0.85005702563800545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0.57212121212121214</v>
      </c>
      <c r="I92" s="22">
        <f t="shared" ref="I92:I118" si="58">(D92*H92)</f>
        <v>0.10625712820475068</v>
      </c>
      <c r="J92" s="24">
        <f t="shared" ref="J92:J118" si="59">IF(I$32&lt;=1+I$131,I92,L92+J$33*(I92-L92))</f>
        <v>6.1919097541687923E-2</v>
      </c>
      <c r="K92" s="22">
        <f t="shared" ref="K92:K118" si="60">(B92)</f>
        <v>0.11143491199438896</v>
      </c>
      <c r="L92" s="22">
        <f t="shared" ref="L92:L118" si="61">(K92*H92)</f>
        <v>6.3754276922850406E-2</v>
      </c>
      <c r="M92" s="230">
        <f t="shared" ref="M92:M118" si="62">(J92)</f>
        <v>6.1919097541687923E-2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0.84848484848484851</v>
      </c>
      <c r="I94" s="22">
        <f t="shared" si="58"/>
        <v>0</v>
      </c>
      <c r="J94" s="24">
        <f t="shared" si="59"/>
        <v>2.7398147478940615E-3</v>
      </c>
      <c r="K94" s="22">
        <f t="shared" si="60"/>
        <v>3.09541422206636E-3</v>
      </c>
      <c r="L94" s="22">
        <f t="shared" si="61"/>
        <v>2.6264120672078207E-3</v>
      </c>
      <c r="M94" s="230">
        <f t="shared" si="62"/>
        <v>2.7398147478940615E-3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2.7398147478940615E-3</v>
      </c>
      <c r="K96" s="22">
        <f t="shared" si="60"/>
        <v>3.09541422206636E-3</v>
      </c>
      <c r="L96" s="22">
        <f t="shared" si="61"/>
        <v>2.6264120672078207E-3</v>
      </c>
      <c r="M96" s="230">
        <f t="shared" si="62"/>
        <v>2.7398147478940615E-3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8.7674071932609971E-3</v>
      </c>
      <c r="K97" s="22">
        <f t="shared" si="60"/>
        <v>9.9053255106123523E-3</v>
      </c>
      <c r="L97" s="22">
        <f t="shared" si="61"/>
        <v>8.4045186150650264E-3</v>
      </c>
      <c r="M97" s="230">
        <f t="shared" si="62"/>
        <v>8.7674071932609971E-3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0.7151515151515152</v>
      </c>
      <c r="I99" s="22">
        <f t="shared" si="58"/>
        <v>3.910262317934825</v>
      </c>
      <c r="J99" s="24">
        <f t="shared" si="59"/>
        <v>3.910262317934825</v>
      </c>
      <c r="K99" s="22">
        <f t="shared" si="60"/>
        <v>5.467739681858018</v>
      </c>
      <c r="L99" s="22">
        <f t="shared" si="61"/>
        <v>3.910262317934825</v>
      </c>
      <c r="M99" s="230">
        <f t="shared" si="62"/>
        <v>3.910262317934825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0.7151515151515152</v>
      </c>
      <c r="I101" s="22">
        <f t="shared" si="58"/>
        <v>1.7649308994809092</v>
      </c>
      <c r="J101" s="24">
        <f t="shared" si="59"/>
        <v>1.7649308994809092</v>
      </c>
      <c r="K101" s="22">
        <f t="shared" si="60"/>
        <v>2.4679118509690676</v>
      </c>
      <c r="L101" s="22">
        <f t="shared" si="61"/>
        <v>1.7649308994809092</v>
      </c>
      <c r="M101" s="230">
        <f t="shared" si="62"/>
        <v>1.7649308994809092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6.6315073712584898</v>
      </c>
      <c r="J119" s="24">
        <f>SUM(J91:J118)</f>
        <v>6.6014163772844761</v>
      </c>
      <c r="K119" s="22">
        <f>SUM(K91:K118)</f>
        <v>9.5489814253680727</v>
      </c>
      <c r="L119" s="22">
        <f>SUM(L91:L118)</f>
        <v>6.6026618627260705</v>
      </c>
      <c r="M119" s="57">
        <f t="shared" si="49"/>
        <v>6.6014163772844761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2.1495817035821063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2.1495817035821063</v>
      </c>
      <c r="M126" s="57">
        <f t="shared" si="65"/>
        <v>2.1495817035821063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0.58352872905775588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0.58352872905775588</v>
      </c>
      <c r="M127" s="57">
        <f t="shared" si="63"/>
        <v>0.58352872905775588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5.2079158060750128</v>
      </c>
      <c r="J128" s="231">
        <f>(J30)</f>
        <v>0.21838639648128877</v>
      </c>
      <c r="K128" s="22">
        <f>(B128)</f>
        <v>0.60906730012453303</v>
      </c>
      <c r="L128" s="22">
        <f>IF(L124=L119,0,(L119-L124)/(B119-B124)*K128)</f>
        <v>0.40075357610985074</v>
      </c>
      <c r="M128" s="57">
        <f t="shared" si="63"/>
        <v>0.21838639648128877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1.0193060383117718</v>
      </c>
      <c r="K129" s="29">
        <f>(B129)</f>
        <v>1.7526026428019128</v>
      </c>
      <c r="L129" s="60">
        <f>IF(SUM(L124:L128)&gt;L130,0,L130-SUM(L124:L128))</f>
        <v>0.83818434412480425</v>
      </c>
      <c r="M129" s="57">
        <f t="shared" si="63"/>
        <v>1.0193060383117718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6.6315073712584898</v>
      </c>
      <c r="J130" s="231">
        <f>(J119)</f>
        <v>6.6014163772844761</v>
      </c>
      <c r="K130" s="22">
        <f>(B130)</f>
        <v>9.5489814253680727</v>
      </c>
      <c r="L130" s="22">
        <f>(L119)</f>
        <v>6.6026618627260705</v>
      </c>
      <c r="M130" s="57">
        <f t="shared" si="63"/>
        <v>6.6014163772844761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0.57212121212121214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0.57212121212121214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0.84848484848484851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0.84848484848484851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0.84848484848484851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0.84848484848484851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0.84848484848484851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0.67272727272727284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0.7151515151515152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0.7151515151515152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2907.2253271917534</v>
      </c>
      <c r="G72" s="109">
        <f>Poor!T7</f>
        <v>3953.2441961624527</v>
      </c>
      <c r="H72" s="109">
        <f>Middle!T7</f>
        <v>3496.761058692312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229.60694969487159</v>
      </c>
      <c r="H73" s="109">
        <f>Middle!T8</f>
        <v>216.98098126994014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440.1866135633685</v>
      </c>
      <c r="G74" s="109">
        <f>Poor!T9</f>
        <v>951.84035119480836</v>
      </c>
      <c r="H74" s="109">
        <f>Middle!T9</f>
        <v>1332.847683884597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3115.2</v>
      </c>
      <c r="G76" s="109">
        <f>Poor!T11</f>
        <v>9345.6</v>
      </c>
      <c r="H76" s="109">
        <f>Middle!T11</f>
        <v>13889.307539608273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1959.4382906870467</v>
      </c>
      <c r="G77" s="109">
        <f>Poor!T12</f>
        <v>1350.899583890139</v>
      </c>
      <c r="H77" s="109">
        <f>Middle!T12</f>
        <v>226.74642521284582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59552.91428571428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25303.919999999998</v>
      </c>
      <c r="G82" s="109">
        <f>Poor!T17</f>
        <v>25466.76</v>
      </c>
      <c r="H82" s="109">
        <f>Middle!T17</f>
        <v>26879.72571428572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41939.524786654452</v>
      </c>
      <c r="G88" s="109">
        <f>Poor!T23</f>
        <v>54703.50563615455</v>
      </c>
      <c r="H88" s="109">
        <f>Middle!T23</f>
        <v>107667.3792820049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9933.1691966701546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42671.08919667016</v>
      </c>
      <c r="G100" s="242">
        <f t="shared" si="0"/>
        <v>29907.108347170048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2016-06-02T06:19:59Z</dcterms:modified>
  <cp:category/>
</cp:coreProperties>
</file>