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2"/>
  </bookViews>
  <sheets>
    <sheet name="casuals" sheetId="12" r:id="rId1"/>
    <sheet name="temporary" sheetId="1" r:id="rId2"/>
    <sheet name="full-tim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casuals!$A$1:$M$132</definedName>
    <definedName name="_xlnm.Print_Area" localSheetId="2">'full-time'!$A$1:$M$132</definedName>
    <definedName name="_xlnm.Print_Area" localSheetId="3">Rich!$A$1:$M$132</definedName>
    <definedName name="_xlnm.Print_Area" localSheetId="1">temporary!$A$1:$AK$86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I83" i="12"/>
  <c r="R24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<sst xmlns="http://schemas.openxmlformats.org/spreadsheetml/2006/main" count="788" uniqueCount="143">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</sst>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364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temporary!$A$18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temporary!$A$19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temporary!$A$20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temporary!$A$21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temporary!$A$22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temporary!$A$27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0.0143790149391233</c:v>
                </c:pt>
              </c:numCache>
            </c:numRef>
          </c:val>
        </c:ser>
        <c:ser>
          <c:idx val="22"/>
          <c:order val="2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0.29701286716694</c:v>
                </c:pt>
              </c:numCache>
            </c:numRef>
          </c:val>
        </c:ser>
        <c:ser>
          <c:idx val="24"/>
          <c:order val="2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temporary!$K$30:$M$30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0.406261282813543</c:v>
                </c:pt>
                <c:pt idx="2" formatCode="0.0%">
                  <c:v>0.599322403608222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0477336"/>
        <c:axId val="-1999327640"/>
      </c:barChart>
      <c:catAx>
        <c:axId val="-199047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32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32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047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0.614583333333333</c:v>
                </c:pt>
                <c:pt idx="2">
                  <c:v>0.614583333333333</c:v>
                </c:pt>
              </c:numCache>
            </c:numRef>
          </c:val>
        </c:ser>
        <c:ser>
          <c:idx val="4"/>
          <c:order val="4"/>
          <c:tx>
            <c:strRef>
              <c:f>'full-time'!$A$41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'full-time'!$A$43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'full-time'!$A$45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'full-time'!$A$46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'full-time'!$A$47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'full-time'!$A$48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'full-time'!$A$49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'full-time'!$A$50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'full-time'!$A$51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'full-time'!$A$52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'full-time'!$A$53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'full-time'!$A$59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'full-time'!$A$60</c:f>
              <c:strCache>
                <c:ptCount val="1"/>
              </c:strCache>
            </c:strRef>
          </c:tx>
          <c:invertIfNegative val="0"/>
          <c:val>
            <c:numRef>
              <c:f>'full-time'!$K$60:$M$60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'full-time'!$A$61</c:f>
              <c:strCache>
                <c:ptCount val="1"/>
              </c:strCache>
            </c:strRef>
          </c:tx>
          <c:invertIfNegative val="0"/>
          <c:val>
            <c:numRef>
              <c:f>'full-time'!$K$61:$M$61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'full-time'!$A$62</c:f>
              <c:strCache>
                <c:ptCount val="1"/>
              </c:strCache>
            </c:strRef>
          </c:tx>
          <c:invertIfNegative val="0"/>
          <c:val>
            <c:numRef>
              <c:f>'full-time'!$K$62:$M$62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'full-time'!$A$63</c:f>
              <c:strCache>
                <c:ptCount val="1"/>
              </c:strCache>
            </c:strRef>
          </c:tx>
          <c:invertIfNegative val="0"/>
          <c:val>
            <c:numRef>
              <c:f>'full-time'!$K$63:$M$63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'full-time'!$A$64</c:f>
              <c:strCache>
                <c:ptCount val="1"/>
              </c:strCache>
            </c:strRef>
          </c:tx>
          <c:invertIfNegative val="0"/>
          <c:val>
            <c:numRef>
              <c:f>'full-time'!$K$64:$M$64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423512"/>
        <c:axId val="-2002601432"/>
      </c:barChart>
      <c:catAx>
        <c:axId val="-199942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60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60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2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19784"/>
        <c:axId val="-1999426760"/>
      </c:barChart>
      <c:catAx>
        <c:axId val="-201791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2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2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1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0.161277675276753</c:v>
                </c:pt>
                <c:pt idx="2">
                  <c:v>0.161277675276753</c:v>
                </c:pt>
              </c:numCache>
            </c:numRef>
          </c:val>
        </c:ser>
        <c:ser>
          <c:idx val="1"/>
          <c:order val="1"/>
          <c:tx>
            <c:strRef>
              <c:f>casuals!$A$38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0.164264298892989</c:v>
                </c:pt>
                <c:pt idx="2">
                  <c:v>0.164264298892989</c:v>
                </c:pt>
              </c:numCache>
            </c:numRef>
          </c:val>
        </c:ser>
        <c:ser>
          <c:idx val="2"/>
          <c:order val="2"/>
          <c:tx>
            <c:strRef>
              <c:f>casuals!$A$39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0.12799815498155</c:v>
                </c:pt>
                <c:pt idx="2">
                  <c:v>0.12799815498155</c:v>
                </c:pt>
              </c:numCache>
            </c:numRef>
          </c:val>
        </c:ser>
        <c:ser>
          <c:idx val="3"/>
          <c:order val="3"/>
          <c:tx>
            <c:strRef>
              <c:f>casuals!$A$40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0.19049815498155</c:v>
                </c:pt>
                <c:pt idx="2">
                  <c:v>0.19049815498155</c:v>
                </c:pt>
              </c:numCache>
            </c:numRef>
          </c:val>
        </c:ser>
        <c:ser>
          <c:idx val="4"/>
          <c:order val="4"/>
          <c:tx>
            <c:strRef>
              <c:f>casuals!$A$41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0.20410516605166</c:v>
                </c:pt>
                <c:pt idx="2">
                  <c:v>0.244926199261993</c:v>
                </c:pt>
              </c:numCache>
            </c:numRef>
          </c:val>
        </c:ser>
        <c:ser>
          <c:idx val="5"/>
          <c:order val="5"/>
          <c:tx>
            <c:strRef>
              <c:f>casuals!$A$42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casuals!$A$44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casuals!$A$45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casuals!$A$46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casuals!$A$47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casuals!$A$48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casuals!$A$49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casuals!$A$50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casuals!$A$51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casuals!$A$52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casuals!$A$53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casuals!$A$58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casuals!$A$60</c:f>
              <c:strCache>
                <c:ptCount val="1"/>
              </c:strCache>
            </c:strRef>
          </c:tx>
          <c:invertIfNegative val="0"/>
          <c:val>
            <c:numRef>
              <c:f>casuals!$K$60:$M$60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casuals!$A$61</c:f>
              <c:strCache>
                <c:ptCount val="1"/>
              </c:strCache>
            </c:strRef>
          </c:tx>
          <c:invertIfNegative val="0"/>
          <c:val>
            <c:numRef>
              <c:f>casuals!$K$61:$M$61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casuals!$A$62</c:f>
              <c:strCache>
                <c:ptCount val="1"/>
              </c:strCache>
            </c:strRef>
          </c:tx>
          <c:invertIfNegative val="0"/>
          <c:val>
            <c:numRef>
              <c:f>casuals!$K$62:$M$62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casuals!$A$63</c:f>
              <c:strCache>
                <c:ptCount val="1"/>
              </c:strCache>
            </c:strRef>
          </c:tx>
          <c:invertIfNegative val="0"/>
          <c:val>
            <c:numRef>
              <c:f>casuals!$K$63:$M$63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casuals!$A$64</c:f>
              <c:strCache>
                <c:ptCount val="1"/>
              </c:strCache>
            </c:strRef>
          </c:tx>
          <c:invertIfNegative val="0"/>
          <c:val>
            <c:numRef>
              <c:f>casuals!$K$64:$M$64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51528"/>
        <c:axId val="-2005740504"/>
      </c:barChart>
      <c:catAx>
        <c:axId val="-201755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74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74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5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Non-Affected Area with Grants</a:t>
            </a:r>
          </a:p>
        </c:rich>
      </c:tx>
      <c:layout>
        <c:manualLayout>
          <c:xMode val="edge"/>
          <c:yMode val="edge"/>
          <c:x val="0.323626263038364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11799.3</c:v>
                </c:pt>
                <c:pt idx="4">
                  <c:v>16095.0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4956</c:v>
                </c:pt>
                <c:pt idx="4">
                  <c:v>7080.0</c:v>
                </c:pt>
                <c:pt idx="5">
                  <c:v>35400.0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6372.000000000001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2008920"/>
        <c:axId val="-20024752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008920"/>
        <c:axId val="-2002475224"/>
      </c:lineChart>
      <c:catAx>
        <c:axId val="-200200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47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47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008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0682600"/>
        <c:axId val="21164417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82600"/>
        <c:axId val="2116441752"/>
      </c:lineChart>
      <c:catAx>
        <c:axId val="-200068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4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4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682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887768"/>
        <c:axId val="-20307637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87768"/>
        <c:axId val="-2030763768"/>
      </c:lineChart>
      <c:catAx>
        <c:axId val="-2144887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6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76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8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temporary!$A$71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temporary!$A$72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0.215906764769208</c:v>
                </c:pt>
                <c:pt idx="2">
                  <c:v>0.107456146746817</c:v>
                </c:pt>
              </c:numCache>
            </c:numRef>
          </c:val>
        </c:ser>
        <c:ser>
          <c:idx val="3"/>
          <c:order val="3"/>
          <c:tx>
            <c:strRef>
              <c:f>temporary!$A$73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temporary!$A$75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temporary!$K$75:$M$75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temporary!$K$74:$M$74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0.228214189466741</c:v>
                </c:pt>
                <c:pt idx="2">
                  <c:v>0.336664807489132</c:v>
                </c:pt>
              </c:numCache>
            </c:numRef>
          </c:val>
        </c:ser>
        <c:ser>
          <c:idx val="4"/>
          <c:order val="6"/>
          <c:tx>
            <c:strRef>
              <c:f>temporary!$A$77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temporary!$K$77:$M$77</c:f>
              <c:numCache>
                <c:formatCode>0%</c:formatCode>
                <c:ptCount val="3"/>
                <c:pt idx="1">
                  <c:v>-0.0714506207536248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9636312"/>
        <c:axId val="-1995012776"/>
      </c:barChart>
      <c:catAx>
        <c:axId val="-20096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01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01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9636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1"/>
          <c:order val="2"/>
          <c:tx>
            <c:strRef>
              <c:f>'full-time'!$A$73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0.104479166666667</c:v>
                </c:pt>
              </c:numCache>
            </c:numRef>
          </c:val>
        </c:ser>
        <c:ser>
          <c:idx val="5"/>
          <c:order val="3"/>
          <c:tx>
            <c:strRef>
              <c:f>'full-time'!$A$72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'full-time'!$K$72:$M$72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'full-time'!$A$75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0.263362472802512</c:v>
                </c:pt>
                <c:pt idx="2">
                  <c:v>0.216669255748285</c:v>
                </c:pt>
              </c:numCache>
            </c:numRef>
          </c:val>
        </c:ser>
        <c:ser>
          <c:idx val="6"/>
          <c:order val="5"/>
          <c:tx>
            <c:strRef>
              <c:f>'full-time'!$A$74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'full-time'!$K$74:$M$74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0.140972472374416</c:v>
                </c:pt>
                <c:pt idx="2">
                  <c:v>0.187665689428644</c:v>
                </c:pt>
              </c:numCache>
            </c:numRef>
          </c:val>
        </c:ser>
        <c:ser>
          <c:idx val="4"/>
          <c:order val="6"/>
          <c:tx>
            <c:strRef>
              <c:f>'full-time'!$A$77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382616"/>
        <c:axId val="-2069412968"/>
      </c:barChart>
      <c:catAx>
        <c:axId val="21193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41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41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8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521272"/>
        <c:axId val="2085562552"/>
      </c:barChart>
      <c:catAx>
        <c:axId val="-19995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56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56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5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casuals!$A$71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0.35329848298483</c:v>
                </c:pt>
                <c:pt idx="2">
                  <c:v>0.35329848298483</c:v>
                </c:pt>
              </c:numCache>
            </c:numRef>
          </c:val>
        </c:ser>
        <c:ser>
          <c:idx val="5"/>
          <c:order val="2"/>
          <c:tx>
            <c:strRef>
              <c:f>casuals!$A$72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casuals!$K$72:$M$72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0.0271324795660641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casuals!$A$73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casuals!$A$74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0.258536064491095</c:v>
                </c:pt>
                <c:pt idx="2">
                  <c:v>0.473837907108165</c:v>
                </c:pt>
              </c:numCache>
            </c:numRef>
          </c:val>
        </c:ser>
        <c:ser>
          <c:idx val="3"/>
          <c:order val="5"/>
          <c:tx>
            <c:strRef>
              <c:f>casuals!$A$75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casuals!$A$77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casuals!$K$77:$M$77</c:f>
              <c:numCache>
                <c:formatCode>0%</c:formatCode>
                <c:ptCount val="3"/>
                <c:pt idx="1">
                  <c:v>-0.326166003418766</c:v>
                </c:pt>
                <c:pt idx="2">
                  <c:v>-0.147348329840673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5212200"/>
        <c:axId val="2102581608"/>
      </c:barChart>
      <c:catAx>
        <c:axId val="-199521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58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58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21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'full-time'!$A$18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'full-time'!$A$19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'full-time'!$A$20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'full-time'!$A$21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'full-time'!$A$22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'full-time'!$A$23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'full-time'!$A$24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'full-time'!$A$25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'full-time'!$A$26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'full-time'!$A$27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0.0247621949542778</c:v>
                </c:pt>
              </c:numCache>
            </c:numRef>
          </c:val>
        </c:ser>
        <c:ser>
          <c:idx val="22"/>
          <c:order val="2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0.373634489599964</c:v>
                </c:pt>
              </c:numCache>
            </c:numRef>
          </c:val>
        </c:ser>
        <c:ser>
          <c:idx val="24"/>
          <c:order val="2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'full-time'!$O$4:$O$6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'full-time'!$K$30:$M$30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0.451918019885471</c:v>
                </c:pt>
                <c:pt idx="2" formatCode="0.0%">
                  <c:v>0.601603315445758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503080"/>
        <c:axId val="-2001876968"/>
      </c:barChart>
      <c:catAx>
        <c:axId val="213550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87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87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550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31352"/>
        <c:axId val="-20371903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31352"/>
        <c:axId val="-20371903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31352"/>
        <c:axId val="-2037190360"/>
      </c:scatterChart>
      <c:catAx>
        <c:axId val="2116831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7190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7190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831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35368"/>
        <c:axId val="-20080066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35368"/>
        <c:axId val="-2008006632"/>
      </c:lineChart>
      <c:catAx>
        <c:axId val="-20425353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8006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8006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353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443192"/>
        <c:axId val="-20322428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15384"/>
        <c:axId val="-2032757944"/>
      </c:scatterChart>
      <c:valAx>
        <c:axId val="-2032443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242856"/>
        <c:crosses val="autoZero"/>
        <c:crossBetween val="midCat"/>
      </c:valAx>
      <c:valAx>
        <c:axId val="-2032242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443192"/>
        <c:crosses val="autoZero"/>
        <c:crossBetween val="midCat"/>
      </c:valAx>
      <c:valAx>
        <c:axId val="-20325153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2757944"/>
        <c:crosses val="autoZero"/>
        <c:crossBetween val="midCat"/>
      </c:valAx>
      <c:valAx>
        <c:axId val="-20327579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5153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9896"/>
        <c:axId val="-20021814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39896"/>
        <c:axId val="-2002181448"/>
      </c:lineChart>
      <c:catAx>
        <c:axId val="211723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2181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2181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2398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707736"/>
        <c:axId val="-2132928904"/>
      </c:barChart>
      <c:catAx>
        <c:axId val="21387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292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292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70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casuals!$A$16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casuals!$A$17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casuals!$A$18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casuals!$A$19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casuals!$A$20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casuals!$A$21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casuals!$A$22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casuals!$O$4:$O$6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casuals!$K$22:$M$22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casuals!$A$23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casuals!$A$24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casuals!$A$25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casuals!$A$26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casuals!$A$27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casuals!$K$30:$M$30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0.374338517810818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540968"/>
        <c:axId val="-2013323096"/>
      </c:barChart>
      <c:catAx>
        <c:axId val="208854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3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32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54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(temporary!$AA$6,temporary!$AC$6,temporary!$AE$6,temporary!$AG$6)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temporary!$A$7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(temporary!$AA$7,temporary!$AC$7,temporary!$AE$7,temporary!$AG$7)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(temporary!$AA$8,temporary!$AC$8,temporary!$AE$8,temporary!$AG$8)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temporary!$A$9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(temporary!$AA$9,temporary!$AC$9,temporary!$AE$9,temporary!$AG$9)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temporary!$A$10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(temporary!$AA$10,temporary!$AC$10,temporary!$AE$10,temporary!$AG$10)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(temporary!$AA$11,temporary!$AC$11,temporary!$AE$11,temporary!$AG$11)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temporary!$A$12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(temporary!$AA$12,temporary!$AC$12,temporary!$AE$12,temporary!$AG$12)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temporary!$A$13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(temporary!$AA$13,temporary!$AC$13,temporary!$AE$13,temporary!$AG$13)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temporary!$A$14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(temporary!$AA$14,temporary!$AC$14,temporary!$AE$14,temporary!$AG$14)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temporary!$A$15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(temporary!$AA$15,temporary!$AC$15,temporary!$AE$15,temporary!$AG$15)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temporary!$A$16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(temporary!$AA$16,temporary!$AC$16,temporary!$AE$16,temporary!$AG$16)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temporary!$A$17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(temporary!$AA$17,temporary!$AC$17,temporary!$AE$17,temporary!$AG$17)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temporary!$A$28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(temporary!$AA$28,temporary!$AC$28,temporary!$AE$28,temporary!$AG$28)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temporary!$A$29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(temporary!$AA$29,temporary!$AC$29,temporary!$AE$29,temporary!$AG$29)</c:f>
              <c:numCache>
                <c:formatCode>0.0%</c:formatCode>
                <c:ptCount val="4"/>
                <c:pt idx="0">
                  <c:v>0.29701286716694</c:v>
                </c:pt>
                <c:pt idx="1">
                  <c:v>0.29701286716694</c:v>
                </c:pt>
                <c:pt idx="2">
                  <c:v>0.29701286716694</c:v>
                </c:pt>
                <c:pt idx="3">
                  <c:v>0.29701286716694</c:v>
                </c:pt>
              </c:numCache>
            </c:numRef>
          </c:val>
        </c:ser>
        <c:ser>
          <c:idx val="13"/>
          <c:order val="14"/>
          <c:tx>
            <c:strRef>
              <c:f>temporary!$A$30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(temporary!$Z$1,temporary!$AB$1,temporary!$AD$1,temporary!$AF$1)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(temporary!$AA$30,temporary!$AC$30,temporary!$AE$30,temporary!$AG$30)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94760"/>
        <c:axId val="-2005084440"/>
      </c:barChart>
      <c:catAx>
        <c:axId val="2092394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084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08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9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casuals!$A$6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(casuals!$AA$6,casuals!$AC$6,casuals!$AE$6,casuals!$AG$6)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casuals!$A$7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(casuals!$AA$7,casuals!$AC$7,casuals!$AE$7,casuals!$AG$7)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casuals!$A$8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(casuals!$AA$8,casuals!$AC$8,casuals!$AE$8,casuals!$AG$8)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casuals!$A$9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(casuals!$AA$9,casuals!$AC$9,casuals!$AE$9,casuals!$AG$9)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casuals!$A$10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(casuals!$AA$10,casuals!$AC$10,casuals!$AE$10,casuals!$AG$10)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casuals!$A$11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(casuals!$AA$11,casuals!$AC$11,casuals!$AE$11,casuals!$AG$11)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casuals!$A$12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(casuals!$AA$12,casuals!$AC$12,casuals!$AE$12,casuals!$AG$12)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casuals!$A$13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(casuals!$AA$13,casuals!$AC$13,casuals!$AE$13,casuals!$AG$13)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casuals!$A$14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(casuals!$AA$14,casuals!$AC$14,casuals!$AE$14,casuals!$AG$14)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casuals!$A$15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(casuals!$AA$15,casuals!$AC$15,casuals!$AE$15,casuals!$AG$15)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casuals!$A$24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(casuals!$AA$24,casuals!$AC$24,casuals!$AE$24,casuals!$AG$24)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casuals!$A$25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(casuals!$AA$25,casuals!$AC$25,casuals!$AE$25,casuals!$AG$25)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casuals!$A$28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(casuals!$AA$28,casuals!$AC$28,casuals!$AE$28,casuals!$AG$28)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casuals!$A$29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(casuals!$AA$29,casuals!$AC$29,casuals!$AE$29,casuals!$AG$29)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casuals!$A$30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(casuals!$Z$1,casuals!$AB$1,casuals!$AD$1,casuals!$AF$1)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(casuals!$AA$30,casuals!$AC$30,casuals!$AE$30,casuals!$AG$30)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85384"/>
        <c:axId val="-2005362872"/>
      </c:barChart>
      <c:catAx>
        <c:axId val="2087985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362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36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98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'full-time'!$A$6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('full-time'!$AA$6,'full-time'!$AC$6,'full-time'!$AE$6,'full-time'!$AG$6)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'full-time'!$A$7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('full-time'!$AA$7,'full-time'!$AC$7,'full-time'!$AE$7,'full-time'!$AG$7)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'full-time'!$A$8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('full-time'!$AA$8,'full-time'!$AC$8,'full-time'!$AE$8,'full-time'!$AG$8)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'full-time'!$A$9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('full-time'!$AA$9,'full-time'!$AC$9,'full-time'!$AE$9,'full-time'!$AG$9)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'full-time'!$A$10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('full-time'!$AA$10,'full-time'!$AC$10,'full-time'!$AE$10,'full-time'!$AG$10)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'full-time'!$A$11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('full-time'!$AA$11,'full-time'!$AC$11,'full-time'!$AE$11,'full-time'!$AG$11)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'full-time'!$A$12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('full-time'!$AA$12,'full-time'!$AC$12,'full-time'!$AE$12,'full-time'!$AG$12)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'full-time'!$A$13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('full-time'!$AA$13,'full-time'!$AC$13,'full-time'!$AE$13,'full-time'!$AG$13)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'full-time'!$A$14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('full-time'!$AA$14,'full-time'!$AC$14,'full-time'!$AE$14,'full-time'!$AG$14)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'full-time'!$A$15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('full-time'!$AA$15,'full-time'!$AC$15,'full-time'!$AE$15,'full-time'!$AG$15)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'full-time'!$A$16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('full-time'!$AA$16,'full-time'!$AC$16,'full-time'!$AE$16,'full-time'!$AG$16)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'full-time'!$A$17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('full-time'!$AA$17,'full-time'!$AC$17,'full-time'!$AE$17,'full-time'!$AG$17)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'full-time'!$A$28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('full-time'!$AA$28,'full-time'!$AC$28,'full-time'!$AE$28,'full-time'!$AG$28)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'full-time'!$A$29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('full-time'!$AA$29,'full-time'!$AC$29,'full-time'!$AE$29,'full-time'!$AG$29)</c:f>
              <c:numCache>
                <c:formatCode>0.0%</c:formatCode>
                <c:ptCount val="4"/>
                <c:pt idx="0">
                  <c:v>0.373634489599964</c:v>
                </c:pt>
                <c:pt idx="1">
                  <c:v>0.373634489599964</c:v>
                </c:pt>
                <c:pt idx="2">
                  <c:v>0.373634489599964</c:v>
                </c:pt>
                <c:pt idx="3">
                  <c:v>0.373634489599964</c:v>
                </c:pt>
              </c:numCache>
            </c:numRef>
          </c:val>
        </c:ser>
        <c:ser>
          <c:idx val="13"/>
          <c:order val="14"/>
          <c:tx>
            <c:strRef>
              <c:f>'full-time'!$A$30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('full-time'!$Z$1,'full-time'!$AB$1,'full-time'!$AD$1,'full-time'!$AF$1)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('full-time'!$AA$30,'full-time'!$AC$30,'full-time'!$AE$30,'full-time'!$AG$30)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689000"/>
        <c:axId val="-2000864632"/>
      </c:barChart>
      <c:catAx>
        <c:axId val="-1998689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86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086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8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395016"/>
        <c:axId val="-2005346952"/>
      </c:barChart>
      <c:catAx>
        <c:axId val="2102395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5346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534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39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temporary!$A$37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0.399080847870944</c:v>
                </c:pt>
                <c:pt idx="2">
                  <c:v>0.399080847870943</c:v>
                </c:pt>
              </c:numCache>
            </c:numRef>
          </c:val>
        </c:ser>
        <c:ser>
          <c:idx val="1"/>
          <c:order val="1"/>
          <c:tx>
            <c:strRef>
              <c:f>temporary!$A$38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temporary!$A$39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0.104108047270681</c:v>
                </c:pt>
                <c:pt idx="2">
                  <c:v>0.104108047270681</c:v>
                </c:pt>
              </c:numCache>
            </c:numRef>
          </c:val>
        </c:ser>
        <c:ser>
          <c:idx val="3"/>
          <c:order val="3"/>
          <c:tx>
            <c:strRef>
              <c:f>temporary!$A$40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0.221346839242168</c:v>
                </c:pt>
                <c:pt idx="2">
                  <c:v>0.221346839242168</c:v>
                </c:pt>
              </c:numCache>
            </c:numRef>
          </c:val>
        </c:ser>
        <c:ser>
          <c:idx val="4"/>
          <c:order val="4"/>
          <c:tx>
            <c:strRef>
              <c:f>temporary!$A$41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temporary!$A$42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temporary!$A$43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temporary!$A$44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temporary!$A$45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temporary!$A$46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temporary!$A$47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temporary!$A$48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temporary!$A$49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temporary!$A$50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temporary!$A$51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temporary!$A$52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temporary!$A$53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temporary!$A$54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temporary!$A$55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temporary!$A$56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temporary!$A$57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temporary!$A$58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temporary!$A$59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temporary!$O$4:$O$6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temporary!$K$59:$M$59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temporary!$A$60</c:f>
              <c:strCache>
                <c:ptCount val="1"/>
              </c:strCache>
            </c:strRef>
          </c:tx>
          <c:invertIfNegative val="0"/>
          <c:val>
            <c:numRef>
              <c:f>temporary!$K$60:$M$60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temporary!$A$61</c:f>
              <c:strCache>
                <c:ptCount val="1"/>
              </c:strCache>
            </c:strRef>
          </c:tx>
          <c:invertIfNegative val="0"/>
          <c:val>
            <c:numRef>
              <c:f>temporary!$K$61:$M$61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temporary!$A$62</c:f>
              <c:strCache>
                <c:ptCount val="1"/>
              </c:strCache>
            </c:strRef>
          </c:tx>
          <c:invertIfNegative val="0"/>
          <c:val>
            <c:numRef>
              <c:f>temporary!$K$62:$M$62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temporary!$A$63</c:f>
              <c:strCache>
                <c:ptCount val="1"/>
              </c:strCache>
            </c:strRef>
          </c:tx>
          <c:invertIfNegative val="0"/>
          <c:val>
            <c:numRef>
              <c:f>temporary!$K$63:$M$63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temporary!$A$64</c:f>
              <c:strCache>
                <c:ptCount val="1"/>
              </c:strCache>
            </c:strRef>
          </c:tx>
          <c:invertIfNegative val="0"/>
          <c:val>
            <c:numRef>
              <c:f>temporary!$K$64:$M$64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2091752"/>
        <c:axId val="-1991652856"/>
      </c:barChart>
      <c:catAx>
        <c:axId val="-20020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65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5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09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temporary!Z1</f>
        <v>Apr-Jun</v>
      </c>
      <c r="AA1" s="258"/>
      <c r="AB1" s="257" t="str">
        <f>temporary!AB1</f>
        <v>Jul-Sep</v>
      </c>
      <c r="AC1" s="258"/>
      <c r="AD1" s="257" t="str">
        <f>temporary!AD1</f>
        <v>Oct-Dec</v>
      </c>
      <c r="AE1" s="258"/>
      <c r="AF1" s="257" t="str">
        <f>temporary!AF1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>
        <v>1</v>
      </c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>$M12*AB12*4</f>
        <v>0</v>
      </c>
      <c r="AD12" s="156">
        <f>temporary!AD12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16142.547124621035</v>
      </c>
      <c r="S13" s="222">
        <f>IF($B$81=0,0,(SUMIF($N$6:$N$28,$U13,L$6:L$28)+SUMIF($N$91:$N$118,$U13,L$91:L$118))*$I$83*temporary!$B$81/$B$81)</f>
        <v>11799.3</v>
      </c>
      <c r="T13" s="222">
        <f>IF($B$81=0,0,(SUMIF($N$6:$N$28,$U13,M$6:M$28)+SUMIF($N$91:$N$118,$U13,M$91:M$118))*$I$83*temporary!$B$81/$B$81)</f>
        <v>11799.3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>$M13*AB13*4</f>
        <v>0</v>
      </c>
      <c r="AD13" s="156">
        <f>temporary!AD13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6378.0524857392611</v>
      </c>
      <c r="S14" s="222">
        <f>IF($B$81=0,0,(SUMIF($N$6:$N$28,$U14,L$6:L$28)+SUMIF($N$91:$N$118,$U14,L$91:L$118))*$I$83*temporary!$B$81/$B$81)</f>
        <v>4955.9999999999991</v>
      </c>
      <c r="T14" s="222">
        <f>IF($B$81=0,0,(SUMIF($N$6:$N$28,$U14,M$6:M$28)+SUMIF($N$91:$N$118,$U14,M$91:M$118))*$I$83*temporary!$B$81/$B$81)</f>
        <v>4955.9999999999991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4">$M14*Z14*4</f>
        <v>0</v>
      </c>
      <c r="AB14" s="156">
        <f>temporary!AB14</f>
        <v>1</v>
      </c>
      <c r="AC14" s="121">
        <f>$M14*AB14*4</f>
        <v>0</v>
      </c>
      <c r="AD14" s="156">
        <f>temporary!AD14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5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4"/>
        <v>0</v>
      </c>
      <c r="AB15" s="156">
        <f>temporary!AB15</f>
        <v>0.25</v>
      </c>
      <c r="AC15" s="121">
        <f>$M15*AB15*4</f>
        <v>0</v>
      </c>
      <c r="AD15" s="156">
        <f>temporary!AD15</f>
        <v>0.25</v>
      </c>
      <c r="AE15" s="121">
        <f>$M15*AD15*4</f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6">(B16+C16)</f>
        <v>0</v>
      </c>
      <c r="E16" s="75">
        <f>temporary!E16</f>
        <v>1</v>
      </c>
      <c r="F16" s="22"/>
      <c r="H16" s="24">
        <f t="shared" ref="H16:H25" si="17">(E16*F$7/F$9)</f>
        <v>1</v>
      </c>
      <c r="I16" s="22">
        <f t="shared" ref="I16:I25" si="18">(D16*H16)</f>
        <v>0</v>
      </c>
      <c r="J16" s="24">
        <f t="shared" si="15"/>
        <v>0</v>
      </c>
      <c r="K16" s="22">
        <f t="shared" ref="K16:K25" si="19">B16</f>
        <v>0</v>
      </c>
      <c r="L16" s="22">
        <f t="shared" ref="L16:L25" si="20">IF(K16="","",K16*H16)</f>
        <v>0</v>
      </c>
      <c r="M16" s="226">
        <f t="shared" ref="M16:M25" si="21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6833.6276632920653</v>
      </c>
      <c r="S16" s="222">
        <f>IF($B$81=0,0,(SUMIF($N$6:$N$28,$U16,L$6:L$28)+SUMIF($N$91:$N$118,$U16,L$91:L$118))*$I$83*temporary!$B$81/$B$81)</f>
        <v>5310</v>
      </c>
      <c r="T16" s="222">
        <f>IF($B$81=0,0,(SUMIF($N$6:$N$28,$U16,M$6:M$28)+SUMIF($N$91:$N$118,$U16,M$91:M$118))*$I$83*temporary!$B$81/$B$81)</f>
        <v>6372.0000000000009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6"/>
        <v>0</v>
      </c>
      <c r="E17" s="75">
        <f>temporary!E17</f>
        <v>1</v>
      </c>
      <c r="F17" s="22"/>
      <c r="H17" s="24">
        <f t="shared" si="17"/>
        <v>1</v>
      </c>
      <c r="I17" s="22">
        <f t="shared" si="18"/>
        <v>0</v>
      </c>
      <c r="J17" s="24">
        <f t="shared" si="15"/>
        <v>0</v>
      </c>
      <c r="K17" s="22">
        <f t="shared" si="19"/>
        <v>0</v>
      </c>
      <c r="L17" s="22">
        <f t="shared" si="20"/>
        <v>0</v>
      </c>
      <c r="M17" s="226">
        <f t="shared" si="21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temporary!E18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6">
        <f t="shared" si="21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temporary!E19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6">
        <f t="shared" si="21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temporary!E20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6">
        <f t="shared" si="21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temporary!E21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6">
        <f t="shared" si="21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temporary!E22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6">
        <f t="shared" si="21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temporary!E23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6">
        <f t="shared" si="21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31327.576117780685</v>
      </c>
      <c r="T23" s="179">
        <f>SUM(T7:T22)</f>
        <v>32389.576117780685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temporary!E24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6">
        <f t="shared" si="21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7"/>
        <v>0</v>
      </c>
      <c r="Z24" s="156">
        <f>temporary!Z16</f>
        <v>0</v>
      </c>
      <c r="AA24" s="121">
        <f t="shared" si="14"/>
        <v>0</v>
      </c>
      <c r="AB24" s="156">
        <f>temporary!AB16</f>
        <v>0</v>
      </c>
      <c r="AC24" s="121">
        <f t="shared" ref="AC24:AC29" si="22">$M24*AB24*4</f>
        <v>0</v>
      </c>
      <c r="AD24" s="156">
        <f>temporary!AD16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temporary!E25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6">
        <f t="shared" si="21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>
        <f t="shared" si="7"/>
        <v>0</v>
      </c>
      <c r="Z25" s="156">
        <f>temporary!Z17</f>
        <v>0.29409999999999997</v>
      </c>
      <c r="AA25" s="121">
        <f t="shared" si="14"/>
        <v>0</v>
      </c>
      <c r="AB25" s="156">
        <f>temporary!AB17</f>
        <v>0.17649999999999999</v>
      </c>
      <c r="AC25" s="121">
        <f t="shared" si="22"/>
        <v>0</v>
      </c>
      <c r="AD25" s="156">
        <f>temporary!AD17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temporary!E26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56">
        <f>temporary!Z26</f>
        <v>0.25</v>
      </c>
      <c r="AA26" s="121">
        <f t="shared" si="14"/>
        <v>8.9285714285714288E-2</v>
      </c>
      <c r="AB26" s="156">
        <f>temporary!AB26</f>
        <v>0.25</v>
      </c>
      <c r="AC26" s="121">
        <f t="shared" si="22"/>
        <v>8.9285714285714288E-2</v>
      </c>
      <c r="AD26" s="156">
        <f>temporary!AD26</f>
        <v>0.25</v>
      </c>
      <c r="AE26" s="121">
        <f t="shared" si="23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4"/>
        <v>0</v>
      </c>
      <c r="AB27" s="156">
        <f>temporary!AB27</f>
        <v>0.25</v>
      </c>
      <c r="AC27" s="121">
        <f t="shared" si="22"/>
        <v>0</v>
      </c>
      <c r="AD27" s="156">
        <f>temporary!AD27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4"/>
        <v>0</v>
      </c>
      <c r="AB28" s="156">
        <f>temporary!AB28</f>
        <v>0</v>
      </c>
      <c r="AC28" s="121">
        <f t="shared" si="22"/>
        <v>0</v>
      </c>
      <c r="AD28" s="156">
        <f>temporary!AD28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7"/>
        <v>0.89854709576798864</v>
      </c>
      <c r="Z29" s="156">
        <f>temporary!Z29</f>
        <v>0.25</v>
      </c>
      <c r="AA29" s="121">
        <f t="shared" si="14"/>
        <v>0.22463677394199716</v>
      </c>
      <c r="AB29" s="156">
        <f>temporary!AB29</f>
        <v>0.25</v>
      </c>
      <c r="AC29" s="121">
        <f t="shared" si="22"/>
        <v>0.22463677394199716</v>
      </c>
      <c r="AD29" s="156">
        <f>temporary!AD29</f>
        <v>0.25</v>
      </c>
      <c r="AE29" s="121">
        <f t="shared" si="23"/>
        <v>0.22463677394199716</v>
      </c>
      <c r="AF29" s="122">
        <f t="shared" si="8"/>
        <v>0.25</v>
      </c>
      <c r="AG29" s="121">
        <f t="shared" si="9"/>
        <v>0.22463677394199716</v>
      </c>
      <c r="AH29" s="123">
        <f t="shared" si="10"/>
        <v>1</v>
      </c>
      <c r="AI29" s="183">
        <f t="shared" si="11"/>
        <v>0.22463677394199716</v>
      </c>
      <c r="AJ29" s="120">
        <f t="shared" si="12"/>
        <v>0.22463677394199716</v>
      </c>
      <c r="AK29" s="119">
        <f t="shared" si="13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temporary!E30</f>
        <v>1</v>
      </c>
      <c r="H30" s="96">
        <f>(E30*F$7/F$9)</f>
        <v>1</v>
      </c>
      <c r="I30" s="29">
        <f>IF(E30&gt;=1,I119-I124,MIN(I119-I124,B30*H30))</f>
        <v>0.98427604443213024</v>
      </c>
      <c r="J30" s="231">
        <f>IF(I$32&lt;=1,I30,1-SUM(J6:J29))</f>
        <v>0.6860775117722886</v>
      </c>
      <c r="K30" s="22">
        <f t="shared" si="4"/>
        <v>0.61897901469489414</v>
      </c>
      <c r="L30" s="22">
        <f>IF(L124=L119,0,IF(K30="",0,(L119-L124)/(B119-B124)*K30))</f>
        <v>0.37433851781081839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0.1425610844663564</v>
      </c>
      <c r="M31" s="241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4895.4141491349437</v>
      </c>
      <c r="T31" s="234">
        <f>IF(T25&gt;T$23,T25-T$23,0)</f>
        <v>3833.4141491349437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1.2981985326598418</v>
      </c>
      <c r="J32" s="17"/>
      <c r="L32" s="22">
        <f>SUM(L6:L30)</f>
        <v>0.8574389155336436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21264.37414913495</v>
      </c>
      <c r="T32" s="234">
        <f t="shared" si="24"/>
        <v>20202.37414913495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1.0346158310597546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3833.4141491349469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IF(temporary!A37=0,"",temporary!A37)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4195.8</v>
      </c>
      <c r="J37" s="38">
        <f>J91*I$83</f>
        <v>4195.8</v>
      </c>
      <c r="K37" s="40">
        <f>(B37/B$65)</f>
        <v>0.14529520295202952</v>
      </c>
      <c r="L37" s="22">
        <f>(K37*H37)</f>
        <v>0.1612776752767528</v>
      </c>
      <c r="M37" s="24">
        <f>J37/B$65</f>
        <v>0.16127767527675277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6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IF(temporary!A38=0,"",temporary!A38)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4273.5</v>
      </c>
      <c r="J38" s="38">
        <f t="shared" ref="J38:J64" si="29">J92*I$83</f>
        <v>4273.5</v>
      </c>
      <c r="K38" s="40">
        <f t="shared" ref="K38:K64" si="30">(B38/B$65)</f>
        <v>0.14798585485854859</v>
      </c>
      <c r="L38" s="22">
        <f t="shared" ref="L38:L64" si="31">(K38*H38)</f>
        <v>0.16426429889298896</v>
      </c>
      <c r="M38" s="24">
        <f t="shared" ref="M38:M64" si="32">J38/B$65</f>
        <v>0.16426429889298894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6"/>
        <v>#DIV/0!</v>
      </c>
      <c r="AG38" s="147" t="e">
        <f t="shared" ref="AG38:AG64" si="33">$J38*AF38</f>
        <v>#DIV/0!</v>
      </c>
      <c r="AH38" s="123" t="e">
        <f t="shared" ref="AH38:AI58" si="34">SUM(Z38,AB38,AD38,AF38)</f>
        <v>#DIV/0!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IF(temporary!A39=0,"",temporary!A39)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3330.0000000000005</v>
      </c>
      <c r="J39" s="38">
        <f t="shared" si="29"/>
        <v>3330.0000000000005</v>
      </c>
      <c r="K39" s="40">
        <f t="shared" si="30"/>
        <v>0.11531365313653137</v>
      </c>
      <c r="L39" s="22">
        <f t="shared" si="31"/>
        <v>0.12799815498154984</v>
      </c>
      <c r="M39" s="24">
        <f t="shared" si="32"/>
        <v>0.12799815498154984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3330.0000000000005</v>
      </c>
      <c r="AH39" s="123">
        <f t="shared" si="34"/>
        <v>1</v>
      </c>
      <c r="AI39" s="112">
        <f t="shared" si="34"/>
        <v>3330.0000000000005</v>
      </c>
      <c r="AJ39" s="148">
        <f t="shared" si="35"/>
        <v>0</v>
      </c>
      <c r="AK39" s="147">
        <f t="shared" si="36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IF(temporary!A40=0,"",temporary!A40)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4956</v>
      </c>
      <c r="J40" s="38">
        <f t="shared" si="29"/>
        <v>4955.9999999999991</v>
      </c>
      <c r="K40" s="40">
        <f t="shared" si="30"/>
        <v>0.16143911439114392</v>
      </c>
      <c r="L40" s="22">
        <f t="shared" si="31"/>
        <v>0.19049815498154982</v>
      </c>
      <c r="M40" s="24">
        <f t="shared" si="32"/>
        <v>0.19049815498154979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4955.9999999999991</v>
      </c>
      <c r="AH40" s="123">
        <f t="shared" si="34"/>
        <v>1</v>
      </c>
      <c r="AI40" s="112">
        <f t="shared" si="34"/>
        <v>4955.9999999999991</v>
      </c>
      <c r="AJ40" s="148">
        <f t="shared" si="35"/>
        <v>0</v>
      </c>
      <c r="AK40" s="147">
        <f t="shared" si="36"/>
        <v>4955.9999999999991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IF(temporary!A41=0,"",temporary!A41)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6372</v>
      </c>
      <c r="J41" s="38">
        <f t="shared" si="29"/>
        <v>6372.0000000000009</v>
      </c>
      <c r="K41" s="40">
        <f t="shared" si="30"/>
        <v>0.17297047970479704</v>
      </c>
      <c r="L41" s="22">
        <f t="shared" si="31"/>
        <v>0.20410516605166049</v>
      </c>
      <c r="M41" s="24">
        <f t="shared" si="32"/>
        <v>0.24492619926199266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6372.0000000000009</v>
      </c>
      <c r="AH41" s="123">
        <f t="shared" si="34"/>
        <v>1</v>
      </c>
      <c r="AI41" s="112">
        <f t="shared" si="34"/>
        <v>6372.0000000000009</v>
      </c>
      <c r="AJ41" s="148">
        <f t="shared" si="35"/>
        <v>0</v>
      </c>
      <c r="AK41" s="147">
        <f t="shared" si="36"/>
        <v>6372.0000000000009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IF(temporary!A42=0,"",temporary!A42)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temporary!Z42</f>
        <v>0.25</v>
      </c>
      <c r="AA42" s="147">
        <f t="shared" si="37"/>
        <v>0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IF(temporary!A43=0,"",temporary!A43)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6372</v>
      </c>
      <c r="J43" s="38">
        <f t="shared" si="29"/>
        <v>6372</v>
      </c>
      <c r="K43" s="40">
        <f t="shared" si="30"/>
        <v>0.20756457564575645</v>
      </c>
      <c r="L43" s="22">
        <f t="shared" si="31"/>
        <v>0.24492619926199261</v>
      </c>
      <c r="M43" s="24">
        <f t="shared" si="32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1593</v>
      </c>
      <c r="AB43" s="156">
        <f>temporary!AB43</f>
        <v>0.25</v>
      </c>
      <c r="AC43" s="147">
        <f t="shared" si="38"/>
        <v>1593</v>
      </c>
      <c r="AD43" s="156">
        <f>temporary!AD43</f>
        <v>0.25</v>
      </c>
      <c r="AE43" s="147">
        <f t="shared" si="39"/>
        <v>1593</v>
      </c>
      <c r="AF43" s="122">
        <f t="shared" si="26"/>
        <v>0.25</v>
      </c>
      <c r="AG43" s="147">
        <f t="shared" si="33"/>
        <v>1593</v>
      </c>
      <c r="AH43" s="123">
        <f t="shared" si="34"/>
        <v>1</v>
      </c>
      <c r="AI43" s="112">
        <f t="shared" si="34"/>
        <v>6372</v>
      </c>
      <c r="AJ43" s="148">
        <f t="shared" si="35"/>
        <v>3186</v>
      </c>
      <c r="AK43" s="147">
        <f t="shared" si="36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IF(temporary!A44=0,"",temporary!A44)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1286</v>
      </c>
      <c r="J44" s="38">
        <f t="shared" si="29"/>
        <v>1286</v>
      </c>
      <c r="K44" s="40">
        <f t="shared" si="30"/>
        <v>4.9431119311193109E-2</v>
      </c>
      <c r="L44" s="22">
        <f t="shared" si="31"/>
        <v>4.9431119311193109E-2</v>
      </c>
      <c r="M44" s="24">
        <f t="shared" si="32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321.5</v>
      </c>
      <c r="AB44" s="156">
        <f>temporary!AB44</f>
        <v>0.25</v>
      </c>
      <c r="AC44" s="147">
        <f t="shared" si="38"/>
        <v>321.5</v>
      </c>
      <c r="AD44" s="156">
        <f>temporary!AD44</f>
        <v>0.25</v>
      </c>
      <c r="AE44" s="147">
        <f t="shared" si="39"/>
        <v>321.5</v>
      </c>
      <c r="AF44" s="122">
        <f t="shared" si="26"/>
        <v>0.25</v>
      </c>
      <c r="AG44" s="147">
        <f t="shared" si="33"/>
        <v>321.5</v>
      </c>
      <c r="AH44" s="123">
        <f t="shared" si="34"/>
        <v>1</v>
      </c>
      <c r="AI44" s="112">
        <f t="shared" si="34"/>
        <v>1286</v>
      </c>
      <c r="AJ44" s="148">
        <f t="shared" si="35"/>
        <v>643</v>
      </c>
      <c r="AK44" s="147">
        <f t="shared" si="36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IF(temporary!A45=0,"",temporary!A45)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IF(temporary!A46=0,"",temporary!A46)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IF(temporary!A47=0,"",temporary!A47)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IF(temporary!A48=0,"",temporary!A48)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IF(temporary!A49=0,"",temporary!A49)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IF(temporary!A50=0,"",temporary!A50)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IF(temporary!A51=0,"",temporary!A51)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IF(temporary!A52=0,"",temporary!A52)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IF(temporary!A53=0,"",temporary!A53)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IF(temporary!A54=0,"",temporary!A54)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IF(temporary!A55=0,"",temporary!A55)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IF(temporary!A56=0,"",temporary!A56)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IF(temporary!A57=0,"",temporary!A57)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IF(temporary!A58=0,"",temporary!A58)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IF(temporary!A59=0,"",temporary!A59)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IF(temporary!A60=0,"",temporary!A60)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IF(temporary!A61=0,"",temporary!A61)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IF(temporary!A62=0,"",temporary!A62)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IF(temporary!A63=0,"",temporary!A63)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IF(temporary!A64=0,"",temporary!A64)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30785.3</v>
      </c>
      <c r="J65" s="39">
        <f>SUM(J37:J64)</f>
        <v>30785.3</v>
      </c>
      <c r="K65" s="40">
        <f>SUM(K37:K64)</f>
        <v>1</v>
      </c>
      <c r="L65" s="22">
        <f>SUM(L37:L64)</f>
        <v>1.1425007687576876</v>
      </c>
      <c r="M65" s="24">
        <f>SUM(M37:M64)</f>
        <v>1.1833218019680198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1">J124*I$83</f>
        <v>13099.933824475605</v>
      </c>
      <c r="K70" s="40">
        <f t="shared" ref="K70:K75" si="42">B70/B$76</f>
        <v>0.35966695836835594</v>
      </c>
      <c r="L70" s="22">
        <f t="shared" ref="L70:L75" si="43">(L124*G$37*F$9/F$7)/B$130</f>
        <v>0.50353374171569831</v>
      </c>
      <c r="M70" s="24">
        <f t="shared" ref="M70:M75" si="44"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3274.9834561189014</v>
      </c>
      <c r="AB70" s="156">
        <f>temporary!AB70</f>
        <v>0.25</v>
      </c>
      <c r="AC70" s="147">
        <f>$J70*AB70</f>
        <v>3274.9834561189014</v>
      </c>
      <c r="AD70" s="156">
        <f>temporary!AD70</f>
        <v>0.25</v>
      </c>
      <c r="AE70" s="147">
        <f>$J70*AD70</f>
        <v>3274.9834561189014</v>
      </c>
      <c r="AF70" s="156">
        <f>temporary!AF70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0.29940549405494055</v>
      </c>
      <c r="L71" s="22">
        <f t="shared" si="43"/>
        <v>0.35329848298482991</v>
      </c>
      <c r="M71" s="24">
        <f t="shared" si="44"/>
        <v>0.35329848298482996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0.53321033210332103</v>
      </c>
      <c r="L72" s="22">
        <f t="shared" si="43"/>
        <v>2.7132479566064134E-2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0.18346402214022139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506.8925999999999</v>
      </c>
      <c r="AB73" s="156">
        <f>temporary!AB73</f>
        <v>0.09</v>
      </c>
      <c r="AC73" s="147">
        <f>$H$73*$B$73*AB73</f>
        <v>506.8925999999999</v>
      </c>
      <c r="AD73" s="156">
        <f>temporary!AD73</f>
        <v>0.23</v>
      </c>
      <c r="AE73" s="147">
        <f>$H$73*$B$73*AD73</f>
        <v>1295.3922</v>
      </c>
      <c r="AF73" s="156">
        <f>temporary!AF73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17685.366175524396</v>
      </c>
      <c r="J74" s="51">
        <f t="shared" si="41"/>
        <v>12327.366991326009</v>
      </c>
      <c r="K74" s="40">
        <f t="shared" si="42"/>
        <v>0.25908877538399006</v>
      </c>
      <c r="L74" s="22">
        <f t="shared" si="43"/>
        <v>0.25853606449109529</v>
      </c>
      <c r="M74" s="24">
        <f t="shared" si="44"/>
        <v>0.47383790710816454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30785.300000000003</v>
      </c>
      <c r="J76" s="51">
        <f t="shared" si="41"/>
        <v>30785.300000000003</v>
      </c>
      <c r="K76" s="40">
        <f>SUM(K70:K75)</f>
        <v>1.6348355820508291</v>
      </c>
      <c r="L76" s="22">
        <f>SUM(L70:L75)</f>
        <v>1.1425007687576876</v>
      </c>
      <c r="M76" s="24">
        <f>SUM(M70:M75)</f>
        <v>1.3306701318086929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41"/>
        <v>3833.4141491349465</v>
      </c>
      <c r="K77" s="40"/>
      <c r="L77" s="22">
        <f>-(L131*G$37*F$9/F$7)/B$130</f>
        <v>-0.32616600341876589</v>
      </c>
      <c r="M77" s="24">
        <f>-J77/B$76</f>
        <v>-0.14734832984067292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Agricultural cash income -- see Data2</v>
      </c>
      <c r="B91" s="75">
        <f t="shared" ref="B91:C118" si="47">(B37/$B$83)</f>
        <v>0.34711917345647875</v>
      </c>
      <c r="C91" s="75">
        <f t="shared" si="47"/>
        <v>0</v>
      </c>
      <c r="D91" s="24">
        <f t="shared" ref="D91:D106" si="48">(B91+C91)</f>
        <v>0.34711917345647875</v>
      </c>
      <c r="H91" s="24">
        <f t="shared" ref="H91:H106" si="49">(E37*F37/G37*F$7/F$9)</f>
        <v>0.67272727272727284</v>
      </c>
      <c r="I91" s="22">
        <f t="shared" ref="I91:I106" si="50">(D91*H91)</f>
        <v>0.2335165348707221</v>
      </c>
      <c r="J91" s="24">
        <f t="shared" ref="J91:J99" si="51">IF(I$32&lt;=1+I$131,I91,L91+J$33*(I91-L91))</f>
        <v>0.2335165348707221</v>
      </c>
      <c r="K91" s="22">
        <f t="shared" ref="K91:K106" si="52">(B91)</f>
        <v>0.34711917345647875</v>
      </c>
      <c r="L91" s="22">
        <f t="shared" ref="L91:L106" si="53">(K91*H91)</f>
        <v>0.2335165348707221</v>
      </c>
      <c r="M91" s="227">
        <f t="shared" si="45"/>
        <v>0.2335165348707221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Construction cash income -- see Data2</v>
      </c>
      <c r="B92" s="75">
        <f t="shared" si="47"/>
        <v>0.35354730629826542</v>
      </c>
      <c r="C92" s="75">
        <f t="shared" si="47"/>
        <v>0</v>
      </c>
      <c r="D92" s="24">
        <f t="shared" si="48"/>
        <v>0.35354730629826542</v>
      </c>
      <c r="H92" s="24">
        <f t="shared" si="49"/>
        <v>0.67272727272727284</v>
      </c>
      <c r="I92" s="22">
        <f t="shared" si="50"/>
        <v>0.23784091514610586</v>
      </c>
      <c r="J92" s="24">
        <f t="shared" si="51"/>
        <v>0.23784091514610586</v>
      </c>
      <c r="K92" s="22">
        <f t="shared" si="52"/>
        <v>0.35354730629826542</v>
      </c>
      <c r="L92" s="22">
        <f t="shared" si="53"/>
        <v>0.23784091514610586</v>
      </c>
      <c r="M92" s="227">
        <f t="shared" si="45"/>
        <v>0.23784091514610586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7"/>
        <v>0.27549140750514189</v>
      </c>
      <c r="C93" s="75">
        <f t="shared" si="47"/>
        <v>0</v>
      </c>
      <c r="D93" s="24">
        <f t="shared" si="48"/>
        <v>0.27549140750514189</v>
      </c>
      <c r="H93" s="24">
        <f t="shared" si="49"/>
        <v>0.67272727272727284</v>
      </c>
      <c r="I93" s="22">
        <f t="shared" si="50"/>
        <v>0.18533058323073184</v>
      </c>
      <c r="J93" s="24">
        <f t="shared" si="51"/>
        <v>0.18533058323073184</v>
      </c>
      <c r="K93" s="22">
        <f t="shared" si="52"/>
        <v>0.27549140750514189</v>
      </c>
      <c r="L93" s="22">
        <f t="shared" si="53"/>
        <v>0.18533058323073184</v>
      </c>
      <c r="M93" s="227">
        <f t="shared" si="45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7"/>
        <v>0.38568797050719861</v>
      </c>
      <c r="C94" s="75">
        <f t="shared" si="47"/>
        <v>0</v>
      </c>
      <c r="D94" s="24">
        <f t="shared" si="48"/>
        <v>0.38568797050719861</v>
      </c>
      <c r="H94" s="24">
        <f t="shared" si="49"/>
        <v>0.7151515151515152</v>
      </c>
      <c r="I94" s="22">
        <f t="shared" si="50"/>
        <v>0.27582533648393598</v>
      </c>
      <c r="J94" s="24">
        <f t="shared" si="51"/>
        <v>0.27582533648393598</v>
      </c>
      <c r="K94" s="22">
        <f t="shared" si="52"/>
        <v>0.38568797050719861</v>
      </c>
      <c r="L94" s="22">
        <f t="shared" si="53"/>
        <v>0.27582533648393598</v>
      </c>
      <c r="M94" s="228">
        <f t="shared" si="45"/>
        <v>0.27582533648393598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7"/>
        <v>0.41323711125771284</v>
      </c>
      <c r="C95" s="75">
        <f t="shared" si="47"/>
        <v>8.2647422251542563E-2</v>
      </c>
      <c r="D95" s="24">
        <f t="shared" si="48"/>
        <v>0.49588453350925543</v>
      </c>
      <c r="H95" s="24">
        <f t="shared" si="49"/>
        <v>0.7151515151515152</v>
      </c>
      <c r="I95" s="22">
        <f t="shared" si="50"/>
        <v>0.35463257547934635</v>
      </c>
      <c r="J95" s="24">
        <f t="shared" si="51"/>
        <v>0.35463257547934635</v>
      </c>
      <c r="K95" s="22">
        <f t="shared" si="52"/>
        <v>0.41323711125771284</v>
      </c>
      <c r="L95" s="22">
        <f t="shared" si="53"/>
        <v>0.29552714623278858</v>
      </c>
      <c r="M95" s="228">
        <f t="shared" si="45"/>
        <v>0.35463257547934635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7"/>
        <v>0</v>
      </c>
      <c r="C96" s="75">
        <f t="shared" si="47"/>
        <v>0</v>
      </c>
      <c r="D96" s="24">
        <f t="shared" si="48"/>
        <v>0</v>
      </c>
      <c r="H96" s="24">
        <f t="shared" si="49"/>
        <v>0.7151515151515152</v>
      </c>
      <c r="I96" s="22">
        <f t="shared" si="50"/>
        <v>0</v>
      </c>
      <c r="J96" s="24">
        <f t="shared" si="51"/>
        <v>0</v>
      </c>
      <c r="K96" s="22">
        <f t="shared" si="52"/>
        <v>0</v>
      </c>
      <c r="L96" s="22">
        <f t="shared" si="53"/>
        <v>0</v>
      </c>
      <c r="M96" s="228">
        <f t="shared" si="45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7"/>
        <v>0.49588453350925538</v>
      </c>
      <c r="C97" s="75">
        <f t="shared" si="47"/>
        <v>0</v>
      </c>
      <c r="D97" s="24">
        <f t="shared" si="48"/>
        <v>0.49588453350925538</v>
      </c>
      <c r="H97" s="24">
        <f t="shared" si="49"/>
        <v>0.7151515151515152</v>
      </c>
      <c r="I97" s="22">
        <f t="shared" si="50"/>
        <v>0.35463257547934629</v>
      </c>
      <c r="J97" s="24">
        <f t="shared" si="51"/>
        <v>0.35463257547934629</v>
      </c>
      <c r="K97" s="22">
        <f t="shared" si="52"/>
        <v>0.49588453350925538</v>
      </c>
      <c r="L97" s="22">
        <f t="shared" si="53"/>
        <v>0.35463257547934629</v>
      </c>
      <c r="M97" s="228">
        <f t="shared" si="45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7"/>
        <v>0.11809398335053749</v>
      </c>
      <c r="C98" s="75">
        <f t="shared" si="47"/>
        <v>0</v>
      </c>
      <c r="D98" s="24">
        <f t="shared" si="48"/>
        <v>0.11809398335053749</v>
      </c>
      <c r="H98" s="24">
        <f t="shared" si="49"/>
        <v>0.60606060606060608</v>
      </c>
      <c r="I98" s="22">
        <f t="shared" si="50"/>
        <v>7.1572111121537871E-2</v>
      </c>
      <c r="J98" s="24">
        <f t="shared" si="51"/>
        <v>7.1572111121537871E-2</v>
      </c>
      <c r="K98" s="22">
        <f t="shared" si="52"/>
        <v>0.11809398335053749</v>
      </c>
      <c r="L98" s="22">
        <f t="shared" si="53"/>
        <v>7.1572111121537871E-2</v>
      </c>
      <c r="M98" s="228">
        <f t="shared" si="45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0.60606060606060608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8">
        <f t="shared" si="45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0.60606060606060608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8">
        <f t="shared" si="45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7"/>
        <v>0</v>
      </c>
      <c r="C101" s="75">
        <f t="shared" si="47"/>
        <v>0</v>
      </c>
      <c r="D101" s="24">
        <f t="shared" si="48"/>
        <v>0</v>
      </c>
      <c r="H101" s="24">
        <f t="shared" si="49"/>
        <v>0.60606060606060608</v>
      </c>
      <c r="I101" s="22">
        <f t="shared" si="50"/>
        <v>0</v>
      </c>
      <c r="J101" s="24">
        <f>IF(I$32&lt;=1+I131,I101,L101+J$33*(I101-L101))</f>
        <v>0</v>
      </c>
      <c r="K101" s="22">
        <f t="shared" si="52"/>
        <v>0</v>
      </c>
      <c r="L101" s="22">
        <f t="shared" si="53"/>
        <v>0</v>
      </c>
      <c r="M101" s="227">
        <f t="shared" si="45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0.60606060606060608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8">
        <f t="shared" si="45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0.60606060606060608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8">
        <f t="shared" si="45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8">
        <f t="shared" si="45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8">
        <f t="shared" si="45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8">
        <f t="shared" ref="M107:M118" si="61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8">
        <f t="shared" si="61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8">
        <f t="shared" si="61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8">
        <f t="shared" si="61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8">
        <f t="shared" si="61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8">
        <f t="shared" si="61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8">
        <f t="shared" si="61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8">
        <f t="shared" si="61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8">
        <f t="shared" si="61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8">
        <f t="shared" si="61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8">
        <f t="shared" si="61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8">
        <f t="shared" si="61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1.7133506318117264</v>
      </c>
      <c r="J119" s="24">
        <f>SUM(J91:J118)</f>
        <v>1.7133506318117264</v>
      </c>
      <c r="K119" s="22">
        <f>SUM(K91:K118)</f>
        <v>2.3890614858845902</v>
      </c>
      <c r="L119" s="22">
        <f>SUM(L91:L118)</f>
        <v>1.6542452025651686</v>
      </c>
      <c r="M119" s="57">
        <f t="shared" si="45"/>
        <v>1.7133506318117264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63">(B124)</f>
        <v>0.85926647798309552</v>
      </c>
      <c r="L124" s="29">
        <f>IF(SUMPRODUCT($B$124:$B124,$H$124:$H124)&lt;L$119,($B124*$H124),L$119)</f>
        <v>0.72907458737959618</v>
      </c>
      <c r="M124" s="240">
        <f t="shared" si="62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63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62"/>
        <v>0.51154654467909666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3.9285552695657255E-2</v>
      </c>
      <c r="M126" s="240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2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0.98427604443213024</v>
      </c>
      <c r="J128" s="228">
        <f>(J30)</f>
        <v>0.6860775117722886</v>
      </c>
      <c r="K128" s="29">
        <f t="shared" si="63"/>
        <v>0.61897901469489414</v>
      </c>
      <c r="L128" s="29">
        <f>IF(L124=L119,0,(L119-L124)/(B119-B124)*K128)</f>
        <v>0.37433851781081839</v>
      </c>
      <c r="M128" s="240">
        <f t="shared" si="62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0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1.7133506318117264</v>
      </c>
      <c r="J130" s="228">
        <f>(J119)</f>
        <v>1.7133506318117264</v>
      </c>
      <c r="K130" s="29">
        <f t="shared" si="63"/>
        <v>2.3890614858845902</v>
      </c>
      <c r="L130" s="29">
        <f>(L119)</f>
        <v>1.6542452025651686</v>
      </c>
      <c r="M130" s="240">
        <f t="shared" si="62"/>
        <v>1.7133506318117264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0.21334801201925502</v>
      </c>
      <c r="K131" s="29"/>
      <c r="L131" s="29">
        <f>IF(I131&lt;SUM(L126:L127),0,I131-(SUM(L126:L127)))</f>
        <v>0.47226099198343952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63" priority="132" operator="equal">
      <formula>16</formula>
    </cfRule>
    <cfRule type="cellIs" dxfId="362" priority="133" operator="equal">
      <formula>15</formula>
    </cfRule>
    <cfRule type="cellIs" dxfId="361" priority="134" operator="equal">
      <formula>14</formula>
    </cfRule>
    <cfRule type="cellIs" dxfId="360" priority="135" operator="equal">
      <formula>13</formula>
    </cfRule>
    <cfRule type="cellIs" dxfId="359" priority="136" operator="equal">
      <formula>12</formula>
    </cfRule>
    <cfRule type="cellIs" dxfId="358" priority="137" operator="equal">
      <formula>11</formula>
    </cfRule>
    <cfRule type="cellIs" dxfId="357" priority="138" operator="equal">
      <formula>10</formula>
    </cfRule>
    <cfRule type="cellIs" dxfId="356" priority="139" operator="equal">
      <formula>9</formula>
    </cfRule>
    <cfRule type="cellIs" dxfId="355" priority="140" operator="equal">
      <formula>8</formula>
    </cfRule>
    <cfRule type="cellIs" dxfId="354" priority="141" operator="equal">
      <formula>7</formula>
    </cfRule>
    <cfRule type="cellIs" dxfId="353" priority="142" operator="equal">
      <formula>6</formula>
    </cfRule>
    <cfRule type="cellIs" dxfId="352" priority="143" operator="equal">
      <formula>5</formula>
    </cfRule>
    <cfRule type="cellIs" dxfId="351" priority="144" operator="equal">
      <formula>4</formula>
    </cfRule>
    <cfRule type="cellIs" dxfId="350" priority="145" operator="equal">
      <formula>3</formula>
    </cfRule>
    <cfRule type="cellIs" dxfId="349" priority="146" operator="equal">
      <formula>2</formula>
    </cfRule>
    <cfRule type="cellIs" dxfId="348" priority="147" operator="equal">
      <formula>1</formula>
    </cfRule>
  </conditionalFormatting>
  <conditionalFormatting sqref="N29">
    <cfRule type="cellIs" dxfId="347" priority="116" operator="equal">
      <formula>16</formula>
    </cfRule>
    <cfRule type="cellIs" dxfId="346" priority="117" operator="equal">
      <formula>15</formula>
    </cfRule>
    <cfRule type="cellIs" dxfId="345" priority="118" operator="equal">
      <formula>14</formula>
    </cfRule>
    <cfRule type="cellIs" dxfId="344" priority="119" operator="equal">
      <formula>13</formula>
    </cfRule>
    <cfRule type="cellIs" dxfId="343" priority="120" operator="equal">
      <formula>12</formula>
    </cfRule>
    <cfRule type="cellIs" dxfId="342" priority="121" operator="equal">
      <formula>11</formula>
    </cfRule>
    <cfRule type="cellIs" dxfId="341" priority="122" operator="equal">
      <formula>10</formula>
    </cfRule>
    <cfRule type="cellIs" dxfId="340" priority="123" operator="equal">
      <formula>9</formula>
    </cfRule>
    <cfRule type="cellIs" dxfId="339" priority="124" operator="equal">
      <formula>8</formula>
    </cfRule>
    <cfRule type="cellIs" dxfId="338" priority="125" operator="equal">
      <formula>7</formula>
    </cfRule>
    <cfRule type="cellIs" dxfId="337" priority="126" operator="equal">
      <formula>6</formula>
    </cfRule>
    <cfRule type="cellIs" dxfId="336" priority="127" operator="equal">
      <formula>5</formula>
    </cfRule>
    <cfRule type="cellIs" dxfId="335" priority="128" operator="equal">
      <formula>4</formula>
    </cfRule>
    <cfRule type="cellIs" dxfId="334" priority="129" operator="equal">
      <formula>3</formula>
    </cfRule>
    <cfRule type="cellIs" dxfId="333" priority="130" operator="equal">
      <formula>2</formula>
    </cfRule>
    <cfRule type="cellIs" dxfId="332" priority="131" operator="equal">
      <formula>1</formula>
    </cfRule>
  </conditionalFormatting>
  <conditionalFormatting sqref="N119">
    <cfRule type="cellIs" dxfId="331" priority="100" operator="equal">
      <formula>16</formula>
    </cfRule>
    <cfRule type="cellIs" dxfId="330" priority="101" operator="equal">
      <formula>15</formula>
    </cfRule>
    <cfRule type="cellIs" dxfId="329" priority="102" operator="equal">
      <formula>14</formula>
    </cfRule>
    <cfRule type="cellIs" dxfId="328" priority="103" operator="equal">
      <formula>13</formula>
    </cfRule>
    <cfRule type="cellIs" dxfId="327" priority="104" operator="equal">
      <formula>12</formula>
    </cfRule>
    <cfRule type="cellIs" dxfId="326" priority="105" operator="equal">
      <formula>11</formula>
    </cfRule>
    <cfRule type="cellIs" dxfId="325" priority="106" operator="equal">
      <formula>10</formula>
    </cfRule>
    <cfRule type="cellIs" dxfId="324" priority="107" operator="equal">
      <formula>9</formula>
    </cfRule>
    <cfRule type="cellIs" dxfId="323" priority="108" operator="equal">
      <formula>8</formula>
    </cfRule>
    <cfRule type="cellIs" dxfId="322" priority="109" operator="equal">
      <formula>7</formula>
    </cfRule>
    <cfRule type="cellIs" dxfId="321" priority="110" operator="equal">
      <formula>6</formula>
    </cfRule>
    <cfRule type="cellIs" dxfId="320" priority="111" operator="equal">
      <formula>5</formula>
    </cfRule>
    <cfRule type="cellIs" dxfId="319" priority="112" operator="equal">
      <formula>4</formula>
    </cfRule>
    <cfRule type="cellIs" dxfId="318" priority="113" operator="equal">
      <formula>3</formula>
    </cfRule>
    <cfRule type="cellIs" dxfId="317" priority="114" operator="equal">
      <formula>2</formula>
    </cfRule>
    <cfRule type="cellIs" dxfId="316" priority="115" operator="equal">
      <formula>1</formula>
    </cfRule>
  </conditionalFormatting>
  <conditionalFormatting sqref="N27:N28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R31:T31">
    <cfRule type="cellIs" dxfId="299" priority="51" operator="greaterThan">
      <formula>0</formula>
    </cfRule>
  </conditionalFormatting>
  <conditionalFormatting sqref="R32:T32">
    <cfRule type="cellIs" dxfId="298" priority="50" operator="greaterThan">
      <formula>0</formula>
    </cfRule>
  </conditionalFormatting>
  <conditionalFormatting sqref="R30:T30">
    <cfRule type="cellIs" dxfId="297" priority="49" operator="greaterThan">
      <formula>0</formula>
    </cfRule>
  </conditionalFormatting>
  <conditionalFormatting sqref="N91:N104">
    <cfRule type="cellIs" dxfId="296" priority="33" operator="equal">
      <formula>16</formula>
    </cfRule>
    <cfRule type="cellIs" dxfId="295" priority="34" operator="equal">
      <formula>15</formula>
    </cfRule>
    <cfRule type="cellIs" dxfId="294" priority="35" operator="equal">
      <formula>14</formula>
    </cfRule>
    <cfRule type="cellIs" dxfId="293" priority="36" operator="equal">
      <formula>13</formula>
    </cfRule>
    <cfRule type="cellIs" dxfId="292" priority="37" operator="equal">
      <formula>12</formula>
    </cfRule>
    <cfRule type="cellIs" dxfId="291" priority="38" operator="equal">
      <formula>11</formula>
    </cfRule>
    <cfRule type="cellIs" dxfId="290" priority="39" operator="equal">
      <formula>10</formula>
    </cfRule>
    <cfRule type="cellIs" dxfId="289" priority="40" operator="equal">
      <formula>9</formula>
    </cfRule>
    <cfRule type="cellIs" dxfId="288" priority="41" operator="equal">
      <formula>8</formula>
    </cfRule>
    <cfRule type="cellIs" dxfId="287" priority="42" operator="equal">
      <formula>7</formula>
    </cfRule>
    <cfRule type="cellIs" dxfId="286" priority="43" operator="equal">
      <formula>6</formula>
    </cfRule>
    <cfRule type="cellIs" dxfId="285" priority="44" operator="equal">
      <formula>5</formula>
    </cfRule>
    <cfRule type="cellIs" dxfId="284" priority="45" operator="equal">
      <formula>4</formula>
    </cfRule>
    <cfRule type="cellIs" dxfId="283" priority="46" operator="equal">
      <formula>3</formula>
    </cfRule>
    <cfRule type="cellIs" dxfId="282" priority="47" operator="equal">
      <formula>2</formula>
    </cfRule>
    <cfRule type="cellIs" dxfId="281" priority="48" operator="equal">
      <formula>1</formula>
    </cfRule>
  </conditionalFormatting>
  <conditionalFormatting sqref="N105:N118">
    <cfRule type="cellIs" dxfId="280" priority="17" operator="equal">
      <formula>16</formula>
    </cfRule>
    <cfRule type="cellIs" dxfId="279" priority="18" operator="equal">
      <formula>15</formula>
    </cfRule>
    <cfRule type="cellIs" dxfId="278" priority="19" operator="equal">
      <formula>14</formula>
    </cfRule>
    <cfRule type="cellIs" dxfId="277" priority="20" operator="equal">
      <formula>13</formula>
    </cfRule>
    <cfRule type="cellIs" dxfId="276" priority="21" operator="equal">
      <formula>12</formula>
    </cfRule>
    <cfRule type="cellIs" dxfId="275" priority="22" operator="equal">
      <formula>11</formula>
    </cfRule>
    <cfRule type="cellIs" dxfId="274" priority="23" operator="equal">
      <formula>10</formula>
    </cfRule>
    <cfRule type="cellIs" dxfId="273" priority="24" operator="equal">
      <formula>9</formula>
    </cfRule>
    <cfRule type="cellIs" dxfId="272" priority="25" operator="equal">
      <formula>8</formula>
    </cfRule>
    <cfRule type="cellIs" dxfId="271" priority="26" operator="equal">
      <formula>7</formula>
    </cfRule>
    <cfRule type="cellIs" dxfId="270" priority="27" operator="equal">
      <formula>6</formula>
    </cfRule>
    <cfRule type="cellIs" dxfId="269" priority="28" operator="equal">
      <formula>5</formula>
    </cfRule>
    <cfRule type="cellIs" dxfId="268" priority="29" operator="equal">
      <formula>4</formula>
    </cfRule>
    <cfRule type="cellIs" dxfId="267" priority="30" operator="equal">
      <formula>3</formula>
    </cfRule>
    <cfRule type="cellIs" dxfId="266" priority="31" operator="equal">
      <formula>2</formula>
    </cfRule>
    <cfRule type="cellIs" dxfId="265" priority="32" operator="equal">
      <formula>1</formula>
    </cfRule>
  </conditionalFormatting>
  <conditionalFormatting sqref="N6:N26">
    <cfRule type="cellIs" dxfId="264" priority="1" operator="equal">
      <formula>16</formula>
    </cfRule>
    <cfRule type="cellIs" dxfId="263" priority="2" operator="equal">
      <formula>15</formula>
    </cfRule>
    <cfRule type="cellIs" dxfId="262" priority="3" operator="equal">
      <formula>14</formula>
    </cfRule>
    <cfRule type="cellIs" dxfId="261" priority="4" operator="equal">
      <formula>13</formula>
    </cfRule>
    <cfRule type="cellIs" dxfId="260" priority="5" operator="equal">
      <formula>12</formula>
    </cfRule>
    <cfRule type="cellIs" dxfId="259" priority="6" operator="equal">
      <formula>11</formula>
    </cfRule>
    <cfRule type="cellIs" dxfId="258" priority="7" operator="equal">
      <formula>10</formula>
    </cfRule>
    <cfRule type="cellIs" dxfId="257" priority="8" operator="equal">
      <formula>9</formula>
    </cfRule>
    <cfRule type="cellIs" dxfId="256" priority="9" operator="equal">
      <formula>8</formula>
    </cfRule>
    <cfRule type="cellIs" dxfId="255" priority="10" operator="equal">
      <formula>7</formula>
    </cfRule>
    <cfRule type="cellIs" dxfId="254" priority="11" operator="equal">
      <formula>6</formula>
    </cfRule>
    <cfRule type="cellIs" dxfId="253" priority="12" operator="equal">
      <formula>5</formula>
    </cfRule>
    <cfRule type="cellIs" dxfId="252" priority="13" operator="equal">
      <formula>4</formula>
    </cfRule>
    <cfRule type="cellIs" dxfId="251" priority="14" operator="equal">
      <formula>3</formula>
    </cfRule>
    <cfRule type="cellIs" dxfId="250" priority="15" operator="equal">
      <formula>2</formula>
    </cfRule>
    <cfRule type="cellIs" dxfId="24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H7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>$M6*AB6*4</f>
        <v>0</v>
      </c>
      <c r="AD6" s="116"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24"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184"/>
      <c r="W8" s="115"/>
      <c r="X8" s="124"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24"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24"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24"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22019.46691505221</v>
      </c>
      <c r="S13" s="222">
        <f>IF($B$81=0,0,(SUMIF($N$6:$N$28,$U13,L$6:L$28)+SUMIF($N$91:$N$118,$U13,L$91:L$118))*$I$83*temporary!$B$81/$B$81)</f>
        <v>16095</v>
      </c>
      <c r="T13" s="222">
        <f>IF($B$81=0,0,(SUMIF($N$6:$N$28,$U13,M$6:M$28)+SUMIF($N$91:$N$118,$U13,M$91:M$118))*$I$83*temporary!$B$81/$B$81)</f>
        <v>16095</v>
      </c>
      <c r="U13" s="223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9111.5035510560865</v>
      </c>
      <c r="S14" s="222">
        <f>IF($B$81=0,0,(SUMIF($N$6:$N$28,$U14,L$6:L$28)+SUMIF($N$91:$N$118,$U14,L$91:L$118))*$I$83*temporary!$B$81/$B$81)</f>
        <v>7080</v>
      </c>
      <c r="T14" s="222">
        <f>IF($B$81=0,0,(SUMIF($N$6:$N$28,$U14,M$6:M$28)+SUMIF($N$91:$N$118,$U14,M$91:M$118))*$I$83*temporary!$B$81/$B$81)</f>
        <v>7080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0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IF($B$81=0,0,(SUMIF($N$6:$N$28,$U15,K$6:K$28)+SUMIF($N$91:$N$118,$U15,K$91:K$118))*$B$83*$H$84*temporary!$B$81/$B$81)</f>
        <v>1952.8989277763546</v>
      </c>
      <c r="S15" s="222">
        <f>IF($B$81=0,0,(SUMIF($N$6:$N$28,$U15,L$6:L$28)+SUMIF($N$91:$N$118,$U15,L$91:L$118))*$I$83*temporary!$B$81/$B$81)</f>
        <v>1286</v>
      </c>
      <c r="T15" s="222">
        <f>IF($B$81=0,0,(SUMIF($N$6:$N$28,$U15,M$6:M$28)+SUMIF($N$91:$N$118,$U15,M$91:M$118))*$I$83*temporary!$B$81/$B$81)</f>
        <v>1286</v>
      </c>
      <c r="U15" s="223">
        <v>9</v>
      </c>
      <c r="V15" s="56"/>
      <c r="W15" s="110"/>
      <c r="X15" s="118"/>
      <c r="Y15" s="183">
        <f t="shared" si="7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14"/>
        <v>0</v>
      </c>
      <c r="AD15" s="116"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 t="shared" ref="D17:D29" si="17"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8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7289.2028408448696</v>
      </c>
      <c r="S17" s="222">
        <f>IF($B$81=0,0,(SUMIF($N$6:$N$28,$U17,L$6:L$28)+SUMIF($N$91:$N$118,$U17,L$91:L$118))*$I$83*temporary!$B$81/$B$81)</f>
        <v>5664.0000000000009</v>
      </c>
      <c r="T17" s="222">
        <f>IF($B$81=0,0,(SUMIF($N$6:$N$28,$U17,M$6:M$28)+SUMIF($N$91:$N$118,$U17,M$91:M$118))*$I$83*temporary!$B$81/$B$81)</f>
        <v>5664.0000000000009</v>
      </c>
      <c r="U17" s="223">
        <v>11</v>
      </c>
      <c r="V17" s="56"/>
      <c r="W17" s="110"/>
      <c r="X17" s="118"/>
      <c r="Y17" s="183">
        <f t="shared" si="7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14"/>
        <v>0</v>
      </c>
      <c r="AD17" s="116"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si="17"/>
        <v>0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8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1476.5017721245642</v>
      </c>
      <c r="S18" s="222">
        <f>IF($B$81=0,0,(SUMIF($N$6:$N$28,$U18,L$6:L$28)+SUMIF($N$91:$N$118,$U18,L$91:L$118))*$I$83*temporary!$B$81/$B$81)</f>
        <v>1604.2761177806851</v>
      </c>
      <c r="T18" s="222">
        <f>IF($B$81=0,0,(SUMIF($N$6:$N$28,$U18,M$6:M$28)+SUMIF($N$91:$N$118,$U18,M$91:M$118))*$I$83*temporary!$B$81/$B$81)</f>
        <v>1604.2761177806851</v>
      </c>
      <c r="U18" s="223">
        <v>12</v>
      </c>
      <c r="V18" s="56"/>
      <c r="W18" s="110"/>
      <c r="X18" s="118"/>
      <c r="Y18" s="183">
        <f t="shared" ref="Y18:Y25" si="24">M18*4</f>
        <v>0</v>
      </c>
      <c r="Z18" s="116">
        <v>1.2941</v>
      </c>
      <c r="AA18" s="121">
        <f t="shared" ref="AA18:AA25" si="25">$M18*Z18*4</f>
        <v>0</v>
      </c>
      <c r="AB18" s="116">
        <v>1.1765000000000001</v>
      </c>
      <c r="AC18" s="121">
        <f t="shared" si="14"/>
        <v>0</v>
      </c>
      <c r="AD18" s="116">
        <v>1.2353000000000001</v>
      </c>
      <c r="AE18" s="121">
        <f t="shared" si="15"/>
        <v>0</v>
      </c>
      <c r="AF18" s="122">
        <f t="shared" ref="AF18:AF25" si="26">1-SUM(Z18,AB18,AD18)</f>
        <v>-2.7059000000000002</v>
      </c>
      <c r="AG18" s="121">
        <f t="shared" ref="AG18:AG25" si="27">$M18*AF18*4</f>
        <v>0</v>
      </c>
      <c r="AH18" s="123">
        <f t="shared" ref="AH18:AH25" si="28">SUM(Z18,AB18,AD18,AF18)</f>
        <v>1</v>
      </c>
      <c r="AI18" s="183">
        <f t="shared" ref="AI18:AI25" si="29">SUM(AA18,AC18,AE18,AG18)/4</f>
        <v>0</v>
      </c>
      <c r="AJ18" s="120">
        <f t="shared" ref="AJ18:AJ25" si="30">(AA18+AC18)/2</f>
        <v>0</v>
      </c>
      <c r="AK18" s="119">
        <f t="shared" ref="AK18:AK25" si="31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8200.353195950478</v>
      </c>
      <c r="S20" s="222">
        <f>IF($B$81=0,0,(SUMIF($N$6:$N$28,$U20,L$6:L$28)+SUMIF($N$91:$N$118,$U20,L$91:L$118))*$I$83*temporary!$B$81/$B$81)</f>
        <v>6372</v>
      </c>
      <c r="T20" s="222">
        <f>IF($B$81=0,0,(SUMIF($N$6:$N$28,$U20,M$6:M$28)+SUMIF($N$91:$N$118,$U20,M$91:M$118))*$I$83*temporary!$B$81/$B$81)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38101.276117780682</v>
      </c>
      <c r="T23" s="179">
        <f>SUM(T7:T22)</f>
        <v>38101.276117780682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 t="shared" si="17"/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14"/>
        <v>8.9285714285714288E-2</v>
      </c>
      <c r="AD26" s="116">
        <v>0.25</v>
      </c>
      <c r="AE26" s="121">
        <f t="shared" si="15"/>
        <v>8.9285714285714288E-2</v>
      </c>
      <c r="AF26" s="122">
        <f t="shared" si="8"/>
        <v>0.25</v>
      </c>
      <c r="AG26" s="121">
        <f t="shared" si="9"/>
        <v>8.9285714285714288E-2</v>
      </c>
      <c r="AH26" s="123">
        <f t="shared" si="10"/>
        <v>1</v>
      </c>
      <c r="AI26" s="183">
        <f t="shared" si="11"/>
        <v>8.9285714285714288E-2</v>
      </c>
      <c r="AJ26" s="120">
        <f t="shared" si="12"/>
        <v>8.9285714285714288E-2</v>
      </c>
      <c r="AK26" s="119">
        <f t="shared" si="13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1.4379014939123309E-2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1.4379014939123309E-2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5.7516059756493237E-2</v>
      </c>
      <c r="Z27" s="116">
        <v>0.25</v>
      </c>
      <c r="AA27" s="121">
        <f t="shared" si="16"/>
        <v>1.4379014939123309E-2</v>
      </c>
      <c r="AB27" s="116">
        <v>0.25</v>
      </c>
      <c r="AC27" s="121">
        <f t="shared" si="14"/>
        <v>1.4379014939123309E-2</v>
      </c>
      <c r="AD27" s="116">
        <v>0.25</v>
      </c>
      <c r="AE27" s="121">
        <f t="shared" si="15"/>
        <v>1.4379014939123309E-2</v>
      </c>
      <c r="AF27" s="122">
        <f t="shared" si="8"/>
        <v>0.25</v>
      </c>
      <c r="AG27" s="121">
        <f t="shared" si="9"/>
        <v>1.4379014939123309E-2</v>
      </c>
      <c r="AH27" s="123">
        <f t="shared" si="10"/>
        <v>1</v>
      </c>
      <c r="AI27" s="183">
        <f t="shared" si="11"/>
        <v>1.4379014939123309E-2</v>
      </c>
      <c r="AJ27" s="120">
        <f t="shared" si="12"/>
        <v>1.4379014939123309E-2</v>
      </c>
      <c r="AK27" s="119">
        <f t="shared" si="13"/>
        <v>1.4379014939123309E-2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 t="shared" si="17"/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0.29701286716694025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0.29701286716694025</v>
      </c>
      <c r="N29" s="229"/>
      <c r="P29" s="22"/>
      <c r="V29" s="56"/>
      <c r="W29" s="110"/>
      <c r="X29" s="118"/>
      <c r="Y29" s="183">
        <f t="shared" si="7"/>
        <v>1.188051468667761</v>
      </c>
      <c r="Z29" s="116">
        <v>0.25</v>
      </c>
      <c r="AA29" s="121">
        <f t="shared" si="16"/>
        <v>0.29701286716694025</v>
      </c>
      <c r="AB29" s="116">
        <v>0.25</v>
      </c>
      <c r="AC29" s="121">
        <f t="shared" si="14"/>
        <v>0.29701286716694025</v>
      </c>
      <c r="AD29" s="116">
        <v>0.25</v>
      </c>
      <c r="AE29" s="121">
        <f t="shared" si="15"/>
        <v>0.29701286716694025</v>
      </c>
      <c r="AF29" s="122">
        <f t="shared" si="8"/>
        <v>0.25</v>
      </c>
      <c r="AG29" s="121">
        <f t="shared" si="9"/>
        <v>0.29701286716694025</v>
      </c>
      <c r="AH29" s="123">
        <f t="shared" si="10"/>
        <v>1</v>
      </c>
      <c r="AI29" s="183">
        <f t="shared" si="11"/>
        <v>0.29701286716694025</v>
      </c>
      <c r="AJ29" s="120">
        <f t="shared" si="12"/>
        <v>0.29701286716694025</v>
      </c>
      <c r="AK29" s="119">
        <f t="shared" si="13"/>
        <v>0.29701286716694025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1.3021597357951844</v>
      </c>
      <c r="J30" s="231">
        <f>IF(I$32&lt;=1,I30,1-SUM(J6:J29))</f>
        <v>0.59932240360822209</v>
      </c>
      <c r="K30" s="22">
        <f t="shared" si="4"/>
        <v>0.64832311232876716</v>
      </c>
      <c r="L30" s="22">
        <f>IF(L124=L119,0,IF(K30="",0,(L119-L124)/(B119-B124)*K30))</f>
        <v>0.40626128281354307</v>
      </c>
      <c r="M30" s="175">
        <f t="shared" si="6"/>
        <v>0.59932240360822209</v>
      </c>
      <c r="N30" s="166" t="s">
        <v>86</v>
      </c>
      <c r="O30" s="2"/>
      <c r="P30" s="22"/>
      <c r="Q30" s="234" t="s">
        <v>133</v>
      </c>
      <c r="R30" s="234">
        <f t="shared" ref="R30:T32" si="32">IF(R24&gt;R$23,R24-R$23,0)</f>
        <v>0</v>
      </c>
      <c r="S30" s="234">
        <f t="shared" si="32"/>
        <v>0</v>
      </c>
      <c r="T30" s="234">
        <f t="shared" si="32"/>
        <v>0</v>
      </c>
      <c r="V30" s="56"/>
      <c r="W30" s="110"/>
      <c r="X30" s="118"/>
      <c r="Y30" s="183">
        <f>M30*4</f>
        <v>2.3972896144328883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0.13318212581481492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32"/>
        <v>0</v>
      </c>
      <c r="S31" s="234">
        <f t="shared" si="32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1.6160822240228958</v>
      </c>
      <c r="J32" s="17"/>
      <c r="L32" s="22">
        <f>SUM(L6:L30)</f>
        <v>0.86681787418518508</v>
      </c>
      <c r="M32" s="23"/>
      <c r="N32" s="56"/>
      <c r="O32" s="2"/>
      <c r="P32" s="22"/>
      <c r="Q32" s="234" t="s">
        <v>135</v>
      </c>
      <c r="R32" s="234">
        <f t="shared" si="32"/>
        <v>2542.0230641110757</v>
      </c>
      <c r="S32" s="234">
        <f t="shared" si="32"/>
        <v>14490.674149134953</v>
      </c>
      <c r="T32" s="234">
        <f t="shared" si="32"/>
        <v>14490.674149134953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0.40835653982272607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33">(E37*F37)</f>
        <v>1.1100000000000001</v>
      </c>
      <c r="I37" s="39">
        <f t="shared" ref="I37:I49" si="34">D37*H37</f>
        <v>12765.000000000002</v>
      </c>
      <c r="J37" s="38">
        <f t="shared" ref="J37:J49" si="35">J91*I$83</f>
        <v>12765</v>
      </c>
      <c r="K37" s="40">
        <f t="shared" ref="K37:K49" si="36">(B37/B$65)</f>
        <v>0.35953229537922843</v>
      </c>
      <c r="L37" s="22">
        <f t="shared" ref="L37:L49" si="37">(K37*H37)</f>
        <v>0.39908084787094361</v>
      </c>
      <c r="M37" s="24">
        <f t="shared" ref="M37:M49" si="38">J37/B$65</f>
        <v>0.39908084787094356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40">SUM(B38,C38)</f>
        <v>0</v>
      </c>
      <c r="E38" s="26">
        <v>1</v>
      </c>
      <c r="F38" s="26">
        <v>1.1100000000000001</v>
      </c>
      <c r="G38" s="22">
        <f t="shared" ref="G38:G64" si="41">(G$37)</f>
        <v>1.65</v>
      </c>
      <c r="H38" s="24">
        <f t="shared" si="33"/>
        <v>1.1100000000000001</v>
      </c>
      <c r="I38" s="39">
        <f t="shared" si="34"/>
        <v>0</v>
      </c>
      <c r="J38" s="38">
        <f t="shared" si="35"/>
        <v>0</v>
      </c>
      <c r="K38" s="40">
        <f t="shared" si="36"/>
        <v>0</v>
      </c>
      <c r="L38" s="22">
        <f t="shared" si="37"/>
        <v>0</v>
      </c>
      <c r="M38" s="24">
        <f t="shared" si="38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39"/>
        <v>1</v>
      </c>
      <c r="AG38" s="147">
        <f t="shared" ref="AG38:AG64" si="42">$J38*AF38</f>
        <v>0</v>
      </c>
      <c r="AH38" s="123">
        <f t="shared" ref="AH38:AI58" si="43">SUM(Z38,AB38,AD38,AF38)</f>
        <v>1</v>
      </c>
      <c r="AI38" s="112" t="e">
        <f t="shared" si="43"/>
        <v>#DIV/0!</v>
      </c>
      <c r="AJ38" s="148" t="e">
        <f t="shared" ref="AJ38:AJ64" si="44">(AA38+AC38)</f>
        <v>#DIV/0!</v>
      </c>
      <c r="AK38" s="147" t="e">
        <f t="shared" ref="AK38:AK64" si="45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40"/>
        <v>3000</v>
      </c>
      <c r="E39" s="26">
        <v>1</v>
      </c>
      <c r="F39" s="26">
        <v>1.1100000000000001</v>
      </c>
      <c r="G39" s="22">
        <f t="shared" si="41"/>
        <v>1.65</v>
      </c>
      <c r="H39" s="24">
        <f t="shared" si="33"/>
        <v>1.1100000000000001</v>
      </c>
      <c r="I39" s="39">
        <f t="shared" si="34"/>
        <v>3330.0000000000005</v>
      </c>
      <c r="J39" s="38">
        <f t="shared" si="35"/>
        <v>3330.0000000000005</v>
      </c>
      <c r="K39" s="40">
        <f t="shared" si="36"/>
        <v>9.3791033577190014E-2</v>
      </c>
      <c r="L39" s="22">
        <f t="shared" si="37"/>
        <v>0.10410804727068093</v>
      </c>
      <c r="M39" s="24">
        <f t="shared" si="38"/>
        <v>0.10410804727068093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1</v>
      </c>
      <c r="AG39" s="147">
        <f t="shared" si="42"/>
        <v>3330.0000000000005</v>
      </c>
      <c r="AH39" s="123">
        <f t="shared" si="43"/>
        <v>1</v>
      </c>
      <c r="AI39" s="112">
        <f t="shared" si="43"/>
        <v>3330.0000000000005</v>
      </c>
      <c r="AJ39" s="148">
        <f t="shared" si="44"/>
        <v>0</v>
      </c>
      <c r="AK39" s="147">
        <f t="shared" si="45"/>
        <v>3330.0000000000005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40"/>
        <v>6000</v>
      </c>
      <c r="E40" s="26">
        <v>1</v>
      </c>
      <c r="F40" s="26">
        <v>1.18</v>
      </c>
      <c r="G40" s="22">
        <f t="shared" si="41"/>
        <v>1.65</v>
      </c>
      <c r="H40" s="24">
        <f t="shared" si="33"/>
        <v>1.18</v>
      </c>
      <c r="I40" s="39">
        <f t="shared" si="34"/>
        <v>7080</v>
      </c>
      <c r="J40" s="38">
        <f t="shared" si="35"/>
        <v>7080</v>
      </c>
      <c r="K40" s="40">
        <f t="shared" si="36"/>
        <v>0.18758206715438003</v>
      </c>
      <c r="L40" s="22">
        <f t="shared" si="37"/>
        <v>0.22134683924216841</v>
      </c>
      <c r="M40" s="24">
        <f t="shared" si="38"/>
        <v>0.22134683924216844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1</v>
      </c>
      <c r="AG40" s="147">
        <f t="shared" si="42"/>
        <v>7080</v>
      </c>
      <c r="AH40" s="123">
        <f t="shared" si="43"/>
        <v>1</v>
      </c>
      <c r="AI40" s="112">
        <f t="shared" si="43"/>
        <v>7080</v>
      </c>
      <c r="AJ40" s="148">
        <f t="shared" si="44"/>
        <v>0</v>
      </c>
      <c r="AK40" s="147">
        <f t="shared" si="45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26">
        <v>1</v>
      </c>
      <c r="F41" s="26">
        <v>1.18</v>
      </c>
      <c r="G41" s="22">
        <f t="shared" si="41"/>
        <v>1.65</v>
      </c>
      <c r="H41" s="24">
        <f t="shared" si="33"/>
        <v>1.18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1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40"/>
        <v>4800</v>
      </c>
      <c r="E42" s="26">
        <v>1</v>
      </c>
      <c r="F42" s="26">
        <v>1.18</v>
      </c>
      <c r="G42" s="22">
        <f t="shared" si="41"/>
        <v>1.65</v>
      </c>
      <c r="H42" s="24">
        <f t="shared" si="33"/>
        <v>1.18</v>
      </c>
      <c r="I42" s="39">
        <f t="shared" si="34"/>
        <v>5664</v>
      </c>
      <c r="J42" s="38">
        <f t="shared" si="35"/>
        <v>5664.0000000000009</v>
      </c>
      <c r="K42" s="40">
        <f t="shared" si="36"/>
        <v>0.15006565372350403</v>
      </c>
      <c r="L42" s="22">
        <f t="shared" si="37"/>
        <v>0.17707747139373475</v>
      </c>
      <c r="M42" s="24">
        <f t="shared" si="38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46"/>
        <v>1416.0000000000002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2832.0000000000005</v>
      </c>
      <c r="AF42" s="122">
        <f t="shared" si="39"/>
        <v>0.25</v>
      </c>
      <c r="AG42" s="147">
        <f t="shared" si="42"/>
        <v>1416.0000000000002</v>
      </c>
      <c r="AH42" s="123">
        <f t="shared" si="43"/>
        <v>1</v>
      </c>
      <c r="AI42" s="112">
        <f t="shared" si="43"/>
        <v>5664.0000000000009</v>
      </c>
      <c r="AJ42" s="148">
        <f t="shared" si="44"/>
        <v>1416.0000000000002</v>
      </c>
      <c r="AK42" s="147">
        <f t="shared" si="45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40"/>
        <v>5400</v>
      </c>
      <c r="E43" s="26">
        <v>1</v>
      </c>
      <c r="F43" s="26">
        <v>1.18</v>
      </c>
      <c r="G43" s="22">
        <f t="shared" si="41"/>
        <v>1.65</v>
      </c>
      <c r="H43" s="24">
        <f t="shared" si="33"/>
        <v>1.18</v>
      </c>
      <c r="I43" s="39">
        <f t="shared" si="34"/>
        <v>6372</v>
      </c>
      <c r="J43" s="38">
        <f t="shared" si="35"/>
        <v>6372</v>
      </c>
      <c r="K43" s="40">
        <f t="shared" si="36"/>
        <v>0.16882386043894204</v>
      </c>
      <c r="L43" s="22">
        <f t="shared" si="37"/>
        <v>0.19921215531795161</v>
      </c>
      <c r="M43" s="24">
        <f t="shared" si="38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46"/>
        <v>1593</v>
      </c>
      <c r="AB43" s="116">
        <v>0.25</v>
      </c>
      <c r="AC43" s="147">
        <f t="shared" si="47"/>
        <v>1593</v>
      </c>
      <c r="AD43" s="116">
        <v>0.25</v>
      </c>
      <c r="AE43" s="147">
        <f t="shared" si="48"/>
        <v>1593</v>
      </c>
      <c r="AF43" s="122">
        <f t="shared" si="39"/>
        <v>0.25</v>
      </c>
      <c r="AG43" s="147">
        <f t="shared" si="42"/>
        <v>1593</v>
      </c>
      <c r="AH43" s="123">
        <f t="shared" si="43"/>
        <v>1</v>
      </c>
      <c r="AI43" s="112">
        <f t="shared" si="43"/>
        <v>6372</v>
      </c>
      <c r="AJ43" s="148">
        <f t="shared" si="44"/>
        <v>3186</v>
      </c>
      <c r="AK43" s="147">
        <f t="shared" si="45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40"/>
        <v>1286</v>
      </c>
      <c r="E44" s="26">
        <v>1</v>
      </c>
      <c r="F44" s="26">
        <v>1</v>
      </c>
      <c r="G44" s="22">
        <f t="shared" si="41"/>
        <v>1.65</v>
      </c>
      <c r="H44" s="24">
        <f t="shared" si="33"/>
        <v>1</v>
      </c>
      <c r="I44" s="39">
        <f t="shared" si="34"/>
        <v>1286</v>
      </c>
      <c r="J44" s="38">
        <f t="shared" si="35"/>
        <v>1286</v>
      </c>
      <c r="K44" s="40">
        <f t="shared" si="36"/>
        <v>4.0205089726755454E-2</v>
      </c>
      <c r="L44" s="22">
        <f t="shared" si="37"/>
        <v>4.0205089726755454E-2</v>
      </c>
      <c r="M44" s="24">
        <f t="shared" si="38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46"/>
        <v>321.5</v>
      </c>
      <c r="AB44" s="116">
        <v>0.25</v>
      </c>
      <c r="AC44" s="147">
        <f t="shared" si="47"/>
        <v>321.5</v>
      </c>
      <c r="AD44" s="116">
        <v>0.25</v>
      </c>
      <c r="AE44" s="147">
        <f t="shared" si="48"/>
        <v>321.5</v>
      </c>
      <c r="AF44" s="122">
        <f t="shared" si="39"/>
        <v>0.25</v>
      </c>
      <c r="AG44" s="147">
        <f t="shared" si="42"/>
        <v>321.5</v>
      </c>
      <c r="AH44" s="123">
        <f t="shared" si="43"/>
        <v>1</v>
      </c>
      <c r="AI44" s="112">
        <f t="shared" si="43"/>
        <v>1286</v>
      </c>
      <c r="AJ44" s="148">
        <f t="shared" si="44"/>
        <v>643</v>
      </c>
      <c r="AK44" s="147">
        <f t="shared" si="45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</v>
      </c>
      <c r="G45" s="22">
        <f t="shared" si="41"/>
        <v>1.65</v>
      </c>
      <c r="H45" s="24">
        <f t="shared" si="33"/>
        <v>1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1</v>
      </c>
      <c r="F46" s="26">
        <v>1</v>
      </c>
      <c r="G46" s="22">
        <f t="shared" si="41"/>
        <v>1.65</v>
      </c>
      <c r="H46" s="24">
        <f t="shared" si="33"/>
        <v>1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40"/>
        <v>0</v>
      </c>
      <c r="E47" s="26">
        <v>1</v>
      </c>
      <c r="F47" s="26">
        <v>1</v>
      </c>
      <c r="G47" s="22">
        <f t="shared" si="41"/>
        <v>1.65</v>
      </c>
      <c r="H47" s="24">
        <f t="shared" si="33"/>
        <v>1</v>
      </c>
      <c r="I47" s="39">
        <f t="shared" si="34"/>
        <v>0</v>
      </c>
      <c r="J47" s="38">
        <f t="shared" si="35"/>
        <v>0</v>
      </c>
      <c r="K47" s="40">
        <f t="shared" si="36"/>
        <v>0</v>
      </c>
      <c r="L47" s="22">
        <f t="shared" si="37"/>
        <v>0</v>
      </c>
      <c r="M47" s="24">
        <f t="shared" si="38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46"/>
        <v>0</v>
      </c>
      <c r="AB47" s="116">
        <v>0.25</v>
      </c>
      <c r="AC47" s="147">
        <f t="shared" si="47"/>
        <v>0</v>
      </c>
      <c r="AD47" s="116">
        <v>0.25</v>
      </c>
      <c r="AE47" s="147">
        <f t="shared" si="48"/>
        <v>0</v>
      </c>
      <c r="AF47" s="122">
        <f t="shared" si="39"/>
        <v>0.25</v>
      </c>
      <c r="AG47" s="147">
        <f t="shared" si="42"/>
        <v>0</v>
      </c>
      <c r="AH47" s="123">
        <f t="shared" si="43"/>
        <v>1</v>
      </c>
      <c r="AI47" s="112">
        <f t="shared" si="43"/>
        <v>0</v>
      </c>
      <c r="AJ47" s="148">
        <f t="shared" si="44"/>
        <v>0</v>
      </c>
      <c r="AK47" s="147">
        <f t="shared" si="45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41"/>
        <v>1.65</v>
      </c>
      <c r="H48" s="24">
        <f t="shared" si="33"/>
        <v>1</v>
      </c>
      <c r="I48" s="39">
        <f t="shared" si="34"/>
        <v>0</v>
      </c>
      <c r="J48" s="38">
        <f t="shared" si="35"/>
        <v>0</v>
      </c>
      <c r="K48" s="40">
        <f t="shared" si="36"/>
        <v>0</v>
      </c>
      <c r="L48" s="22">
        <f t="shared" si="37"/>
        <v>0</v>
      </c>
      <c r="M48" s="24">
        <f t="shared" si="38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46"/>
        <v>0</v>
      </c>
      <c r="AB48" s="116">
        <v>0.25</v>
      </c>
      <c r="AC48" s="147">
        <f t="shared" si="47"/>
        <v>0</v>
      </c>
      <c r="AD48" s="116">
        <v>0.25</v>
      </c>
      <c r="AE48" s="147">
        <f t="shared" si="48"/>
        <v>0</v>
      </c>
      <c r="AF48" s="122">
        <f t="shared" si="39"/>
        <v>0.25</v>
      </c>
      <c r="AG48" s="147">
        <f t="shared" si="42"/>
        <v>0</v>
      </c>
      <c r="AH48" s="123">
        <f t="shared" si="43"/>
        <v>1</v>
      </c>
      <c r="AI48" s="112">
        <f t="shared" si="43"/>
        <v>0</v>
      </c>
      <c r="AJ48" s="148">
        <f t="shared" si="44"/>
        <v>0</v>
      </c>
      <c r="AK48" s="147">
        <f t="shared" si="45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49">SUM(B49,C49)</f>
        <v>0</v>
      </c>
      <c r="E49" s="26">
        <v>1</v>
      </c>
      <c r="F49" s="26">
        <v>1</v>
      </c>
      <c r="G49" s="22">
        <f t="shared" si="41"/>
        <v>1.65</v>
      </c>
      <c r="H49" s="24">
        <f t="shared" si="33"/>
        <v>1</v>
      </c>
      <c r="I49" s="39">
        <f t="shared" si="34"/>
        <v>0</v>
      </c>
      <c r="J49" s="38">
        <f t="shared" si="35"/>
        <v>0</v>
      </c>
      <c r="K49" s="40">
        <f t="shared" si="36"/>
        <v>0</v>
      </c>
      <c r="L49" s="22">
        <f t="shared" si="37"/>
        <v>0</v>
      </c>
      <c r="M49" s="24">
        <f t="shared" si="38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0</v>
      </c>
      <c r="AB49" s="116">
        <v>0.25</v>
      </c>
      <c r="AC49" s="147">
        <f t="shared" si="47"/>
        <v>0</v>
      </c>
      <c r="AD49" s="116">
        <v>0.25</v>
      </c>
      <c r="AE49" s="147">
        <f t="shared" si="48"/>
        <v>0</v>
      </c>
      <c r="AF49" s="122">
        <f t="shared" si="39"/>
        <v>0.25</v>
      </c>
      <c r="AG49" s="147">
        <f t="shared" si="42"/>
        <v>0</v>
      </c>
      <c r="AH49" s="123">
        <f t="shared" si="43"/>
        <v>1</v>
      </c>
      <c r="AI49" s="112">
        <f t="shared" si="43"/>
        <v>0</v>
      </c>
      <c r="AJ49" s="148">
        <f t="shared" si="44"/>
        <v>0</v>
      </c>
      <c r="AK49" s="147">
        <f t="shared" si="45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36497</v>
      </c>
      <c r="J65" s="39">
        <f>SUM(J37:J64)</f>
        <v>36497</v>
      </c>
      <c r="K65" s="40">
        <f>SUM(K37:K64)</f>
        <v>0.99999999999999989</v>
      </c>
      <c r="L65" s="22">
        <f>SUM(L37:L64)</f>
        <v>1.1410304508222349</v>
      </c>
      <c r="M65" s="24">
        <f>SUM(M37:M64)</f>
        <v>1.1410304508222346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57">J124*I$83</f>
        <v>13099.933824475605</v>
      </c>
      <c r="K70" s="40">
        <f t="shared" ref="K70:K75" si="58">B70/B$76</f>
        <v>0.29253722218818073</v>
      </c>
      <c r="L70" s="22">
        <f t="shared" ref="L70:L75" si="59">(L124*G$37*F$9/F$7)/B$130</f>
        <v>0.40955211106345296</v>
      </c>
      <c r="M70" s="24">
        <f t="shared" ref="M70:M75" si="60"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57"/>
        <v>9191.4133333333357</v>
      </c>
      <c r="K71" s="40">
        <f t="shared" si="58"/>
        <v>0.24352320807019739</v>
      </c>
      <c r="L71" s="22">
        <f t="shared" si="59"/>
        <v>0.28735738552283296</v>
      </c>
      <c r="M71" s="24">
        <f t="shared" si="60"/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3437.0923098436829</v>
      </c>
      <c r="K72" s="40">
        <f t="shared" si="58"/>
        <v>0.43368973926092663</v>
      </c>
      <c r="L72" s="22">
        <f t="shared" si="59"/>
        <v>0.21590676476920811</v>
      </c>
      <c r="M72" s="24">
        <f t="shared" si="60"/>
        <v>0.10745614674681682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8.225473644719565E-2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23397.066175524393</v>
      </c>
      <c r="J74" s="51">
        <f t="shared" si="57"/>
        <v>10768.560532347377</v>
      </c>
      <c r="K74" s="40">
        <f t="shared" si="58"/>
        <v>0.22072156568498716</v>
      </c>
      <c r="L74" s="22">
        <f t="shared" si="59"/>
        <v>0.22821418946674082</v>
      </c>
      <c r="M74" s="24">
        <f t="shared" si="60"/>
        <v>0.33666480748913202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36497</v>
      </c>
      <c r="J76" s="51">
        <f t="shared" si="57"/>
        <v>36497</v>
      </c>
      <c r="K76" s="40">
        <f>SUM(K70:K75)</f>
        <v>1.2727264716514877</v>
      </c>
      <c r="L76" s="22">
        <f>SUM(L70:L75)</f>
        <v>1.1410304508222349</v>
      </c>
      <c r="M76" s="24">
        <f>SUM(M70:M75)</f>
        <v>1.1410304508222346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57"/>
        <v>0</v>
      </c>
      <c r="K77" s="40"/>
      <c r="L77" s="22">
        <f>-(L131*G$37*F$9/F$7)/B$130</f>
        <v>-7.1450620753624808E-2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61">IF(B37="","",(B37/$B$83))</f>
        <v>1.0560503954363771</v>
      </c>
      <c r="C91" s="60">
        <f t="shared" si="61"/>
        <v>0</v>
      </c>
      <c r="D91" s="24">
        <f>SUM(B91,C91)</f>
        <v>1.0560503954363771</v>
      </c>
      <c r="H91" s="24">
        <f>(E37*F37/G37*F$7/F$9)</f>
        <v>0.67272727272727284</v>
      </c>
      <c r="I91" s="22">
        <f>(D91*H91)</f>
        <v>0.71043390238447202</v>
      </c>
      <c r="J91" s="24">
        <f>IF(I$32&lt;=1+I$131,I91,L91+J$33*(I91-L91))</f>
        <v>0.71043390238447202</v>
      </c>
      <c r="K91" s="22">
        <f>IF(B91="",0,B91)</f>
        <v>1.0560503954363771</v>
      </c>
      <c r="L91" s="22">
        <f>(K91*H91)</f>
        <v>0.71043390238447202</v>
      </c>
      <c r="M91" s="227">
        <f>(J91)</f>
        <v>0.71043390238447202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Construction cash income -- see Data2</v>
      </c>
      <c r="B92" s="60">
        <f t="shared" si="61"/>
        <v>0</v>
      </c>
      <c r="C92" s="60">
        <f t="shared" si="61"/>
        <v>0</v>
      </c>
      <c r="D92" s="24">
        <f t="shared" ref="D92:D118" si="63">SUM(B92,C92)</f>
        <v>0</v>
      </c>
      <c r="H92" s="24">
        <f t="shared" ref="H92:H118" si="64">(E38*F38/G38*F$7/F$9)</f>
        <v>0.67272727272727284</v>
      </c>
      <c r="I92" s="22">
        <f t="shared" ref="I92:I118" si="65">(D92*H92)</f>
        <v>0</v>
      </c>
      <c r="J92" s="24">
        <f t="shared" ref="J92:J118" si="66">IF(I$32&lt;=1+I$131,I92,L92+J$33*(I92-L92))</f>
        <v>0</v>
      </c>
      <c r="K92" s="22">
        <f t="shared" ref="K92:K118" si="67">IF(B92="",0,B92)</f>
        <v>0</v>
      </c>
      <c r="L92" s="22">
        <f t="shared" ref="L92:L118" si="68">(K92*H92)</f>
        <v>0</v>
      </c>
      <c r="M92" s="227">
        <f t="shared" ref="M92:M118" si="69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Domestic work cash income -- see Data2</v>
      </c>
      <c r="B93" s="60">
        <f t="shared" si="61"/>
        <v>0.27549140750514189</v>
      </c>
      <c r="C93" s="60">
        <f t="shared" si="61"/>
        <v>0</v>
      </c>
      <c r="D93" s="24">
        <f t="shared" si="63"/>
        <v>0.27549140750514189</v>
      </c>
      <c r="H93" s="24">
        <f t="shared" si="64"/>
        <v>0.67272727272727284</v>
      </c>
      <c r="I93" s="22">
        <f t="shared" si="65"/>
        <v>0.18533058323073184</v>
      </c>
      <c r="J93" s="24">
        <f t="shared" si="66"/>
        <v>0.18533058323073184</v>
      </c>
      <c r="K93" s="22">
        <f t="shared" si="67"/>
        <v>0.27549140750514189</v>
      </c>
      <c r="L93" s="22">
        <f t="shared" si="68"/>
        <v>0.18533058323073184</v>
      </c>
      <c r="M93" s="227">
        <f t="shared" si="69"/>
        <v>0.18533058323073184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Formal Employment</v>
      </c>
      <c r="B94" s="60">
        <f t="shared" si="61"/>
        <v>0.55098281501028379</v>
      </c>
      <c r="C94" s="60">
        <f t="shared" si="61"/>
        <v>0</v>
      </c>
      <c r="D94" s="24">
        <f t="shared" si="63"/>
        <v>0.55098281501028379</v>
      </c>
      <c r="H94" s="24">
        <f t="shared" si="64"/>
        <v>0.7151515151515152</v>
      </c>
      <c r="I94" s="22">
        <f t="shared" si="65"/>
        <v>0.39403619497705145</v>
      </c>
      <c r="J94" s="24">
        <f t="shared" si="66"/>
        <v>0.39403619497705145</v>
      </c>
      <c r="K94" s="22">
        <f t="shared" si="67"/>
        <v>0.55098281501028379</v>
      </c>
      <c r="L94" s="22">
        <f t="shared" si="68"/>
        <v>0.39403619497705145</v>
      </c>
      <c r="M94" s="227">
        <f t="shared" si="69"/>
        <v>0.39403619497705145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Self-employment -- see Data2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0.7151515151515152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7">
        <f t="shared" si="69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Small business -- see Data2</v>
      </c>
      <c r="B96" s="60">
        <f t="shared" si="61"/>
        <v>0.44078625200822702</v>
      </c>
      <c r="C96" s="60">
        <f t="shared" si="61"/>
        <v>0</v>
      </c>
      <c r="D96" s="24">
        <f t="shared" si="63"/>
        <v>0.44078625200822702</v>
      </c>
      <c r="H96" s="24">
        <f t="shared" si="64"/>
        <v>0.7151515151515152</v>
      </c>
      <c r="I96" s="22">
        <f t="shared" si="65"/>
        <v>0.31522895598164119</v>
      </c>
      <c r="J96" s="24">
        <f t="shared" si="66"/>
        <v>0.31522895598164119</v>
      </c>
      <c r="K96" s="22">
        <f t="shared" si="67"/>
        <v>0.44078625200822702</v>
      </c>
      <c r="L96" s="22">
        <f t="shared" si="68"/>
        <v>0.31522895598164119</v>
      </c>
      <c r="M96" s="227">
        <f t="shared" si="69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Social development -- see Data2</v>
      </c>
      <c r="B97" s="60">
        <f t="shared" si="61"/>
        <v>0.49588453350925538</v>
      </c>
      <c r="C97" s="60">
        <f t="shared" si="61"/>
        <v>0</v>
      </c>
      <c r="D97" s="24">
        <f t="shared" si="63"/>
        <v>0.49588453350925538</v>
      </c>
      <c r="H97" s="24">
        <f t="shared" si="64"/>
        <v>0.7151515151515152</v>
      </c>
      <c r="I97" s="22">
        <f t="shared" si="65"/>
        <v>0.35463257547934629</v>
      </c>
      <c r="J97" s="24">
        <f t="shared" si="66"/>
        <v>0.35463257547934629</v>
      </c>
      <c r="K97" s="22">
        <f t="shared" si="67"/>
        <v>0.49588453350925538</v>
      </c>
      <c r="L97" s="22">
        <f t="shared" si="68"/>
        <v>0.35463257547934629</v>
      </c>
      <c r="M97" s="227">
        <f t="shared" si="6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Public works -- see Data2</v>
      </c>
      <c r="B98" s="60">
        <f t="shared" si="61"/>
        <v>0.11809398335053749</v>
      </c>
      <c r="C98" s="60">
        <f t="shared" si="61"/>
        <v>0</v>
      </c>
      <c r="D98" s="24">
        <f t="shared" si="63"/>
        <v>0.11809398335053749</v>
      </c>
      <c r="H98" s="24">
        <f t="shared" si="64"/>
        <v>0.60606060606060608</v>
      </c>
      <c r="I98" s="22">
        <f t="shared" si="65"/>
        <v>7.1572111121537871E-2</v>
      </c>
      <c r="J98" s="24">
        <f t="shared" si="66"/>
        <v>7.1572111121537871E-2</v>
      </c>
      <c r="K98" s="22">
        <f t="shared" si="67"/>
        <v>0.11809398335053749</v>
      </c>
      <c r="L98" s="22">
        <f t="shared" si="68"/>
        <v>7.1572111121537871E-2</v>
      </c>
      <c r="M98" s="227">
        <f t="shared" si="6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/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0.60606060606060608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7">
        <f t="shared" si="6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/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0.60606060606060608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7">
        <f t="shared" si="6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/>
      </c>
      <c r="B101" s="60">
        <f t="shared" si="61"/>
        <v>0</v>
      </c>
      <c r="C101" s="60">
        <f t="shared" si="61"/>
        <v>0</v>
      </c>
      <c r="D101" s="24">
        <f t="shared" si="63"/>
        <v>0</v>
      </c>
      <c r="H101" s="24">
        <f t="shared" si="64"/>
        <v>0.60606060606060608</v>
      </c>
      <c r="I101" s="22">
        <f t="shared" si="65"/>
        <v>0</v>
      </c>
      <c r="J101" s="24">
        <f t="shared" si="66"/>
        <v>0</v>
      </c>
      <c r="K101" s="22">
        <f t="shared" si="67"/>
        <v>0</v>
      </c>
      <c r="L101" s="22">
        <f t="shared" si="68"/>
        <v>0</v>
      </c>
      <c r="M101" s="227">
        <f t="shared" si="6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/>
      </c>
      <c r="B102" s="60">
        <f t="shared" si="61"/>
        <v>0</v>
      </c>
      <c r="C102" s="60">
        <f t="shared" si="61"/>
        <v>0</v>
      </c>
      <c r="D102" s="24">
        <f t="shared" si="63"/>
        <v>0</v>
      </c>
      <c r="H102" s="24">
        <f t="shared" si="64"/>
        <v>0.60606060606060608</v>
      </c>
      <c r="I102" s="22">
        <f t="shared" si="65"/>
        <v>0</v>
      </c>
      <c r="J102" s="24">
        <f t="shared" si="66"/>
        <v>0</v>
      </c>
      <c r="K102" s="22">
        <f t="shared" si="67"/>
        <v>0</v>
      </c>
      <c r="L102" s="22">
        <f t="shared" si="68"/>
        <v>0</v>
      </c>
      <c r="M102" s="227">
        <f t="shared" si="6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/>
      </c>
      <c r="B103" s="60">
        <f t="shared" si="61"/>
        <v>0</v>
      </c>
      <c r="C103" s="60">
        <f t="shared" si="61"/>
        <v>0</v>
      </c>
      <c r="D103" s="24">
        <f t="shared" si="63"/>
        <v>0</v>
      </c>
      <c r="H103" s="24">
        <f t="shared" si="64"/>
        <v>0.60606060606060608</v>
      </c>
      <c r="I103" s="22">
        <f t="shared" si="65"/>
        <v>0</v>
      </c>
      <c r="J103" s="24">
        <f t="shared" si="66"/>
        <v>0</v>
      </c>
      <c r="K103" s="22">
        <f t="shared" si="67"/>
        <v>0</v>
      </c>
      <c r="L103" s="22">
        <f t="shared" si="68"/>
        <v>0</v>
      </c>
      <c r="M103" s="227">
        <f t="shared" si="6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7">
        <f t="shared" si="6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7">
        <f t="shared" si="6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7">
        <f t="shared" si="69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7">
        <f t="shared" si="69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7">
        <f t="shared" si="69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7">
        <f t="shared" si="69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7">
        <f t="shared" si="69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7">
        <f t="shared" si="69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7">
        <f t="shared" si="69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7">
        <f t="shared" si="69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7">
        <f t="shared" si="69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7">
        <f t="shared" si="69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7">
        <f t="shared" si="69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7">
        <f t="shared" si="69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7">
        <f t="shared" si="69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2.0312343231747807</v>
      </c>
      <c r="J119" s="24">
        <f>SUM(J91:J118)</f>
        <v>2.0312343231747807</v>
      </c>
      <c r="K119" s="22">
        <f>SUM(K91:K118)</f>
        <v>2.9372893868198227</v>
      </c>
      <c r="L119" s="22">
        <f>SUM(L91:L118)</f>
        <v>2.0312343231747807</v>
      </c>
      <c r="M119" s="57">
        <f>(J119)</f>
        <v>2.0312343231747807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 t="shared" ref="K124:K130" si="71">(B124)</f>
        <v>0.85926647798309552</v>
      </c>
      <c r="L124" s="29">
        <f>IF(SUMPRODUCT($B$124:$B124,$H$124:$H124)&lt;L$119,($B124*$H124),L$119)</f>
        <v>0.72907458737959618</v>
      </c>
      <c r="M124" s="240">
        <f t="shared" si="70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 t="shared" si="71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70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0.19129078750786577</v>
      </c>
      <c r="K126" s="29">
        <f t="shared" si="7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0.38435190830254484</v>
      </c>
      <c r="M126" s="240">
        <f t="shared" si="70"/>
        <v>0.19129078750786577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1.3021597357951844</v>
      </c>
      <c r="J128" s="228">
        <f>(J30)</f>
        <v>0.59932240360822209</v>
      </c>
      <c r="K128" s="29">
        <f t="shared" si="71"/>
        <v>0.64832311232876716</v>
      </c>
      <c r="L128" s="29">
        <f>IF(L124=L119,0,(L119-L124)/(B119-B124)*K128)</f>
        <v>0.40626128281354307</v>
      </c>
      <c r="M128" s="240">
        <f t="shared" si="70"/>
        <v>0.59932240360822209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0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2.0312343231747807</v>
      </c>
      <c r="J130" s="228">
        <f>(J119)</f>
        <v>2.0312343231747807</v>
      </c>
      <c r="K130" s="29">
        <f t="shared" si="71"/>
        <v>2.9372893868198227</v>
      </c>
      <c r="L130" s="29">
        <f>(L119)</f>
        <v>2.0312343231747807</v>
      </c>
      <c r="M130" s="240">
        <f t="shared" si="70"/>
        <v>2.0312343231747807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0.12719463637655171</v>
      </c>
      <c r="M131" s="237">
        <f>IF(I131&lt;SUM(M126:M127),0,I131-(SUM(M126:M127)))</f>
        <v>0.32025575717123078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48" priority="84" operator="equal">
      <formula>16</formula>
    </cfRule>
    <cfRule type="cellIs" dxfId="247" priority="85" operator="equal">
      <formula>15</formula>
    </cfRule>
    <cfRule type="cellIs" dxfId="246" priority="86" operator="equal">
      <formula>14</formula>
    </cfRule>
    <cfRule type="cellIs" dxfId="245" priority="87" operator="equal">
      <formula>13</formula>
    </cfRule>
    <cfRule type="cellIs" dxfId="244" priority="88" operator="equal">
      <formula>12</formula>
    </cfRule>
    <cfRule type="cellIs" dxfId="243" priority="89" operator="equal">
      <formula>11</formula>
    </cfRule>
    <cfRule type="cellIs" dxfId="242" priority="90" operator="equal">
      <formula>10</formula>
    </cfRule>
    <cfRule type="cellIs" dxfId="241" priority="91" operator="equal">
      <formula>9</formula>
    </cfRule>
    <cfRule type="cellIs" dxfId="240" priority="92" operator="equal">
      <formula>8</formula>
    </cfRule>
    <cfRule type="cellIs" dxfId="239" priority="93" operator="equal">
      <formula>7</formula>
    </cfRule>
    <cfRule type="cellIs" dxfId="238" priority="94" operator="equal">
      <formula>6</formula>
    </cfRule>
    <cfRule type="cellIs" dxfId="237" priority="95" operator="equal">
      <formula>5</formula>
    </cfRule>
    <cfRule type="cellIs" dxfId="236" priority="96" operator="equal">
      <formula>4</formula>
    </cfRule>
    <cfRule type="cellIs" dxfId="235" priority="97" operator="equal">
      <formula>3</formula>
    </cfRule>
    <cfRule type="cellIs" dxfId="234" priority="98" operator="equal">
      <formula>2</formula>
    </cfRule>
    <cfRule type="cellIs" dxfId="233" priority="99" operator="equal">
      <formula>1</formula>
    </cfRule>
  </conditionalFormatting>
  <conditionalFormatting sqref="N91:N104">
    <cfRule type="cellIs" dxfId="232" priority="36" operator="equal">
      <formula>16</formula>
    </cfRule>
    <cfRule type="cellIs" dxfId="231" priority="37" operator="equal">
      <formula>15</formula>
    </cfRule>
    <cfRule type="cellIs" dxfId="230" priority="38" operator="equal">
      <formula>14</formula>
    </cfRule>
    <cfRule type="cellIs" dxfId="229" priority="39" operator="equal">
      <formula>13</formula>
    </cfRule>
    <cfRule type="cellIs" dxfId="228" priority="40" operator="equal">
      <formula>12</formula>
    </cfRule>
    <cfRule type="cellIs" dxfId="227" priority="41" operator="equal">
      <formula>11</formula>
    </cfRule>
    <cfRule type="cellIs" dxfId="226" priority="42" operator="equal">
      <formula>10</formula>
    </cfRule>
    <cfRule type="cellIs" dxfId="225" priority="43" operator="equal">
      <formula>9</formula>
    </cfRule>
    <cfRule type="cellIs" dxfId="224" priority="44" operator="equal">
      <formula>8</formula>
    </cfRule>
    <cfRule type="cellIs" dxfId="223" priority="45" operator="equal">
      <formula>7</formula>
    </cfRule>
    <cfRule type="cellIs" dxfId="222" priority="46" operator="equal">
      <formula>6</formula>
    </cfRule>
    <cfRule type="cellIs" dxfId="221" priority="47" operator="equal">
      <formula>5</formula>
    </cfRule>
    <cfRule type="cellIs" dxfId="220" priority="48" operator="equal">
      <formula>4</formula>
    </cfRule>
    <cfRule type="cellIs" dxfId="219" priority="49" operator="equal">
      <formula>3</formula>
    </cfRule>
    <cfRule type="cellIs" dxfId="218" priority="50" operator="equal">
      <formula>2</formula>
    </cfRule>
    <cfRule type="cellIs" dxfId="217" priority="51" operator="equal">
      <formula>1</formula>
    </cfRule>
  </conditionalFormatting>
  <conditionalFormatting sqref="N105:N118">
    <cfRule type="cellIs" dxfId="216" priority="20" operator="equal">
      <formula>16</formula>
    </cfRule>
    <cfRule type="cellIs" dxfId="215" priority="21" operator="equal">
      <formula>15</formula>
    </cfRule>
    <cfRule type="cellIs" dxfId="214" priority="22" operator="equal">
      <formula>14</formula>
    </cfRule>
    <cfRule type="cellIs" dxfId="213" priority="23" operator="equal">
      <formula>13</formula>
    </cfRule>
    <cfRule type="cellIs" dxfId="212" priority="24" operator="equal">
      <formula>12</formula>
    </cfRule>
    <cfRule type="cellIs" dxfId="211" priority="25" operator="equal">
      <formula>11</formula>
    </cfRule>
    <cfRule type="cellIs" dxfId="210" priority="26" operator="equal">
      <formula>10</formula>
    </cfRule>
    <cfRule type="cellIs" dxfId="209" priority="27" operator="equal">
      <formula>9</formula>
    </cfRule>
    <cfRule type="cellIs" dxfId="208" priority="28" operator="equal">
      <formula>8</formula>
    </cfRule>
    <cfRule type="cellIs" dxfId="207" priority="29" operator="equal">
      <formula>7</formula>
    </cfRule>
    <cfRule type="cellIs" dxfId="206" priority="30" operator="equal">
      <formula>6</formula>
    </cfRule>
    <cfRule type="cellIs" dxfId="205" priority="31" operator="equal">
      <formula>5</formula>
    </cfRule>
    <cfRule type="cellIs" dxfId="204" priority="32" operator="equal">
      <formula>4</formula>
    </cfRule>
    <cfRule type="cellIs" dxfId="203" priority="33" operator="equal">
      <formula>3</formula>
    </cfRule>
    <cfRule type="cellIs" dxfId="202" priority="34" operator="equal">
      <formula>2</formula>
    </cfRule>
    <cfRule type="cellIs" dxfId="201" priority="35" operator="equal">
      <formula>1</formula>
    </cfRule>
  </conditionalFormatting>
  <conditionalFormatting sqref="R31:T31">
    <cfRule type="cellIs" dxfId="200" priority="19" operator="greaterThan">
      <formula>0</formula>
    </cfRule>
  </conditionalFormatting>
  <conditionalFormatting sqref="R32:T32">
    <cfRule type="cellIs" dxfId="199" priority="18" operator="greaterThan">
      <formula>0</formula>
    </cfRule>
  </conditionalFormatting>
  <conditionalFormatting sqref="R30:T30">
    <cfRule type="cellIs" dxfId="198" priority="17" operator="greaterThan">
      <formula>0</formula>
    </cfRule>
  </conditionalFormatting>
  <conditionalFormatting sqref="N6:N26">
    <cfRule type="cellIs" dxfId="197" priority="1" operator="equal">
      <formula>16</formula>
    </cfRule>
    <cfRule type="cellIs" dxfId="196" priority="2" operator="equal">
      <formula>15</formula>
    </cfRule>
    <cfRule type="cellIs" dxfId="195" priority="3" operator="equal">
      <formula>14</formula>
    </cfRule>
    <cfRule type="cellIs" dxfId="194" priority="4" operator="equal">
      <formula>13</formula>
    </cfRule>
    <cfRule type="cellIs" dxfId="193" priority="5" operator="equal">
      <formula>12</formula>
    </cfRule>
    <cfRule type="cellIs" dxfId="192" priority="6" operator="equal">
      <formula>11</formula>
    </cfRule>
    <cfRule type="cellIs" dxfId="191" priority="7" operator="equal">
      <formula>10</formula>
    </cfRule>
    <cfRule type="cellIs" dxfId="190" priority="8" operator="equal">
      <formula>9</formula>
    </cfRule>
    <cfRule type="cellIs" dxfId="189" priority="9" operator="equal">
      <formula>8</formula>
    </cfRule>
    <cfRule type="cellIs" dxfId="188" priority="10" operator="equal">
      <formula>7</formula>
    </cfRule>
    <cfRule type="cellIs" dxfId="187" priority="11" operator="equal">
      <formula>6</formula>
    </cfRule>
    <cfRule type="cellIs" dxfId="186" priority="12" operator="equal">
      <formula>5</formula>
    </cfRule>
    <cfRule type="cellIs" dxfId="185" priority="13" operator="equal">
      <formula>4</formula>
    </cfRule>
    <cfRule type="cellIs" dxfId="184" priority="14" operator="equal">
      <formula>3</formula>
    </cfRule>
    <cfRule type="cellIs" dxfId="183" priority="15" operator="equal">
      <formula>2</formula>
    </cfRule>
    <cfRule type="cellIs" dxfId="18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N6" sqref="N6:N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IF(temporary!A6=0,"",temporary!A6)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temporary!E6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IF(temporary!A7=0,"",temporary!A7)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temporary!E7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IF(temporary!A8=0,"",temporary!A8)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temporary!E8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IF(temporary!A9=0,"",temporary!A9)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temporary!E9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IF(temporary!A10=0,"",temporary!A10)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temporary!E10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IF(temporary!A11=0,"",temporary!A11)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temporary!E11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IF(temporary!A12=0,"",temporary!A12)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temporary!E12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IF(temporary!A13=0,"",temporary!A13)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temporary!E13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IF(temporary!A14=0,"",temporary!A14)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temporary!E14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45557.517755280438</v>
      </c>
      <c r="S14" s="222">
        <f>IF($B$81=0,0,(SUMIF($N$6:$N$28,$U14,L$6:L$28)+SUMIF($N$91:$N$118,$U14,L$91:L$118))*$I$83*temporary!$B$81/$B$81)</f>
        <v>35400</v>
      </c>
      <c r="T14" s="222">
        <f>IF($B$81=0,0,(SUMIF($N$6:$N$28,$U14,M$6:M$28)+SUMIF($N$91:$N$118,$U14,M$91:M$118))*$I$83*temporary!$B$81/$B$81)</f>
        <v>35400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IF(temporary!A15=0,"",temporary!A15)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temporary!E15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IF(temporary!A16=0,"",temporary!A16)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temporary!E16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IF(temporary!A17=0,"",temporary!A17)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temporary!E17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41912.916334858004</v>
      </c>
      <c r="S17" s="222">
        <f>IF($B$81=0,0,(SUMIF($N$6:$N$28,$U17,L$6:L$28)+SUMIF($N$91:$N$118,$U17,L$91:L$118))*$I$83*temporary!$B$81/$B$81)</f>
        <v>32568</v>
      </c>
      <c r="T17" s="222">
        <f>IF($B$81=0,0,(SUMIF($N$6:$N$28,$U17,M$6:M$28)+SUMIF($N$91:$N$118,$U17,M$91:M$118))*$I$83*temporary!$B$81/$B$81)</f>
        <v>32568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IF(temporary!A18=0,"",temporary!A18)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temporary!E18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IF(temporary!A19=0,"",temporary!A19)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temporary!E19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IF(temporary!A20=0,"",temporary!A20)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temporary!E20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IF(temporary!A21=0,"",temporary!A21)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temporary!E21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IF(temporary!A22=0,"",temporary!A22)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temporary!E22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IF(temporary!A23=0,"",temporary!A23)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temporary!E23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67968</v>
      </c>
      <c r="T23" s="179">
        <f>SUM(T7:T22)</f>
        <v>67968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IF(temporary!A24=0,"",temporary!A24)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temporary!E24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27031.576933582302</v>
      </c>
      <c r="S24" s="41">
        <f>IF($B$81=0,0,(SUM(($B$70*$H$70))+((1-$D$29)*$I$83))*temporary!$B$81/$B$81)</f>
        <v>27031.576933582302</v>
      </c>
      <c r="T24" s="41">
        <f>IF($B$81=0,0,(SUM(($B$70*$H$70))+((1-$D$29)*$I$83))*temporary!$B$81/$B$81)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IF(temporary!A25=0,"",temporary!A25)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temporary!E25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36222.990266915636</v>
      </c>
      <c r="S25" s="41">
        <f>IF($B$81=0,0,(SUM(($B$70*$H$70),($B$71*$H$71))+((1-$D$29)*$I$83))*temporary!$B$81/$B$81)</f>
        <v>36222.990266915636</v>
      </c>
      <c r="T25" s="41">
        <f>IF($B$81=0,0,(SUM(($B$70*$H$70),($B$71*$H$71))+((1-$D$29)*$I$83))*temporary!$B$81/$B$81)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IF(temporary!A26=0,"",temporary!A26)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temporary!E26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52591.950266915635</v>
      </c>
      <c r="S26" s="41">
        <f>IF($B$81=0,0,(SUM(($B$70*$H$70),($B$71*$H$71),($B$72*$H$72))+((1-$D$29)*$I$83))*temporary!$B$81/$B$81)</f>
        <v>52591.950266915635</v>
      </c>
      <c r="T26" s="41">
        <f>IF($B$81=0,0,(SUM(($B$70*$H$70),($B$71*$H$71),($B$72*$H$72))+((1-$D$29)*$I$83))*temporary!$B$81/$B$81)</f>
        <v>52591.950266915635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IF(temporary!A27=0,"",temporary!A27)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temporary!E27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2.4762194954277807E-2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2.4762194954277807E-2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9.9048779817111229E-2</v>
      </c>
      <c r="Z27" s="156">
        <f>temporary!Z27</f>
        <v>0.25</v>
      </c>
      <c r="AA27" s="121">
        <f t="shared" si="16"/>
        <v>2.4762194954277807E-2</v>
      </c>
      <c r="AB27" s="156">
        <f>temporary!AB27</f>
        <v>0.25</v>
      </c>
      <c r="AC27" s="121">
        <f>$M27*AB27*4</f>
        <v>2.4762194954277807E-2</v>
      </c>
      <c r="AD27" s="156">
        <f>temporary!AD27</f>
        <v>0.25</v>
      </c>
      <c r="AE27" s="121">
        <f>$M27*AD27*4</f>
        <v>2.4762194954277807E-2</v>
      </c>
      <c r="AF27" s="122">
        <f t="shared" si="8"/>
        <v>0.25</v>
      </c>
      <c r="AG27" s="121">
        <f t="shared" si="9"/>
        <v>2.4762194954277807E-2</v>
      </c>
      <c r="AH27" s="123">
        <f t="shared" si="10"/>
        <v>1</v>
      </c>
      <c r="AI27" s="183">
        <f t="shared" si="11"/>
        <v>2.4762194954277807E-2</v>
      </c>
      <c r="AJ27" s="120">
        <f t="shared" si="12"/>
        <v>2.4762194954277807E-2</v>
      </c>
      <c r="AK27" s="119">
        <f t="shared" si="13"/>
        <v>2.4762194954277807E-2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IF(temporary!A28=0,"",temporary!A28)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temporary!E28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IF(temporary!A29=0,"",temporary!A29)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temporary!E29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0.3736344895999642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0.3736344895999642</v>
      </c>
      <c r="N29" s="229"/>
      <c r="P29" s="22"/>
      <c r="V29" s="56"/>
      <c r="W29" s="110"/>
      <c r="X29" s="118"/>
      <c r="Y29" s="183">
        <f t="shared" si="7"/>
        <v>1.4945379583998568</v>
      </c>
      <c r="Z29" s="156">
        <f>temporary!Z29</f>
        <v>0.25</v>
      </c>
      <c r="AA29" s="121">
        <f t="shared" si="16"/>
        <v>0.3736344895999642</v>
      </c>
      <c r="AB29" s="156">
        <f>temporary!AB29</f>
        <v>0.25</v>
      </c>
      <c r="AC29" s="121">
        <f>$M29*AB29*4</f>
        <v>0.3736344895999642</v>
      </c>
      <c r="AD29" s="156">
        <f>temporary!AD29</f>
        <v>0.25</v>
      </c>
      <c r="AE29" s="121">
        <f>$M29*AD29*4</f>
        <v>0.3736344895999642</v>
      </c>
      <c r="AF29" s="122">
        <f t="shared" si="8"/>
        <v>0.25</v>
      </c>
      <c r="AG29" s="121">
        <f t="shared" si="9"/>
        <v>0.3736344895999642</v>
      </c>
      <c r="AH29" s="123">
        <f t="shared" si="10"/>
        <v>1</v>
      </c>
      <c r="AI29" s="183">
        <f t="shared" si="11"/>
        <v>0.3736344895999642</v>
      </c>
      <c r="AJ29" s="120">
        <f t="shared" si="12"/>
        <v>0.3736344895999642</v>
      </c>
      <c r="AK29" s="119">
        <f t="shared" si="13"/>
        <v>0.3736344895999642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temporary!E30</f>
        <v>1</v>
      </c>
      <c r="H30" s="96">
        <f>(E30*F$7/F$9)</f>
        <v>1</v>
      </c>
      <c r="I30" s="29">
        <f>IF(E30&gt;=1,I119-I124,MIN(I119-I124,B30*H30))</f>
        <v>3.0536728844000978</v>
      </c>
      <c r="J30" s="231">
        <f>IF(I$32&lt;=1,I30,1-SUM(J6:J29))</f>
        <v>0.60160331544575807</v>
      </c>
      <c r="K30" s="22">
        <f t="shared" si="4"/>
        <v>0.65562785305105853</v>
      </c>
      <c r="L30" s="22">
        <f>IF(L124=L119,0,IF(K30="",0,(L119-L124)/(B119-B124)*K30))</f>
        <v>0.4519180198854707</v>
      </c>
      <c r="M30" s="175">
        <f t="shared" si="6"/>
        <v>0.60160331544575807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2.4064132617830323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0"/>
        <v>#DIV/0!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0.13740017588040732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3.2783096583420948</v>
      </c>
      <c r="J32" s="17"/>
      <c r="L32" s="22">
        <f>SUM(L6:L30)</f>
        <v>0.86259982411959268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6.6033044046326581E-2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IF(temporary!A37=0,"",temporary!A37)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temporary!E37</f>
        <v>1</v>
      </c>
      <c r="F37" s="75">
        <f>temporary!F37</f>
        <v>1.1100000000000001</v>
      </c>
      <c r="G37" s="75">
        <f>temporary!G37</f>
        <v>1.65</v>
      </c>
      <c r="H37" s="24">
        <f>(E37*F37)</f>
        <v>1.1100000000000001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IF(temporary!A38=0,"",temporary!A38)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temporary!E38</f>
        <v>1</v>
      </c>
      <c r="F38" s="75">
        <f>temporary!F38</f>
        <v>1.1100000000000001</v>
      </c>
      <c r="G38" s="75">
        <f>temporary!G38</f>
        <v>1.65</v>
      </c>
      <c r="H38" s="24">
        <f t="shared" ref="H38:H64" si="27">(E38*F38)</f>
        <v>1.1100000000000001</v>
      </c>
      <c r="I38" s="39">
        <f t="shared" ref="I38:I64" si="28">D38*H38</f>
        <v>0</v>
      </c>
      <c r="J38" s="38">
        <f t="shared" ref="J38:J64" si="29">J92*I$83</f>
        <v>0</v>
      </c>
      <c r="K38" s="40">
        <f t="shared" ref="K38:K64" si="30">(B38/B$65)</f>
        <v>0</v>
      </c>
      <c r="L38" s="22">
        <f t="shared" ref="L38:L64" si="31">(K38*H38)</f>
        <v>0</v>
      </c>
      <c r="M38" s="24">
        <f t="shared" ref="M38:M64" si="32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6"/>
        <v>1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 t="e">
        <f t="shared" si="34"/>
        <v>#DIV/0!</v>
      </c>
      <c r="AJ38" s="148" t="e">
        <f t="shared" ref="AJ38:AJ64" si="35">(AA38+AC38)</f>
        <v>#DIV/0!</v>
      </c>
      <c r="AK38" s="147" t="e">
        <f t="shared" ref="AK38:AK64" si="36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IF(temporary!A39=0,"",temporary!A39)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temporary!E39</f>
        <v>1</v>
      </c>
      <c r="F39" s="75">
        <f>temporary!F39</f>
        <v>1.1100000000000001</v>
      </c>
      <c r="G39" s="75">
        <f>temporary!G39</f>
        <v>1.65</v>
      </c>
      <c r="H39" s="24">
        <f t="shared" si="27"/>
        <v>1.1100000000000001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1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IF(temporary!A40=0,"",temporary!A40)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temporary!E40</f>
        <v>1</v>
      </c>
      <c r="F40" s="75">
        <f>temporary!F40</f>
        <v>1.18</v>
      </c>
      <c r="G40" s="75">
        <f>temporary!G40</f>
        <v>1.65</v>
      </c>
      <c r="H40" s="24">
        <f t="shared" si="27"/>
        <v>1.18</v>
      </c>
      <c r="I40" s="39">
        <f t="shared" si="28"/>
        <v>35400</v>
      </c>
      <c r="J40" s="38">
        <f t="shared" si="29"/>
        <v>35400</v>
      </c>
      <c r="K40" s="40">
        <f t="shared" si="30"/>
        <v>0.52083333333333337</v>
      </c>
      <c r="L40" s="22">
        <f t="shared" si="31"/>
        <v>0.61458333333333337</v>
      </c>
      <c r="M40" s="24">
        <f t="shared" si="32"/>
        <v>0.61458333333333337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1</v>
      </c>
      <c r="AG40" s="147">
        <f t="shared" si="33"/>
        <v>35400</v>
      </c>
      <c r="AH40" s="123">
        <f t="shared" si="34"/>
        <v>1</v>
      </c>
      <c r="AI40" s="112">
        <f t="shared" si="34"/>
        <v>35400</v>
      </c>
      <c r="AJ40" s="148">
        <f t="shared" si="35"/>
        <v>0</v>
      </c>
      <c r="AK40" s="147">
        <f t="shared" si="36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IF(temporary!A41=0,"",temporary!A41)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temporary!E41</f>
        <v>1</v>
      </c>
      <c r="F41" s="75">
        <f>temporary!F41</f>
        <v>1.18</v>
      </c>
      <c r="G41" s="75">
        <f>temporary!G41</f>
        <v>1.65</v>
      </c>
      <c r="H41" s="24">
        <f t="shared" si="27"/>
        <v>1.18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1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IF(temporary!A42=0,"",temporary!A42)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temporary!E42</f>
        <v>1</v>
      </c>
      <c r="F42" s="75">
        <f>temporary!F42</f>
        <v>1.18</v>
      </c>
      <c r="G42" s="75">
        <f>temporary!G42</f>
        <v>1.65</v>
      </c>
      <c r="H42" s="24">
        <f t="shared" si="27"/>
        <v>1.18</v>
      </c>
      <c r="I42" s="39">
        <f t="shared" si="28"/>
        <v>32568</v>
      </c>
      <c r="J42" s="38">
        <f t="shared" si="29"/>
        <v>32568</v>
      </c>
      <c r="K42" s="40">
        <f t="shared" si="30"/>
        <v>0.47916666666666669</v>
      </c>
      <c r="L42" s="22">
        <f t="shared" si="31"/>
        <v>0.56541666666666668</v>
      </c>
      <c r="M42" s="24">
        <f t="shared" si="32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si="37"/>
        <v>8142</v>
      </c>
      <c r="AB42" s="156">
        <f>temporary!AB42</f>
        <v>0</v>
      </c>
      <c r="AC42" s="147">
        <f t="shared" si="38"/>
        <v>0</v>
      </c>
      <c r="AD42" s="156">
        <f>temporary!AD42</f>
        <v>0.5</v>
      </c>
      <c r="AE42" s="147">
        <f t="shared" si="39"/>
        <v>16284</v>
      </c>
      <c r="AF42" s="122">
        <f t="shared" si="26"/>
        <v>0.25</v>
      </c>
      <c r="AG42" s="147">
        <f t="shared" si="33"/>
        <v>8142</v>
      </c>
      <c r="AH42" s="123">
        <f t="shared" si="34"/>
        <v>1</v>
      </c>
      <c r="AI42" s="112">
        <f t="shared" si="34"/>
        <v>32568</v>
      </c>
      <c r="AJ42" s="148">
        <f t="shared" si="35"/>
        <v>8142</v>
      </c>
      <c r="AK42" s="147">
        <f t="shared" si="36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IF(temporary!A43=0,"",temporary!A43)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temporary!E43</f>
        <v>1</v>
      </c>
      <c r="F43" s="75">
        <f>temporary!F43</f>
        <v>1.18</v>
      </c>
      <c r="G43" s="75">
        <f>temporary!G43</f>
        <v>1.65</v>
      </c>
      <c r="H43" s="24">
        <f t="shared" si="27"/>
        <v>1.18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7"/>
        <v>0</v>
      </c>
      <c r="AB43" s="156">
        <f>temporary!AB43</f>
        <v>0.25</v>
      </c>
      <c r="AC43" s="147">
        <f t="shared" si="38"/>
        <v>0</v>
      </c>
      <c r="AD43" s="156">
        <f>temporary!AD43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IF(temporary!A44=0,"",temporary!A44)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temporary!E44</f>
        <v>1</v>
      </c>
      <c r="F44" s="75">
        <f>temporary!F44</f>
        <v>1</v>
      </c>
      <c r="G44" s="75">
        <f>temporary!G44</f>
        <v>1.65</v>
      </c>
      <c r="H44" s="24">
        <f t="shared" si="27"/>
        <v>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7"/>
        <v>0</v>
      </c>
      <c r="AB44" s="156">
        <f>temporary!AB44</f>
        <v>0.25</v>
      </c>
      <c r="AC44" s="147">
        <f t="shared" si="38"/>
        <v>0</v>
      </c>
      <c r="AD44" s="156">
        <f>temporary!AD44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IF(temporary!A45=0,"",temporary!A45)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temporary!E45</f>
        <v>1</v>
      </c>
      <c r="F45" s="75">
        <f>temporary!F45</f>
        <v>1</v>
      </c>
      <c r="G45" s="75">
        <f>temporary!G45</f>
        <v>1.65</v>
      </c>
      <c r="H45" s="24">
        <f t="shared" si="27"/>
        <v>1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7"/>
        <v>0</v>
      </c>
      <c r="AB45" s="156">
        <f>temporary!AB45</f>
        <v>0.25</v>
      </c>
      <c r="AC45" s="147">
        <f t="shared" si="38"/>
        <v>0</v>
      </c>
      <c r="AD45" s="156">
        <f>temporary!AD45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IF(temporary!A46=0,"",temporary!A46)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temporary!E46</f>
        <v>1</v>
      </c>
      <c r="F46" s="75">
        <f>temporary!F46</f>
        <v>1</v>
      </c>
      <c r="G46" s="75">
        <f>temporary!G46</f>
        <v>1.65</v>
      </c>
      <c r="H46" s="24">
        <f t="shared" si="27"/>
        <v>1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7"/>
        <v>0</v>
      </c>
      <c r="AB46" s="156">
        <f>temporary!AB46</f>
        <v>0.25</v>
      </c>
      <c r="AC46" s="147">
        <f t="shared" si="38"/>
        <v>0</v>
      </c>
      <c r="AD46" s="156">
        <f>temporary!AD46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IF(temporary!A47=0,"",temporary!A47)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temporary!E47</f>
        <v>1</v>
      </c>
      <c r="F47" s="75">
        <f>temporary!F47</f>
        <v>1</v>
      </c>
      <c r="G47" s="75">
        <f>temporary!G47</f>
        <v>1.65</v>
      </c>
      <c r="H47" s="24">
        <f t="shared" si="27"/>
        <v>1</v>
      </c>
      <c r="I47" s="39">
        <f t="shared" si="28"/>
        <v>0</v>
      </c>
      <c r="J47" s="38">
        <f t="shared" si="29"/>
        <v>0</v>
      </c>
      <c r="K47" s="40">
        <f t="shared" si="30"/>
        <v>0</v>
      </c>
      <c r="L47" s="22">
        <f t="shared" si="31"/>
        <v>0</v>
      </c>
      <c r="M47" s="24">
        <f t="shared" si="32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7"/>
        <v>0</v>
      </c>
      <c r="AB47" s="156">
        <f>temporary!AB47</f>
        <v>0.25</v>
      </c>
      <c r="AC47" s="147">
        <f t="shared" si="38"/>
        <v>0</v>
      </c>
      <c r="AD47" s="156">
        <f>temporary!AD47</f>
        <v>0.25</v>
      </c>
      <c r="AE47" s="147">
        <f t="shared" si="39"/>
        <v>0</v>
      </c>
      <c r="AF47" s="122">
        <f t="shared" si="26"/>
        <v>0.25</v>
      </c>
      <c r="AG47" s="147">
        <f t="shared" si="33"/>
        <v>0</v>
      </c>
      <c r="AH47" s="123">
        <f t="shared" si="34"/>
        <v>1</v>
      </c>
      <c r="AI47" s="112">
        <f t="shared" si="34"/>
        <v>0</v>
      </c>
      <c r="AJ47" s="148">
        <f t="shared" si="35"/>
        <v>0</v>
      </c>
      <c r="AK47" s="147">
        <f t="shared" si="36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IF(temporary!A48=0,"",temporary!A48)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temporary!E48</f>
        <v>1</v>
      </c>
      <c r="F48" s="75">
        <f>temporary!F48</f>
        <v>1</v>
      </c>
      <c r="G48" s="75">
        <f>temporary!G48</f>
        <v>1.65</v>
      </c>
      <c r="H48" s="24">
        <f t="shared" si="27"/>
        <v>1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7"/>
        <v>0</v>
      </c>
      <c r="AB48" s="156">
        <f>temporary!AB48</f>
        <v>0.25</v>
      </c>
      <c r="AC48" s="147">
        <f t="shared" si="38"/>
        <v>0</v>
      </c>
      <c r="AD48" s="156">
        <f>temporary!AD48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IF(temporary!A49=0,"",temporary!A49)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temporary!E49</f>
        <v>1</v>
      </c>
      <c r="F49" s="75">
        <f>temporary!F49</f>
        <v>1</v>
      </c>
      <c r="G49" s="75">
        <f>temporary!G49</f>
        <v>1.65</v>
      </c>
      <c r="H49" s="24">
        <f t="shared" si="27"/>
        <v>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7"/>
        <v>0</v>
      </c>
      <c r="AB49" s="156">
        <f>temporary!AB49</f>
        <v>0.25</v>
      </c>
      <c r="AC49" s="147">
        <f t="shared" si="38"/>
        <v>0</v>
      </c>
      <c r="AD49" s="156">
        <f>temporary!AD49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IF(temporary!A50=0,"",temporary!A50)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temporary!E50</f>
        <v>1</v>
      </c>
      <c r="F50" s="75">
        <f>temporary!F50</f>
        <v>1</v>
      </c>
      <c r="G50" s="75">
        <f>temporary!G50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7"/>
        <v>0</v>
      </c>
      <c r="AB50" s="156">
        <f>temporary!AB55</f>
        <v>0.25</v>
      </c>
      <c r="AC50" s="147">
        <f t="shared" si="38"/>
        <v>0</v>
      </c>
      <c r="AD50" s="156">
        <f>temporary!AD55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IF(temporary!A51=0,"",temporary!A51)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temporary!E51</f>
        <v>1</v>
      </c>
      <c r="F51" s="75">
        <f>temporary!F51</f>
        <v>1</v>
      </c>
      <c r="G51" s="75">
        <f>temporary!G51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7"/>
        <v>0</v>
      </c>
      <c r="AB51" s="156">
        <f>temporary!AB56</f>
        <v>0.25</v>
      </c>
      <c r="AC51" s="147">
        <f t="shared" si="38"/>
        <v>0</v>
      </c>
      <c r="AD51" s="156">
        <f>temporary!AD56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IF(temporary!A52=0,"",temporary!A52)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temporary!E52</f>
        <v>1</v>
      </c>
      <c r="F52" s="75">
        <f>temporary!F52</f>
        <v>1</v>
      </c>
      <c r="G52" s="75">
        <f>temporary!G52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7"/>
        <v>0</v>
      </c>
      <c r="AB52" s="156">
        <f>temporary!AB57</f>
        <v>0.25</v>
      </c>
      <c r="AC52" s="147">
        <f t="shared" si="38"/>
        <v>0</v>
      </c>
      <c r="AD52" s="156">
        <f>temporary!AD57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IF(temporary!A53=0,"",temporary!A53)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temporary!E53</f>
        <v>1</v>
      </c>
      <c r="F53" s="75">
        <f>temporary!F53</f>
        <v>1</v>
      </c>
      <c r="G53" s="75">
        <f>temporary!G53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IF(temporary!A54=0,"",temporary!A54)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temporary!E54</f>
        <v>1</v>
      </c>
      <c r="F54" s="75">
        <f>temporary!F54</f>
        <v>1</v>
      </c>
      <c r="G54" s="75">
        <f>temporary!G54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IF(temporary!A55=0,"",temporary!A55)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temporary!E55</f>
        <v>1</v>
      </c>
      <c r="F55" s="75">
        <f>temporary!F55</f>
        <v>1</v>
      </c>
      <c r="G55" s="75">
        <f>temporary!G55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IF(temporary!A56=0,"",temporary!A56)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temporary!E56</f>
        <v>1</v>
      </c>
      <c r="F56" s="75">
        <f>temporary!F56</f>
        <v>1</v>
      </c>
      <c r="G56" s="75">
        <f>temporary!G56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IF(temporary!A57=0,"",temporary!A57)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temporary!E57</f>
        <v>1</v>
      </c>
      <c r="F57" s="75">
        <f>temporary!F57</f>
        <v>1</v>
      </c>
      <c r="G57" s="75">
        <f>temporary!G57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IF(temporary!A58=0,"",temporary!A58)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temporary!E58</f>
        <v>1</v>
      </c>
      <c r="F58" s="75">
        <f>temporary!F58</f>
        <v>1</v>
      </c>
      <c r="G58" s="75">
        <f>temporary!G58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7"/>
        <v>0</v>
      </c>
      <c r="AB58" s="156">
        <f>temporary!AB58</f>
        <v>0.25</v>
      </c>
      <c r="AC58" s="147">
        <f t="shared" si="38"/>
        <v>0</v>
      </c>
      <c r="AD58" s="156">
        <f>temporary!AD58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IF(temporary!A59=0,"",temporary!A59)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temporary!E59</f>
        <v>1</v>
      </c>
      <c r="F59" s="75">
        <f>temporary!F59</f>
        <v>1</v>
      </c>
      <c r="G59" s="75">
        <f>temporary!G59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7"/>
        <v>0</v>
      </c>
      <c r="AB59" s="156">
        <f>temporary!AB59</f>
        <v>0.25</v>
      </c>
      <c r="AC59" s="147">
        <f t="shared" si="38"/>
        <v>0</v>
      </c>
      <c r="AD59" s="156">
        <f>temporary!AD59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IF(temporary!A60=0,"",temporary!A60)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temporary!E60</f>
        <v>1</v>
      </c>
      <c r="F60" s="75">
        <f>temporary!F60</f>
        <v>1</v>
      </c>
      <c r="G60" s="75">
        <f>temporary!G60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7"/>
        <v>0</v>
      </c>
      <c r="AB60" s="156">
        <f>temporary!AB60</f>
        <v>0.25</v>
      </c>
      <c r="AC60" s="147">
        <f t="shared" si="38"/>
        <v>0</v>
      </c>
      <c r="AD60" s="156">
        <f>temporary!AD60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IF(temporary!A61=0,"",temporary!A61)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temporary!E61</f>
        <v>1</v>
      </c>
      <c r="F61" s="75">
        <f>temporary!F61</f>
        <v>1</v>
      </c>
      <c r="G61" s="75">
        <f>temporary!G61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7"/>
        <v>0</v>
      </c>
      <c r="AB61" s="156">
        <f>temporary!AB61</f>
        <v>0.25</v>
      </c>
      <c r="AC61" s="147">
        <f t="shared" si="38"/>
        <v>0</v>
      </c>
      <c r="AD61" s="156">
        <f>temporary!AD61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IF(temporary!A62=0,"",temporary!A62)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temporary!E62</f>
        <v>1</v>
      </c>
      <c r="F62" s="75">
        <f>temporary!F62</f>
        <v>1</v>
      </c>
      <c r="G62" s="75">
        <f>temporary!G62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7"/>
        <v>0</v>
      </c>
      <c r="AB62" s="156">
        <f>temporary!AB62</f>
        <v>0.25</v>
      </c>
      <c r="AC62" s="147">
        <f t="shared" si="38"/>
        <v>0</v>
      </c>
      <c r="AD62" s="156">
        <f>temporary!AD62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IF(temporary!A63=0,"",temporary!A63)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temporary!E63</f>
        <v>1</v>
      </c>
      <c r="F63" s="75">
        <f>temporary!F63</f>
        <v>1</v>
      </c>
      <c r="G63" s="75">
        <f>temporary!G63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7"/>
        <v>0</v>
      </c>
      <c r="AB63" s="156">
        <f>temporary!AB63</f>
        <v>0.25</v>
      </c>
      <c r="AC63" s="147">
        <f t="shared" si="38"/>
        <v>0</v>
      </c>
      <c r="AD63" s="156">
        <f>temporary!AD63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IF(temporary!A64=0,"",temporary!A64)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temporary!E64</f>
        <v>1</v>
      </c>
      <c r="F64" s="75">
        <f>temporary!F64</f>
        <v>1</v>
      </c>
      <c r="G64" s="75">
        <f>temporary!G64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7"/>
        <v>0</v>
      </c>
      <c r="AB64" s="156">
        <f>temporary!AB64</f>
        <v>0.25</v>
      </c>
      <c r="AC64" s="149">
        <f t="shared" si="38"/>
        <v>0</v>
      </c>
      <c r="AD64" s="156">
        <f>temporary!AD64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67968</v>
      </c>
      <c r="J65" s="39">
        <f>SUM(J37:J64)</f>
        <v>67968</v>
      </c>
      <c r="K65" s="40">
        <f>SUM(K37:K64)</f>
        <v>1</v>
      </c>
      <c r="L65" s="22">
        <f>SUM(L37:L64)</f>
        <v>1.1800000000000002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43542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temporary!E70</f>
        <v>1</v>
      </c>
      <c r="F70" s="75">
        <f>temporary!F70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1">J124*I$83</f>
        <v>13099.933824475609</v>
      </c>
      <c r="K70" s="40">
        <f t="shared" ref="K70:K75" si="42">B70/B$76</f>
        <v>0.16244957619637412</v>
      </c>
      <c r="L70" s="22">
        <f t="shared" ref="L70:L75" si="43">(L124*G$37*F$9/F$7)/B$130</f>
        <v>0.22742940667492381</v>
      </c>
      <c r="M70" s="24">
        <f t="shared" ref="M70:M75" si="44"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3274.9834561189023</v>
      </c>
      <c r="AB70" s="156">
        <f>temporary!AB70</f>
        <v>0.25</v>
      </c>
      <c r="AC70" s="147">
        <f>$J70*AB70</f>
        <v>3274.9834561189023</v>
      </c>
      <c r="AD70" s="156">
        <f>temporary!AD70</f>
        <v>0.25</v>
      </c>
      <c r="AE70" s="147">
        <f>$J70*AD70</f>
        <v>3274.9834561189023</v>
      </c>
      <c r="AF70" s="156">
        <f>temporary!AF70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temporary!E71</f>
        <v>1</v>
      </c>
      <c r="F71" s="75">
        <f>temporary!F71</f>
        <v>1.18</v>
      </c>
      <c r="G71" s="22"/>
      <c r="H71" s="24">
        <f>(E71*F71)</f>
        <v>1.18</v>
      </c>
      <c r="I71" s="39">
        <f>I125*I$83</f>
        <v>9191.4133333333357</v>
      </c>
      <c r="J71" s="51">
        <f t="shared" si="41"/>
        <v>9191.4133333333357</v>
      </c>
      <c r="K71" s="40">
        <f t="shared" si="42"/>
        <v>0.13523148148148148</v>
      </c>
      <c r="L71" s="22">
        <f t="shared" si="43"/>
        <v>0.15957314814814819</v>
      </c>
      <c r="M71" s="24">
        <f t="shared" si="44"/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temporary!E72</f>
        <v>1</v>
      </c>
      <c r="F72" s="75">
        <f>temporary!F72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16368.96</v>
      </c>
      <c r="K72" s="40">
        <f t="shared" si="42"/>
        <v>0.24083333333333334</v>
      </c>
      <c r="L72" s="22">
        <f t="shared" si="43"/>
        <v>0.28418333333333334</v>
      </c>
      <c r="M72" s="24">
        <f t="shared" si="44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temporary!E73</f>
        <v>1</v>
      </c>
      <c r="F73" s="75">
        <f>temporary!F73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6018</v>
      </c>
      <c r="K73" s="40">
        <f t="shared" si="42"/>
        <v>8.8541666666666671E-2</v>
      </c>
      <c r="L73" s="22">
        <f t="shared" si="43"/>
        <v>0.10447916666666666</v>
      </c>
      <c r="M73" s="24">
        <f t="shared" si="44"/>
        <v>0.10447916666666666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541.62</v>
      </c>
      <c r="AB73" s="156">
        <f>temporary!AB73</f>
        <v>0.09</v>
      </c>
      <c r="AC73" s="147">
        <f>$H$73*$B$73*AB73</f>
        <v>541.62</v>
      </c>
      <c r="AD73" s="156">
        <f>temporary!AD73</f>
        <v>0.23</v>
      </c>
      <c r="AE73" s="147">
        <f>$H$73*$B$73*AD73</f>
        <v>1384.14</v>
      </c>
      <c r="AF73" s="156">
        <f>temporary!AF73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54868.066175524393</v>
      </c>
      <c r="J74" s="51">
        <f t="shared" si="41"/>
        <v>10809.543711089867</v>
      </c>
      <c r="K74" s="40">
        <f t="shared" si="42"/>
        <v>0.1239504502964893</v>
      </c>
      <c r="L74" s="22">
        <f t="shared" si="43"/>
        <v>0.14097247237441615</v>
      </c>
      <c r="M74" s="24">
        <f t="shared" si="44"/>
        <v>0.18766568942864353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1"/>
        <v>12480.149131101189</v>
      </c>
      <c r="K75" s="40">
        <f t="shared" si="42"/>
        <v>0.24899349202565513</v>
      </c>
      <c r="L75" s="22">
        <f t="shared" si="43"/>
        <v>0.26336247280251202</v>
      </c>
      <c r="M75" s="24">
        <f t="shared" si="44"/>
        <v>0.21666925574828452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25084.48148500744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67968</v>
      </c>
      <c r="J76" s="51">
        <f t="shared" si="41"/>
        <v>67968</v>
      </c>
      <c r="K76" s="40">
        <f>SUM(K70:K75)</f>
        <v>1</v>
      </c>
      <c r="L76" s="22">
        <f>SUM(L70:L75)</f>
        <v>1.1800000000000002</v>
      </c>
      <c r="M76" s="24">
        <f>SUM(M70:M75)</f>
        <v>1.18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43542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25084.48148500744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5">(B37/$B$83)</f>
        <v>0</v>
      </c>
      <c r="C91" s="75">
        <f t="shared" si="45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Construction cash income -- see Data2</v>
      </c>
      <c r="B92" s="75">
        <f t="shared" si="45"/>
        <v>0</v>
      </c>
      <c r="C92" s="75">
        <f t="shared" si="45"/>
        <v>0</v>
      </c>
      <c r="D92" s="24">
        <f t="shared" ref="D92:D118" si="47">(B92+C92)</f>
        <v>0</v>
      </c>
      <c r="H92" s="24">
        <f t="shared" ref="H92:H118" si="48">(E38*F38/G38*F$7/F$9)</f>
        <v>0.67272727272727284</v>
      </c>
      <c r="I92" s="22">
        <f t="shared" ref="I92:I118" si="49">(D92*H92)</f>
        <v>0</v>
      </c>
      <c r="J92" s="24">
        <f t="shared" ref="J92:J118" si="50">IF(I$32&lt;=1+I$131,I92,L92+J$33*(I92-L92))</f>
        <v>0</v>
      </c>
      <c r="K92" s="22">
        <f t="shared" ref="K92:K118" si="51">(B92)</f>
        <v>0</v>
      </c>
      <c r="L92" s="22">
        <f t="shared" ref="L92:L118" si="52">(K92*H92)</f>
        <v>0</v>
      </c>
      <c r="M92" s="227">
        <f t="shared" ref="M92:M118" si="5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Domestic work cash income -- see Data2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0.67272727272727284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7">
        <f t="shared" si="5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Formal Employment</v>
      </c>
      <c r="B94" s="75">
        <f t="shared" si="45"/>
        <v>2.7549140750514187</v>
      </c>
      <c r="C94" s="75">
        <f t="shared" si="45"/>
        <v>0</v>
      </c>
      <c r="D94" s="24">
        <f t="shared" si="47"/>
        <v>2.7549140750514187</v>
      </c>
      <c r="H94" s="24">
        <f t="shared" si="48"/>
        <v>0.7151515151515152</v>
      </c>
      <c r="I94" s="22">
        <f t="shared" si="49"/>
        <v>1.9701809748852572</v>
      </c>
      <c r="J94" s="24">
        <f t="shared" si="50"/>
        <v>1.9701809748852572</v>
      </c>
      <c r="K94" s="22">
        <f t="shared" si="51"/>
        <v>2.7549140750514187</v>
      </c>
      <c r="L94" s="22">
        <f t="shared" si="52"/>
        <v>1.9701809748852572</v>
      </c>
      <c r="M94" s="227">
        <f t="shared" si="53"/>
        <v>1.9701809748852572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Self-employment -- see Data2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0.7151515151515152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7">
        <f t="shared" si="5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Small business -- see Data2</v>
      </c>
      <c r="B96" s="75">
        <f t="shared" si="45"/>
        <v>2.5345209490473053</v>
      </c>
      <c r="C96" s="75">
        <f t="shared" si="45"/>
        <v>0</v>
      </c>
      <c r="D96" s="24">
        <f t="shared" si="47"/>
        <v>2.5345209490473053</v>
      </c>
      <c r="H96" s="24">
        <f t="shared" si="48"/>
        <v>0.7151515151515152</v>
      </c>
      <c r="I96" s="22">
        <f t="shared" si="49"/>
        <v>1.8125664968944366</v>
      </c>
      <c r="J96" s="24">
        <f t="shared" si="50"/>
        <v>1.8125664968944366</v>
      </c>
      <c r="K96" s="22">
        <f t="shared" si="51"/>
        <v>2.5345209490473053</v>
      </c>
      <c r="L96" s="22">
        <f t="shared" si="52"/>
        <v>1.8125664968944366</v>
      </c>
      <c r="M96" s="227">
        <f t="shared" si="53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Social development -- see Data2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0.7151515151515152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7">
        <f t="shared" si="5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Public works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0.60606060606060608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7">
        <f t="shared" si="5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/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0.60606060606060608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7">
        <f t="shared" si="5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/>
      </c>
      <c r="B100" s="75">
        <f t="shared" si="45"/>
        <v>0</v>
      </c>
      <c r="C100" s="75">
        <f t="shared" si="45"/>
        <v>0</v>
      </c>
      <c r="D100" s="24">
        <f t="shared" si="47"/>
        <v>0</v>
      </c>
      <c r="H100" s="24">
        <f t="shared" si="48"/>
        <v>0.60606060606060608</v>
      </c>
      <c r="I100" s="22">
        <f t="shared" si="49"/>
        <v>0</v>
      </c>
      <c r="J100" s="24">
        <f t="shared" si="50"/>
        <v>0</v>
      </c>
      <c r="K100" s="22">
        <f t="shared" si="51"/>
        <v>0</v>
      </c>
      <c r="L100" s="22">
        <f t="shared" si="52"/>
        <v>0</v>
      </c>
      <c r="M100" s="227">
        <f t="shared" si="5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/>
      </c>
      <c r="B101" s="75">
        <f t="shared" si="45"/>
        <v>0</v>
      </c>
      <c r="C101" s="75">
        <f t="shared" si="45"/>
        <v>0</v>
      </c>
      <c r="D101" s="24">
        <f t="shared" si="47"/>
        <v>0</v>
      </c>
      <c r="H101" s="24">
        <f t="shared" si="48"/>
        <v>0.60606060606060608</v>
      </c>
      <c r="I101" s="22">
        <f t="shared" si="49"/>
        <v>0</v>
      </c>
      <c r="J101" s="24">
        <f t="shared" si="50"/>
        <v>0</v>
      </c>
      <c r="K101" s="22">
        <f t="shared" si="51"/>
        <v>0</v>
      </c>
      <c r="L101" s="22">
        <f t="shared" si="52"/>
        <v>0</v>
      </c>
      <c r="M101" s="227">
        <f t="shared" si="5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/>
      </c>
      <c r="B102" s="75">
        <f t="shared" si="45"/>
        <v>0</v>
      </c>
      <c r="C102" s="75">
        <f t="shared" si="45"/>
        <v>0</v>
      </c>
      <c r="D102" s="24">
        <f t="shared" si="47"/>
        <v>0</v>
      </c>
      <c r="H102" s="24">
        <f t="shared" si="48"/>
        <v>0.60606060606060608</v>
      </c>
      <c r="I102" s="22">
        <f t="shared" si="49"/>
        <v>0</v>
      </c>
      <c r="J102" s="24">
        <f t="shared" si="50"/>
        <v>0</v>
      </c>
      <c r="K102" s="22">
        <f t="shared" si="51"/>
        <v>0</v>
      </c>
      <c r="L102" s="22">
        <f t="shared" si="52"/>
        <v>0</v>
      </c>
      <c r="M102" s="227">
        <f t="shared" si="5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/>
      </c>
      <c r="B103" s="75">
        <f t="shared" si="45"/>
        <v>0</v>
      </c>
      <c r="C103" s="75">
        <f t="shared" si="45"/>
        <v>0</v>
      </c>
      <c r="D103" s="24">
        <f t="shared" si="47"/>
        <v>0</v>
      </c>
      <c r="H103" s="24">
        <f t="shared" si="48"/>
        <v>0.60606060606060608</v>
      </c>
      <c r="I103" s="22">
        <f t="shared" si="49"/>
        <v>0</v>
      </c>
      <c r="J103" s="24">
        <f t="shared" si="50"/>
        <v>0</v>
      </c>
      <c r="K103" s="22">
        <f t="shared" si="51"/>
        <v>0</v>
      </c>
      <c r="L103" s="22">
        <f t="shared" si="52"/>
        <v>0</v>
      </c>
      <c r="M103" s="227">
        <f t="shared" si="5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7">
        <f t="shared" si="5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7">
        <f t="shared" si="5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7">
        <f t="shared" si="5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7">
        <f t="shared" si="5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7">
        <f t="shared" si="5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7">
        <f t="shared" si="5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7">
        <f t="shared" si="5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7">
        <f t="shared" si="5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7">
        <f t="shared" si="5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7">
        <f t="shared" si="5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7">
        <f t="shared" si="5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7">
        <f t="shared" si="5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7">
        <f t="shared" si="5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7">
        <f t="shared" si="5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7">
        <f t="shared" si="5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3.7827474717796941</v>
      </c>
      <c r="J119" s="24">
        <f>SUM(J91:J118)</f>
        <v>3.7827474717796941</v>
      </c>
      <c r="K119" s="22">
        <f>SUM(K91:K118)</f>
        <v>5.289435024098724</v>
      </c>
      <c r="L119" s="22">
        <f>SUM(L91:L118)</f>
        <v>3.7827474717796941</v>
      </c>
      <c r="M119" s="57">
        <f>(J119)</f>
        <v>3.7827474717796941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 t="shared" ref="K124:K130" si="55">(B124)</f>
        <v>0.85926647798309574</v>
      </c>
      <c r="L124" s="29">
        <f>IF(SUMPRODUCT($B$124:$B124,$H$124:$H124)&lt;L$119,($B124*$H124),L$119)</f>
        <v>0.72907458737959641</v>
      </c>
      <c r="M124" s="57">
        <f t="shared" si="54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si="55"/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55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>(J126)</f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0.33493076573049374</v>
      </c>
      <c r="K127" s="22">
        <f t="shared" si="55"/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54"/>
        <v>0.33493076573049374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3.0536728844000978</v>
      </c>
      <c r="J128" s="228">
        <f>(J30)</f>
        <v>0.60160331544575807</v>
      </c>
      <c r="K128" s="22">
        <f t="shared" si="55"/>
        <v>0.65562785305105853</v>
      </c>
      <c r="L128" s="22">
        <f>IF(L124=L119,0,(L119-L124)/(B119-B124)*K128)</f>
        <v>0.4519180198854707</v>
      </c>
      <c r="M128" s="57">
        <f t="shared" si="54"/>
        <v>0.60160331544575807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0.69458057575780607</v>
      </c>
      <c r="K129" s="29">
        <f t="shared" si="55"/>
        <v>1.3170348974931465</v>
      </c>
      <c r="L129" s="60">
        <f>IF(SUM(L124:L128)&gt;L130,0,L130-SUM(L124:L128))</f>
        <v>0.84426587131809372</v>
      </c>
      <c r="M129" s="57">
        <f t="shared" si="54"/>
        <v>0.69458057575780607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3.7827474717796941</v>
      </c>
      <c r="J130" s="228">
        <f>(J119)</f>
        <v>3.7827474717796941</v>
      </c>
      <c r="K130" s="22">
        <f t="shared" si="55"/>
        <v>5.289435024098724</v>
      </c>
      <c r="L130" s="22">
        <f>(L119)</f>
        <v>3.7827474717796941</v>
      </c>
      <c r="M130" s="57">
        <f t="shared" si="54"/>
        <v>3.7827474717796941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81" priority="164" operator="equal">
      <formula>16</formula>
    </cfRule>
    <cfRule type="cellIs" dxfId="180" priority="165" operator="equal">
      <formula>15</formula>
    </cfRule>
    <cfRule type="cellIs" dxfId="179" priority="166" operator="equal">
      <formula>14</formula>
    </cfRule>
    <cfRule type="cellIs" dxfId="178" priority="167" operator="equal">
      <formula>13</formula>
    </cfRule>
    <cfRule type="cellIs" dxfId="177" priority="168" operator="equal">
      <formula>12</formula>
    </cfRule>
    <cfRule type="cellIs" dxfId="176" priority="169" operator="equal">
      <formula>11</formula>
    </cfRule>
    <cfRule type="cellIs" dxfId="175" priority="170" operator="equal">
      <formula>10</formula>
    </cfRule>
    <cfRule type="cellIs" dxfId="174" priority="171" operator="equal">
      <formula>9</formula>
    </cfRule>
    <cfRule type="cellIs" dxfId="173" priority="172" operator="equal">
      <formula>8</formula>
    </cfRule>
    <cfRule type="cellIs" dxfId="172" priority="173" operator="equal">
      <formula>7</formula>
    </cfRule>
    <cfRule type="cellIs" dxfId="171" priority="174" operator="equal">
      <formula>6</formula>
    </cfRule>
    <cfRule type="cellIs" dxfId="170" priority="175" operator="equal">
      <formula>5</formula>
    </cfRule>
    <cfRule type="cellIs" dxfId="169" priority="176" operator="equal">
      <formula>4</formula>
    </cfRule>
    <cfRule type="cellIs" dxfId="168" priority="177" operator="equal">
      <formula>3</formula>
    </cfRule>
    <cfRule type="cellIs" dxfId="167" priority="178" operator="equal">
      <formula>2</formula>
    </cfRule>
    <cfRule type="cellIs" dxfId="166" priority="179" operator="equal">
      <formula>1</formula>
    </cfRule>
  </conditionalFormatting>
  <conditionalFormatting sqref="N29">
    <cfRule type="cellIs" dxfId="165" priority="148" operator="equal">
      <formula>16</formula>
    </cfRule>
    <cfRule type="cellIs" dxfId="164" priority="149" operator="equal">
      <formula>15</formula>
    </cfRule>
    <cfRule type="cellIs" dxfId="163" priority="150" operator="equal">
      <formula>14</formula>
    </cfRule>
    <cfRule type="cellIs" dxfId="162" priority="151" operator="equal">
      <formula>13</formula>
    </cfRule>
    <cfRule type="cellIs" dxfId="161" priority="152" operator="equal">
      <formula>12</formula>
    </cfRule>
    <cfRule type="cellIs" dxfId="160" priority="153" operator="equal">
      <formula>11</formula>
    </cfRule>
    <cfRule type="cellIs" dxfId="159" priority="154" operator="equal">
      <formula>10</formula>
    </cfRule>
    <cfRule type="cellIs" dxfId="158" priority="155" operator="equal">
      <formula>9</formula>
    </cfRule>
    <cfRule type="cellIs" dxfId="157" priority="156" operator="equal">
      <formula>8</formula>
    </cfRule>
    <cfRule type="cellIs" dxfId="156" priority="157" operator="equal">
      <formula>7</formula>
    </cfRule>
    <cfRule type="cellIs" dxfId="155" priority="158" operator="equal">
      <formula>6</formula>
    </cfRule>
    <cfRule type="cellIs" dxfId="154" priority="159" operator="equal">
      <formula>5</formula>
    </cfRule>
    <cfRule type="cellIs" dxfId="153" priority="160" operator="equal">
      <formula>4</formula>
    </cfRule>
    <cfRule type="cellIs" dxfId="152" priority="161" operator="equal">
      <formula>3</formula>
    </cfRule>
    <cfRule type="cellIs" dxfId="151" priority="162" operator="equal">
      <formula>2</formula>
    </cfRule>
    <cfRule type="cellIs" dxfId="150" priority="163" operator="equal">
      <formula>1</formula>
    </cfRule>
  </conditionalFormatting>
  <conditionalFormatting sqref="N27:N28">
    <cfRule type="cellIs" dxfId="149" priority="84" operator="equal">
      <formula>16</formula>
    </cfRule>
    <cfRule type="cellIs" dxfId="148" priority="85" operator="equal">
      <formula>15</formula>
    </cfRule>
    <cfRule type="cellIs" dxfId="147" priority="86" operator="equal">
      <formula>14</formula>
    </cfRule>
    <cfRule type="cellIs" dxfId="146" priority="87" operator="equal">
      <formula>13</formula>
    </cfRule>
    <cfRule type="cellIs" dxfId="145" priority="88" operator="equal">
      <formula>12</formula>
    </cfRule>
    <cfRule type="cellIs" dxfId="144" priority="89" operator="equal">
      <formula>11</formula>
    </cfRule>
    <cfRule type="cellIs" dxfId="143" priority="90" operator="equal">
      <formula>10</formula>
    </cfRule>
    <cfRule type="cellIs" dxfId="142" priority="91" operator="equal">
      <formula>9</formula>
    </cfRule>
    <cfRule type="cellIs" dxfId="141" priority="92" operator="equal">
      <formula>8</formula>
    </cfRule>
    <cfRule type="cellIs" dxfId="140" priority="93" operator="equal">
      <formula>7</formula>
    </cfRule>
    <cfRule type="cellIs" dxfId="139" priority="94" operator="equal">
      <formula>6</formula>
    </cfRule>
    <cfRule type="cellIs" dxfId="138" priority="95" operator="equal">
      <formula>5</formula>
    </cfRule>
    <cfRule type="cellIs" dxfId="137" priority="96" operator="equal">
      <formula>4</formula>
    </cfRule>
    <cfRule type="cellIs" dxfId="136" priority="97" operator="equal">
      <formula>3</formula>
    </cfRule>
    <cfRule type="cellIs" dxfId="135" priority="98" operator="equal">
      <formula>2</formula>
    </cfRule>
    <cfRule type="cellIs" dxfId="134" priority="99" operator="equal">
      <formula>1</formula>
    </cfRule>
  </conditionalFormatting>
  <conditionalFormatting sqref="R31:T31">
    <cfRule type="cellIs" dxfId="133" priority="51" operator="greaterThan">
      <formula>0</formula>
    </cfRule>
  </conditionalFormatting>
  <conditionalFormatting sqref="R32:T32">
    <cfRule type="cellIs" dxfId="132" priority="50" operator="greaterThan">
      <formula>0</formula>
    </cfRule>
  </conditionalFormatting>
  <conditionalFormatting sqref="R30:T30">
    <cfRule type="cellIs" dxfId="131" priority="49" operator="greaterThan">
      <formula>0</formula>
    </cfRule>
  </conditionalFormatting>
  <conditionalFormatting sqref="N91:N104">
    <cfRule type="cellIs" dxfId="130" priority="33" operator="equal">
      <formula>16</formula>
    </cfRule>
    <cfRule type="cellIs" dxfId="129" priority="34" operator="equal">
      <formula>15</formula>
    </cfRule>
    <cfRule type="cellIs" dxfId="128" priority="35" operator="equal">
      <formula>14</formula>
    </cfRule>
    <cfRule type="cellIs" dxfId="127" priority="36" operator="equal">
      <formula>13</formula>
    </cfRule>
    <cfRule type="cellIs" dxfId="126" priority="37" operator="equal">
      <formula>12</formula>
    </cfRule>
    <cfRule type="cellIs" dxfId="125" priority="38" operator="equal">
      <formula>11</formula>
    </cfRule>
    <cfRule type="cellIs" dxfId="124" priority="39" operator="equal">
      <formula>10</formula>
    </cfRule>
    <cfRule type="cellIs" dxfId="123" priority="40" operator="equal">
      <formula>9</formula>
    </cfRule>
    <cfRule type="cellIs" dxfId="122" priority="41" operator="equal">
      <formula>8</formula>
    </cfRule>
    <cfRule type="cellIs" dxfId="121" priority="42" operator="equal">
      <formula>7</formula>
    </cfRule>
    <cfRule type="cellIs" dxfId="120" priority="43" operator="equal">
      <formula>6</formula>
    </cfRule>
    <cfRule type="cellIs" dxfId="119" priority="44" operator="equal">
      <formula>5</formula>
    </cfRule>
    <cfRule type="cellIs" dxfId="118" priority="45" operator="equal">
      <formula>4</formula>
    </cfRule>
    <cfRule type="cellIs" dxfId="117" priority="46" operator="equal">
      <formula>3</formula>
    </cfRule>
    <cfRule type="cellIs" dxfId="116" priority="47" operator="equal">
      <formula>2</formula>
    </cfRule>
    <cfRule type="cellIs" dxfId="115" priority="48" operator="equal">
      <formula>1</formula>
    </cfRule>
  </conditionalFormatting>
  <conditionalFormatting sqref="N105:N118">
    <cfRule type="cellIs" dxfId="114" priority="17" operator="equal">
      <formula>16</formula>
    </cfRule>
    <cfRule type="cellIs" dxfId="113" priority="18" operator="equal">
      <formula>15</formula>
    </cfRule>
    <cfRule type="cellIs" dxfId="112" priority="19" operator="equal">
      <formula>14</formula>
    </cfRule>
    <cfRule type="cellIs" dxfId="111" priority="20" operator="equal">
      <formula>13</formula>
    </cfRule>
    <cfRule type="cellIs" dxfId="110" priority="21" operator="equal">
      <formula>12</formula>
    </cfRule>
    <cfRule type="cellIs" dxfId="109" priority="22" operator="equal">
      <formula>11</formula>
    </cfRule>
    <cfRule type="cellIs" dxfId="108" priority="23" operator="equal">
      <formula>10</formula>
    </cfRule>
    <cfRule type="cellIs" dxfId="107" priority="24" operator="equal">
      <formula>9</formula>
    </cfRule>
    <cfRule type="cellIs" dxfId="106" priority="25" operator="equal">
      <formula>8</formula>
    </cfRule>
    <cfRule type="cellIs" dxfId="105" priority="26" operator="equal">
      <formula>7</formula>
    </cfRule>
    <cfRule type="cellIs" dxfId="104" priority="27" operator="equal">
      <formula>6</formula>
    </cfRule>
    <cfRule type="cellIs" dxfId="103" priority="28" operator="equal">
      <formula>5</formula>
    </cfRule>
    <cfRule type="cellIs" dxfId="102" priority="29" operator="equal">
      <formula>4</formula>
    </cfRule>
    <cfRule type="cellIs" dxfId="101" priority="30" operator="equal">
      <formula>3</formula>
    </cfRule>
    <cfRule type="cellIs" dxfId="100" priority="31" operator="equal">
      <formula>2</formula>
    </cfRule>
    <cfRule type="cellIs" dxfId="99" priority="32" operator="equal">
      <formula>1</formula>
    </cfRule>
  </conditionalFormatting>
  <conditionalFormatting sqref="N6:N26">
    <cfRule type="cellIs" dxfId="98" priority="1" operator="equal">
      <formula>16</formula>
    </cfRule>
    <cfRule type="cellIs" dxfId="97" priority="2" operator="equal">
      <formula>15</formula>
    </cfRule>
    <cfRule type="cellIs" dxfId="96" priority="3" operator="equal">
      <formula>14</formula>
    </cfRule>
    <cfRule type="cellIs" dxfId="95" priority="4" operator="equal">
      <formula>13</formula>
    </cfRule>
    <cfRule type="cellIs" dxfId="94" priority="5" operator="equal">
      <formula>12</formula>
    </cfRule>
    <cfRule type="cellIs" dxfId="93" priority="6" operator="equal">
      <formula>11</formula>
    </cfRule>
    <cfRule type="cellIs" dxfId="92" priority="7" operator="equal">
      <formula>10</formula>
    </cfRule>
    <cfRule type="cellIs" dxfId="91" priority="8" operator="equal">
      <formula>9</formula>
    </cfRule>
    <cfRule type="cellIs" dxfId="90" priority="9" operator="equal">
      <formula>8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temporary!A1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temporary!Z1</f>
        <v>Apr-Jun</v>
      </c>
      <c r="AA1" s="181"/>
      <c r="AB1" s="180" t="str">
        <f>temporary!AB1</f>
        <v>Jul-Sep</v>
      </c>
      <c r="AC1" s="181"/>
      <c r="AD1" s="180" t="str">
        <f>temporary!AD1</f>
        <v>Oct-Dec</v>
      </c>
      <c r="AE1" s="181"/>
      <c r="AF1" s="180" t="str">
        <f>temporary!AF1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temporary!Z2</f>
        <v>Q1</v>
      </c>
      <c r="AA2" s="260"/>
      <c r="AB2" s="259" t="str">
        <f>temporary!AB2</f>
        <v>Q2</v>
      </c>
      <c r="AC2" s="260"/>
      <c r="AD2" s="259" t="str">
        <f>temporary!AD2</f>
        <v>Q3</v>
      </c>
      <c r="AE2" s="260"/>
      <c r="AF2" s="259" t="str">
        <f>temporary!AF2</f>
        <v>Q4</v>
      </c>
      <c r="AG2" s="260"/>
      <c r="AH2" s="117"/>
      <c r="AI2" s="110"/>
      <c r="AJ2" s="197" t="str">
        <f>temporary!AJ2</f>
        <v>H1</v>
      </c>
      <c r="AK2" s="198" t="str">
        <f>temporary!AK2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IF(temporary!A6=0,"",temporary!A6)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'full-time'!E6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temporary!Z6</f>
        <v>0.17</v>
      </c>
      <c r="AA6" s="121">
        <f>$M6*Z6*4</f>
        <v>0</v>
      </c>
      <c r="AB6" s="156">
        <f>temporary!AB6</f>
        <v>0.17</v>
      </c>
      <c r="AC6" s="121">
        <f>$M6*AB6*4</f>
        <v>0</v>
      </c>
      <c r="AD6" s="156">
        <f>temporary!AD6</f>
        <v>0.33</v>
      </c>
      <c r="AE6" s="121">
        <f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IF(temporary!A7=0,"",temporary!A7)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'full-time'!E7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IF($B$81=0,0,(SUMIF($N$6:$N$28,$U7,K$6:K$28)+SUMIF($N$91:$N$118,$U7,K$91:K$118))*$B$83*$H$84*temporary!$B$81/$B$81)</f>
        <v>0</v>
      </c>
      <c r="S7" s="222">
        <f>IF($B$81=0,0,(SUMIF($N$6:$N$28,$U7,L$6:L$28)+SUMIF($N$91:$N$118,$U7,L$91:L$118))*$I$83*temporary!$B$81/$B$81)</f>
        <v>0</v>
      </c>
      <c r="T7" s="222">
        <f>IF($B$81=0,0,(SUMIF($N$6:$N$28,$U7,M$6:M$28)+SUMIF($N$91:$N$118,$U7,M$91:M$118))*$I$83*temporary!$B$81/$B$81)</f>
        <v>0</v>
      </c>
      <c r="U7" s="223">
        <v>1</v>
      </c>
      <c r="V7" s="56"/>
      <c r="W7" s="115"/>
      <c r="X7" s="118">
        <f>temporary!X7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IF(temporary!A8=0,"",temporary!A8)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'full-time'!E8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IF($B$81=0,0,(SUMIF($N$6:$N$28,$U8,K$6:K$28)+SUMIF($N$91:$N$118,$U8,K$91:K$118))*$B$83*$H$84*temporary!$B$81/$B$81)</f>
        <v>0</v>
      </c>
      <c r="S8" s="222">
        <f>IF($B$81=0,0,(SUMIF($N$6:$N$28,$U8,L$6:L$28)+SUMIF($N$91:$N$118,$U8,L$91:L$118))*$I$83*temporary!$B$81/$B$81)</f>
        <v>0</v>
      </c>
      <c r="T8" s="222">
        <f>IF($B$81=0,0,(SUMIF($N$6:$N$28,$U8,M$6:M$28)+SUMIF($N$91:$N$118,$U8,M$91:M$118))*$I$83*temporary!$B$81/$B$81)</f>
        <v>0</v>
      </c>
      <c r="U8" s="223">
        <v>2</v>
      </c>
      <c r="V8" s="56"/>
      <c r="W8" s="115"/>
      <c r="X8" s="118">
        <f>temporary!X8</f>
        <v>1</v>
      </c>
      <c r="Y8" s="183">
        <f t="shared" si="7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8"/>
        <v>1</v>
      </c>
      <c r="AG8" s="121">
        <f t="shared" si="9"/>
        <v>0</v>
      </c>
      <c r="AH8" s="123">
        <f t="shared" si="10"/>
        <v>1</v>
      </c>
      <c r="AI8" s="183" t="e">
        <f t="shared" si="11"/>
        <v>#DIV/0!</v>
      </c>
      <c r="AJ8" s="120" t="e">
        <f t="shared" si="12"/>
        <v>#DIV/0!</v>
      </c>
      <c r="AK8" s="119" t="e">
        <f t="shared" si="13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IF(temporary!A9=0,"",temporary!A9)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'full-time'!E9</f>
        <v>1</v>
      </c>
      <c r="F9" s="76">
        <f>temporary!F9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IF($B$81=0,0,(SUMIF($N$6:$N$28,$U9,K$6:K$28)+SUMIF($N$91:$N$118,$U9,K$91:K$118))*$B$83*$H$84*temporary!$B$81/$B$81)</f>
        <v>0</v>
      </c>
      <c r="S9" s="222">
        <f>IF($B$81=0,0,(SUMIF($N$6:$N$28,$U9,L$6:L$28)+SUMIF($N$91:$N$118,$U9,L$91:L$118))*$I$83*temporary!$B$81/$B$81)</f>
        <v>0</v>
      </c>
      <c r="T9" s="222">
        <f>IF($B$81=0,0,(SUMIF($N$6:$N$28,$U9,M$6:M$28)+SUMIF($N$91:$N$118,$U9,M$91:M$118))*$I$83*temporary!$B$81/$B$81)</f>
        <v>0</v>
      </c>
      <c r="U9" s="223">
        <v>3</v>
      </c>
      <c r="V9" s="56"/>
      <c r="W9" s="115"/>
      <c r="X9" s="118">
        <f>temporary!X9</f>
        <v>1</v>
      </c>
      <c r="Y9" s="183">
        <f t="shared" si="7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8"/>
        <v>1</v>
      </c>
      <c r="AG9" s="121">
        <f t="shared" si="9"/>
        <v>0</v>
      </c>
      <c r="AH9" s="123">
        <f t="shared" si="10"/>
        <v>1</v>
      </c>
      <c r="AI9" s="183" t="e">
        <f t="shared" si="11"/>
        <v>#DIV/0!</v>
      </c>
      <c r="AJ9" s="120" t="e">
        <f t="shared" si="12"/>
        <v>#DIV/0!</v>
      </c>
      <c r="AK9" s="119" t="e">
        <f t="shared" si="13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IF(temporary!A10=0,"",temporary!A10)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'full-time'!E10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IF($B$81=0,0,(SUMIF($N$6:$N$28,$U10,K$6:K$28)+SUMIF($N$91:$N$118,$U10,K$91:K$118))*$B$83*$H$84*temporary!$B$81/$B$81)</f>
        <v>0</v>
      </c>
      <c r="S10" s="222">
        <f>IF($B$81=0,0,(SUMIF($N$6:$N$28,$U10,L$6:L$28)+SUMIF($N$91:$N$118,$U10,L$91:L$118))*$I$83*temporary!$B$81/$B$81)</f>
        <v>0</v>
      </c>
      <c r="T10" s="222">
        <f>IF($B$81=0,0,(SUMIF($N$6:$N$28,$U10,M$6:M$28)+SUMIF($N$91:$N$118,$U10,M$91:M$118))*$I$83*temporary!$B$81/$B$81)</f>
        <v>0</v>
      </c>
      <c r="U10" s="223">
        <v>4</v>
      </c>
      <c r="V10" s="56"/>
      <c r="W10" s="115"/>
      <c r="X10" s="118">
        <f>temporary!X10</f>
        <v>1</v>
      </c>
      <c r="Y10" s="183">
        <f t="shared" si="7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8"/>
        <v>1</v>
      </c>
      <c r="AG10" s="121">
        <f t="shared" si="9"/>
        <v>0</v>
      </c>
      <c r="AH10" s="123">
        <f t="shared" si="10"/>
        <v>1</v>
      </c>
      <c r="AI10" s="183" t="e">
        <f t="shared" si="11"/>
        <v>#DIV/0!</v>
      </c>
      <c r="AJ10" s="120" t="e">
        <f t="shared" si="12"/>
        <v>#DIV/0!</v>
      </c>
      <c r="AK10" s="119" t="e">
        <f t="shared" si="13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IF(temporary!A11=0,"",temporary!A11)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'full-time'!E11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IF($B$81=0,0,(SUMIF($N$6:$N$28,$U11,K$6:K$28)+SUMIF($N$91:$N$118,$U11,K$91:K$118))*$B$83*$H$84*temporary!$B$81/$B$81)</f>
        <v>0</v>
      </c>
      <c r="S11" s="222">
        <f>IF($B$81=0,0,(SUMIF($N$6:$N$28,$U11,L$6:L$28)+SUMIF($N$91:$N$118,$U11,L$91:L$118))*$I$83*temporary!$B$81/$B$81)</f>
        <v>0</v>
      </c>
      <c r="T11" s="222">
        <f>IF($B$81=0,0,(SUMIF($N$6:$N$28,$U11,M$6:M$28)+SUMIF($N$91:$N$118,$U11,M$91:M$118))*$I$83*temporary!$B$81/$B$81)</f>
        <v>0</v>
      </c>
      <c r="U11" s="223">
        <v>5</v>
      </c>
      <c r="V11" s="56"/>
      <c r="W11" s="115"/>
      <c r="X11" s="118">
        <f>temporary!X11</f>
        <v>1</v>
      </c>
      <c r="Y11" s="183">
        <f t="shared" si="7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8"/>
        <v>1</v>
      </c>
      <c r="AG11" s="121">
        <f t="shared" si="9"/>
        <v>0</v>
      </c>
      <c r="AH11" s="123">
        <f t="shared" si="10"/>
        <v>1</v>
      </c>
      <c r="AI11" s="183" t="e">
        <f t="shared" si="11"/>
        <v>#DIV/0!</v>
      </c>
      <c r="AJ11" s="120" t="e">
        <f t="shared" si="12"/>
        <v>#DIV/0!</v>
      </c>
      <c r="AK11" s="119" t="e">
        <f t="shared" si="13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IF(temporary!A12=0,"",temporary!A12)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'full-time'!E12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IF($B$81=0,0,(SUMIF($N$6:$N$28,$U12,K$6:K$28)+SUMIF($N$91:$N$118,$U12,K$91:K$118))*$B$83*$H$84*temporary!$B$81/$B$81)</f>
        <v>0</v>
      </c>
      <c r="S12" s="222">
        <f>IF($B$81=0,0,(SUMIF($N$6:$N$28,$U12,L$6:L$28)+SUMIF($N$91:$N$118,$U12,L$91:L$118))*$I$83*temporary!$B$81/$B$81)</f>
        <v>0</v>
      </c>
      <c r="T12" s="222">
        <f>IF($B$81=0,0,(SUMIF($N$6:$N$28,$U12,M$6:M$28)+SUMIF($N$91:$N$118,$U12,M$91:M$118))*$I$83*temporary!$B$81/$B$81)</f>
        <v>0</v>
      </c>
      <c r="U12" s="223">
        <v>6</v>
      </c>
      <c r="V12" s="56"/>
      <c r="W12" s="117"/>
      <c r="X12" s="118"/>
      <c r="Y12" s="183">
        <f t="shared" si="7"/>
        <v>0</v>
      </c>
      <c r="Z12" s="156">
        <f>temporary!Z12</f>
        <v>0</v>
      </c>
      <c r="AA12" s="121">
        <f>$M12*Z12*4</f>
        <v>0</v>
      </c>
      <c r="AB12" s="156">
        <f>temporary!AB12</f>
        <v>0</v>
      </c>
      <c r="AC12" s="121">
        <f t="shared" ref="AC12:AC17" si="14">$M12*AB12*4</f>
        <v>0</v>
      </c>
      <c r="AD12" s="156">
        <f>temporary!AD12</f>
        <v>0.67</v>
      </c>
      <c r="AE12" s="121">
        <f t="shared" ref="AE12:AE17" si="15"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0"/>
        <v>1</v>
      </c>
      <c r="AI12" s="183">
        <f t="shared" si="11"/>
        <v>0</v>
      </c>
      <c r="AJ12" s="120">
        <f t="shared" si="12"/>
        <v>0</v>
      </c>
      <c r="AK12" s="119">
        <f t="shared" si="13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IF(temporary!A13=0,"",temporary!A13)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'full-time'!E13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IF($B$81=0,0,(SUMIF($N$6:$N$28,$U13,K$6:K$28)+SUMIF($N$91:$N$118,$U13,K$91:K$118))*$B$83*$H$84*temporary!$B$81/$B$81)</f>
        <v>0</v>
      </c>
      <c r="S13" s="222">
        <f>IF($B$81=0,0,(SUMIF($N$6:$N$28,$U13,L$6:L$28)+SUMIF($N$91:$N$118,$U13,L$91:L$118))*$I$83*temporary!$B$81/$B$81)</f>
        <v>0</v>
      </c>
      <c r="T13" s="222">
        <f>IF($B$81=0,0,(SUMIF($N$6:$N$28,$U13,M$6:M$28)+SUMIF($N$91:$N$118,$U13,M$91:M$118))*$I$83*temporary!$B$81/$B$81)</f>
        <v>0</v>
      </c>
      <c r="U13" s="223">
        <v>7</v>
      </c>
      <c r="V13" s="56"/>
      <c r="W13" s="110"/>
      <c r="X13" s="118"/>
      <c r="Y13" s="183">
        <f t="shared" si="7"/>
        <v>0</v>
      </c>
      <c r="Z13" s="156">
        <f>temporary!Z13</f>
        <v>1</v>
      </c>
      <c r="AA13" s="121">
        <f>$M13*Z13*4</f>
        <v>0</v>
      </c>
      <c r="AB13" s="156">
        <f>temporary!AB13</f>
        <v>0</v>
      </c>
      <c r="AC13" s="121">
        <f t="shared" si="14"/>
        <v>0</v>
      </c>
      <c r="AD13" s="156">
        <f>temporary!AD13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IF(temporary!A14=0,"",temporary!A14)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'full-time'!E14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IF($B$81=0,0,(SUMIF($N$6:$N$28,$U14,K$6:K$28)+SUMIF($N$91:$N$118,$U14,K$91:K$118))*$B$83*$H$84*temporary!$B$81/$B$81)</f>
        <v>0</v>
      </c>
      <c r="S14" s="222">
        <f>IF($B$81=0,0,(SUMIF($N$6:$N$28,$U14,L$6:L$28)+SUMIF($N$91:$N$118,$U14,L$91:L$118))*$I$83*temporary!$B$81/$B$81)</f>
        <v>0</v>
      </c>
      <c r="T14" s="222">
        <f>IF($B$81=0,0,(SUMIF($N$6:$N$28,$U14,M$6:M$28)+SUMIF($N$91:$N$118,$U14,M$91:M$118))*$I$83*temporary!$B$81/$B$81)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temporary!Z14</f>
        <v>0</v>
      </c>
      <c r="AA14" s="121">
        <f t="shared" ref="AA14:AA29" si="16">$M14*Z14*4</f>
        <v>0</v>
      </c>
      <c r="AB14" s="156">
        <f>temporary!AB14</f>
        <v>1</v>
      </c>
      <c r="AC14" s="121">
        <f t="shared" si="14"/>
        <v>0</v>
      </c>
      <c r="AD14" s="156">
        <f>temporary!AD14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0</v>
      </c>
      <c r="AJ14" s="120">
        <f t="shared" si="12"/>
        <v>0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IF(temporary!A15=0,"",temporary!A15)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'full-time'!E15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IF($B$81=0,0,(SUMIF($N$6:$N$28,$U15,K$6:K$28)+SUMIF($N$91:$N$118,$U15,K$91:K$118))*$B$83*$H$84*temporary!$B$81/$B$81)</f>
        <v>0</v>
      </c>
      <c r="S15" s="222">
        <f>IF($B$81=0,0,(SUMIF($N$6:$N$28,$U15,L$6:L$28)+SUMIF($N$91:$N$118,$U15,L$91:L$118))*$I$83*temporary!$B$81/$B$81)</f>
        <v>0</v>
      </c>
      <c r="T15" s="222">
        <f>IF($B$81=0,0,(SUMIF($N$6:$N$28,$U15,M$6:M$28)+SUMIF($N$91:$N$118,$U15,M$91:M$118))*$I$83*temporary!$B$81/$B$81)</f>
        <v>0</v>
      </c>
      <c r="U15" s="223">
        <v>9</v>
      </c>
      <c r="V15" s="56"/>
      <c r="W15" s="110"/>
      <c r="X15" s="118"/>
      <c r="Y15" s="183">
        <f t="shared" si="7"/>
        <v>0</v>
      </c>
      <c r="Z15" s="156">
        <f>temporary!Z15</f>
        <v>0.25</v>
      </c>
      <c r="AA15" s="121">
        <f t="shared" si="16"/>
        <v>0</v>
      </c>
      <c r="AB15" s="156">
        <f>temporary!AB15</f>
        <v>0.25</v>
      </c>
      <c r="AC15" s="121">
        <f t="shared" si="14"/>
        <v>0</v>
      </c>
      <c r="AD15" s="156">
        <f>temporary!AD15</f>
        <v>0.25</v>
      </c>
      <c r="AE15" s="121">
        <f t="shared" si="15"/>
        <v>0</v>
      </c>
      <c r="AF15" s="122">
        <f t="shared" si="8"/>
        <v>0.25</v>
      </c>
      <c r="AG15" s="121">
        <f t="shared" si="9"/>
        <v>0</v>
      </c>
      <c r="AH15" s="123">
        <f t="shared" si="10"/>
        <v>1</v>
      </c>
      <c r="AI15" s="183">
        <f t="shared" si="11"/>
        <v>0</v>
      </c>
      <c r="AJ15" s="120">
        <f t="shared" si="12"/>
        <v>0</v>
      </c>
      <c r="AK15" s="119">
        <f t="shared" si="13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IF(temporary!A16=0,"",temporary!A16)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'full-time'!E16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IF($B$81=0,0,(SUMIF($N$6:$N$28,$U16,K$6:K$28)+SUMIF($N$91:$N$118,$U16,K$91:K$118))*$B$83*$H$84*temporary!$B$81/$B$81)</f>
        <v>0</v>
      </c>
      <c r="S16" s="222">
        <f>IF($B$81=0,0,(SUMIF($N$6:$N$28,$U16,L$6:L$28)+SUMIF($N$91:$N$118,$U16,L$91:L$118))*$I$83*temporary!$B$81/$B$81)</f>
        <v>0</v>
      </c>
      <c r="T16" s="222">
        <f>IF($B$81=0,0,(SUMIF($N$6:$N$28,$U16,M$6:M$28)+SUMIF($N$91:$N$118,$U16,M$91:M$118))*$I$83*temporary!$B$81/$B$81)</f>
        <v>0</v>
      </c>
      <c r="U16" s="223">
        <v>10</v>
      </c>
      <c r="V16" s="56"/>
      <c r="W16" s="110"/>
      <c r="X16" s="118"/>
      <c r="Y16" s="183">
        <f t="shared" si="7"/>
        <v>0</v>
      </c>
      <c r="Z16" s="156">
        <f>temporary!Z16</f>
        <v>0</v>
      </c>
      <c r="AA16" s="121">
        <f t="shared" si="16"/>
        <v>0</v>
      </c>
      <c r="AB16" s="156">
        <f>temporary!AB16</f>
        <v>0</v>
      </c>
      <c r="AC16" s="121">
        <f t="shared" si="14"/>
        <v>0</v>
      </c>
      <c r="AD16" s="156">
        <f>temporary!AD16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0</v>
      </c>
      <c r="AH16" s="123">
        <f t="shared" si="10"/>
        <v>1</v>
      </c>
      <c r="AI16" s="183">
        <f t="shared" si="11"/>
        <v>0</v>
      </c>
      <c r="AJ16" s="120">
        <f t="shared" si="12"/>
        <v>0</v>
      </c>
      <c r="AK16" s="119">
        <f t="shared" si="13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IF(temporary!A17=0,"",temporary!A17)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'full-time'!E17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IF($B$81=0,0,(SUMIF($N$6:$N$28,$U17,K$6:K$28)+SUMIF($N$91:$N$118,$U17,K$91:K$118))*$B$83*$H$84*temporary!$B$81/$B$81)</f>
        <v>0</v>
      </c>
      <c r="S17" s="222">
        <f>IF($B$81=0,0,(SUMIF($N$6:$N$28,$U17,L$6:L$28)+SUMIF($N$91:$N$118,$U17,L$91:L$118))*$I$83*temporary!$B$81/$B$81)</f>
        <v>0</v>
      </c>
      <c r="T17" s="222">
        <f>IF($B$81=0,0,(SUMIF($N$6:$N$28,$U17,M$6:M$28)+SUMIF($N$91:$N$118,$U17,M$91:M$118))*$I$83*temporary!$B$81/$B$81)</f>
        <v>0</v>
      </c>
      <c r="U17" s="223">
        <v>11</v>
      </c>
      <c r="V17" s="56"/>
      <c r="W17" s="110"/>
      <c r="X17" s="118"/>
      <c r="Y17" s="183">
        <f t="shared" si="7"/>
        <v>0</v>
      </c>
      <c r="Z17" s="156">
        <f>temporary!Z17</f>
        <v>0.29409999999999997</v>
      </c>
      <c r="AA17" s="121">
        <f t="shared" si="16"/>
        <v>0</v>
      </c>
      <c r="AB17" s="156">
        <f>temporary!AB17</f>
        <v>0.17649999999999999</v>
      </c>
      <c r="AC17" s="121">
        <f t="shared" si="14"/>
        <v>0</v>
      </c>
      <c r="AD17" s="156">
        <f>temporary!AD17</f>
        <v>0.23530000000000001</v>
      </c>
      <c r="AE17" s="121">
        <f t="shared" si="15"/>
        <v>0</v>
      </c>
      <c r="AF17" s="122">
        <f t="shared" si="8"/>
        <v>0.29410000000000003</v>
      </c>
      <c r="AG17" s="121">
        <f t="shared" si="9"/>
        <v>0</v>
      </c>
      <c r="AH17" s="123">
        <f t="shared" si="10"/>
        <v>1</v>
      </c>
      <c r="AI17" s="183">
        <f t="shared" si="11"/>
        <v>0</v>
      </c>
      <c r="AJ17" s="120">
        <f t="shared" si="12"/>
        <v>0</v>
      </c>
      <c r="AK17" s="119">
        <f t="shared" si="13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IF(temporary!A18=0,"",temporary!A18)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'full-time'!E18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IF($B$81=0,0,(SUMIF($N$6:$N$28,$U18,K$6:K$28)+SUMIF($N$91:$N$118,$U18,K$91:K$118))*$B$83*$H$84*temporary!$B$81/$B$81)</f>
        <v>0</v>
      </c>
      <c r="S18" s="222">
        <f>IF($B$81=0,0,(SUMIF($N$6:$N$28,$U18,L$6:L$28)+SUMIF($N$91:$N$118,$U18,L$91:L$118))*$I$83*temporary!$B$81/$B$81)</f>
        <v>0</v>
      </c>
      <c r="T18" s="222">
        <f>IF($B$81=0,0,(SUMIF($N$6:$N$28,$U18,M$6:M$28)+SUMIF($N$91:$N$118,$U18,M$91:M$118))*$I$83*temporary!$B$81/$B$81)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IF(temporary!A19=0,"",temporary!A19)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'full-time'!E19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IF($B$81=0,0,(SUMIF($N$6:$N$28,$U19,K$6:K$28)+SUMIF($N$91:$N$118,$U19,K$91:K$118))*$B$83*$H$84*temporary!$B$81/$B$81)</f>
        <v>0</v>
      </c>
      <c r="S19" s="222">
        <f>IF($B$81=0,0,(SUMIF($N$6:$N$28,$U19,L$6:L$28)+SUMIF($N$91:$N$118,$U19,L$91:L$118))*$I$83*temporary!$B$81/$B$81)</f>
        <v>0</v>
      </c>
      <c r="T19" s="222">
        <f>IF($B$81=0,0,(SUMIF($N$6:$N$28,$U19,M$6:M$28)+SUMIF($N$91:$N$118,$U19,M$91:M$118))*$I$83*temporary!$B$81/$B$81)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IF(temporary!A20=0,"",temporary!A20)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'full-time'!E20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IF($B$81=0,0,(SUMIF($N$6:$N$28,$U20,K$6:K$28)+SUMIF($N$91:$N$118,$U20,K$91:K$118))*$B$83*$H$84*temporary!$B$81/$B$81)</f>
        <v>0</v>
      </c>
      <c r="S20" s="222">
        <f>IF($B$81=0,0,(SUMIF($N$6:$N$28,$U20,L$6:L$28)+SUMIF($N$91:$N$118,$U20,L$91:L$118))*$I$83*temporary!$B$81/$B$81)</f>
        <v>0</v>
      </c>
      <c r="T20" s="222">
        <f>IF($B$81=0,0,(SUMIF($N$6:$N$28,$U20,M$6:M$28)+SUMIF($N$91:$N$118,$U20,M$91:M$118))*$I$83*temporary!$B$81/$B$81)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IF(temporary!A21=0,"",temporary!A21)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'full-time'!E21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IF($B$81=0,0,(SUMIF($N$6:$N$28,$U21,K$6:K$28)+SUMIF($N$91:$N$118,$U21,K$91:K$118))*$B$83*$H$84*temporary!$B$81/$B$81)</f>
        <v>0</v>
      </c>
      <c r="S21" s="222">
        <f>IF($B$81=0,0,(SUMIF($N$6:$N$28,$U21,L$6:L$28)+SUMIF($N$91:$N$118,$U21,L$91:L$118))*$I$83*temporary!$B$81/$B$81)</f>
        <v>0</v>
      </c>
      <c r="T21" s="222">
        <f>IF($B$81=0,0,(SUMIF($N$6:$N$28,$U21,M$6:M$28)+SUMIF($N$91:$N$118,$U21,M$91:M$118))*$I$83*temporary!$B$81/$B$81)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IF(temporary!A22=0,"",temporary!A22)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'full-time'!E22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IF($B$81=0,0,(SUMIF($N$6:$N$28,$U22,K$6:K$28)+SUMIF($N$91:$N$118,$U22,K$91:K$118))*$B$83*$H$84*temporary!$B$81/$B$81)</f>
        <v>0</v>
      </c>
      <c r="S22" s="222">
        <f>IF($B$81=0,0,(SUMIF($N$6:$N$28,$U22,L$6:L$28)+SUMIF($N$91:$N$118,$U22,L$91:L$118))*$I$83*temporary!$B$81/$B$81)</f>
        <v>0</v>
      </c>
      <c r="T22" s="222">
        <f>IF($B$81=0,0,(SUMIF($N$6:$N$28,$U22,M$6:M$28)+SUMIF($N$91:$N$118,$U22,M$91:M$118))*$I$83*temporary!$B$81/$B$81)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IF(temporary!A23=0,"",temporary!A23)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'full-time'!E23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IF(temporary!A24=0,"",temporary!A24)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'full-time'!E24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IF($B$81=0,0,(SUM(($B$70*$H$70))+((1-$D$29)*$I$83))*temporary!$B$81/$B$81)</f>
        <v>27031.576933582299</v>
      </c>
      <c r="S24" s="41">
        <f>IF($B$81=0,0,(SUM(($B$70*$H$70))+((1-$D$29)*$I$83))*temporary!$B$81/$B$81)</f>
        <v>27031.576933582299</v>
      </c>
      <c r="T24" s="41">
        <f>IF($B$81=0,0,(SUM(($B$70*$H$70))+((1-$D$29)*$I$83))*temporary!$B$81/$B$81)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IF(temporary!A25=0,"",temporary!A25)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'full-time'!E25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IF($B$81=0,0,(SUM(($B$70*$H$70),($B$71*$H$71))+((1-$D$29)*$I$83))*temporary!$B$81/$B$81)</f>
        <v>36222.990266915629</v>
      </c>
      <c r="S25" s="41">
        <f>IF($B$81=0,0,(SUM(($B$70*$H$70),($B$71*$H$71))+((1-$D$29)*$I$83))*temporary!$B$81/$B$81)</f>
        <v>36222.990266915629</v>
      </c>
      <c r="T25" s="41">
        <f>IF($B$81=0,0,(SUM(($B$70*$H$70),($B$71*$H$71))+((1-$D$29)*$I$83))*temporary!$B$81/$B$81)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IF(temporary!A26=0,"",temporary!A26)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'full-time'!E26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IF($B$81=0,0,(SUM(($B$70*$H$70),($B$71*$H$71),($B$72*$H$72))+((1-$D$29)*$I$83))*temporary!$B$81/$B$81)</f>
        <v>52591.950266915628</v>
      </c>
      <c r="S26" s="41">
        <f>IF($B$81=0,0,(SUM(($B$70*$H$70),($B$71*$H$71),($B$72*$H$72))+((1-$D$29)*$I$83))*temporary!$B$81/$B$81)</f>
        <v>52591.950266915628</v>
      </c>
      <c r="T26" s="41">
        <f>IF($B$81=0,0,(SUM(($B$70*$H$70),($B$71*$H$71),($B$72*$H$72))+((1-$D$29)*$I$83))*temporary!$B$81/$B$81)</f>
        <v>52591.950266915628</v>
      </c>
      <c r="U26" s="56"/>
      <c r="V26" s="56"/>
      <c r="W26" s="110"/>
      <c r="X26" s="118"/>
      <c r="Y26" s="183">
        <f t="shared" si="7"/>
        <v>0</v>
      </c>
      <c r="Z26" s="156">
        <f>temporary!Z26</f>
        <v>0.25</v>
      </c>
      <c r="AA26" s="121">
        <f t="shared" si="16"/>
        <v>0</v>
      </c>
      <c r="AB26" s="156">
        <f>temporary!AB26</f>
        <v>0.25</v>
      </c>
      <c r="AC26" s="121">
        <f>$M26*AB26*4</f>
        <v>0</v>
      </c>
      <c r="AD26" s="156">
        <f>temporary!AD26</f>
        <v>0.25</v>
      </c>
      <c r="AE26" s="121">
        <f>$M26*AD26*4</f>
        <v>0</v>
      </c>
      <c r="AF26" s="122">
        <f t="shared" si="8"/>
        <v>0.25</v>
      </c>
      <c r="AG26" s="121">
        <f t="shared" si="9"/>
        <v>0</v>
      </c>
      <c r="AH26" s="123">
        <f t="shared" si="10"/>
        <v>1</v>
      </c>
      <c r="AI26" s="183">
        <f t="shared" si="11"/>
        <v>0</v>
      </c>
      <c r="AJ26" s="120">
        <f t="shared" si="12"/>
        <v>0</v>
      </c>
      <c r="AK26" s="119">
        <f t="shared" si="13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IF(temporary!A27=0,"",temporary!A27)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'full-time'!E27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temporary!Z27</f>
        <v>0.25</v>
      </c>
      <c r="AA27" s="121">
        <f t="shared" si="16"/>
        <v>0</v>
      </c>
      <c r="AB27" s="156">
        <f>temporary!AB27</f>
        <v>0.25</v>
      </c>
      <c r="AC27" s="121">
        <f>$M27*AB27*4</f>
        <v>0</v>
      </c>
      <c r="AD27" s="156">
        <f>temporary!AD27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IF(temporary!A28=0,"",temporary!A28)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'full-time'!E28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7"/>
        <v>0</v>
      </c>
      <c r="Z28" s="156">
        <f>temporary!Z28</f>
        <v>0</v>
      </c>
      <c r="AA28" s="121">
        <f t="shared" si="16"/>
        <v>0</v>
      </c>
      <c r="AB28" s="156">
        <f>temporary!AB28</f>
        <v>0</v>
      </c>
      <c r="AC28" s="121">
        <f>$M28*AB28*4</f>
        <v>0</v>
      </c>
      <c r="AD28" s="156">
        <f>temporary!AD28</f>
        <v>0.5</v>
      </c>
      <c r="AE28" s="121">
        <f>$M28*AD28*4</f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IF(temporary!A29=0,"",temporary!A29)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'full-time'!E29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7"/>
        <v>0.89854709576798852</v>
      </c>
      <c r="Z29" s="156">
        <f>temporary!Z29</f>
        <v>0.25</v>
      </c>
      <c r="AA29" s="121">
        <f t="shared" si="16"/>
        <v>0.22463677394199713</v>
      </c>
      <c r="AB29" s="156">
        <f>temporary!AB29</f>
        <v>0.25</v>
      </c>
      <c r="AC29" s="121">
        <f>$M29*AB29*4</f>
        <v>0.22463677394199713</v>
      </c>
      <c r="AD29" s="156">
        <f>temporary!AD29</f>
        <v>0.25</v>
      </c>
      <c r="AE29" s="121">
        <f>$M29*AD29*4</f>
        <v>0.22463677394199713</v>
      </c>
      <c r="AF29" s="122">
        <f t="shared" si="8"/>
        <v>0.25</v>
      </c>
      <c r="AG29" s="121">
        <f t="shared" si="9"/>
        <v>0.22463677394199713</v>
      </c>
      <c r="AH29" s="123">
        <f t="shared" si="10"/>
        <v>1</v>
      </c>
      <c r="AI29" s="183">
        <f t="shared" si="11"/>
        <v>0.22463677394199713</v>
      </c>
      <c r="AJ29" s="120">
        <f t="shared" si="12"/>
        <v>0.22463677394199713</v>
      </c>
      <c r="AK29" s="119">
        <f t="shared" si="13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'full-time'!E30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0"/>
        <v>0</v>
      </c>
      <c r="AI30" s="183" t="e">
        <f t="shared" si="11"/>
        <v>#DIV/0!</v>
      </c>
      <c r="AJ30" s="120" t="e">
        <f t="shared" si="12"/>
        <v>#DIV/0!</v>
      </c>
      <c r="AK30" s="119" t="e">
        <f t="shared" si="13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2"/>
        <v>#DIV/0!</v>
      </c>
      <c r="AK31" s="136" t="e">
        <f t="shared" si="13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IF(temporary!A37=0,"",temporary!A37)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'full-time'!E37</f>
        <v>1</v>
      </c>
      <c r="F37" s="75">
        <f>'full-time'!F37</f>
        <v>1.1100000000000001</v>
      </c>
      <c r="G37" s="75">
        <f>'full-time'!G37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IF(temporary!A38=0,"",temporary!A38)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'full-time'!E38</f>
        <v>1</v>
      </c>
      <c r="F38" s="75">
        <f>'full-time'!F38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IF(temporary!A39=0,"",temporary!A39)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'full-time'!E39</f>
        <v>1</v>
      </c>
      <c r="F39" s="75">
        <f>'full-time'!F39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IF(temporary!A40=0,"",temporary!A40)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'full-time'!E40</f>
        <v>1</v>
      </c>
      <c r="F40" s="75">
        <f>'full-time'!F40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IF(temporary!A41=0,"",temporary!A41)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'full-time'!E41</f>
        <v>1</v>
      </c>
      <c r="F41" s="75">
        <f>'full-time'!F41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IF(temporary!A42=0,"",temporary!A42)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'full-time'!E42</f>
        <v>1</v>
      </c>
      <c r="F42" s="75">
        <f>'full-time'!F42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temporary!Z42</f>
        <v>0.25</v>
      </c>
      <c r="AA42" s="147">
        <f t="shared" ref="AA42:AA64" si="38">$J42*Z42</f>
        <v>0</v>
      </c>
      <c r="AB42" s="156">
        <f>temporary!AB42</f>
        <v>0</v>
      </c>
      <c r="AC42" s="147">
        <f t="shared" ref="AC42:AC64" si="39">$J42*AB42</f>
        <v>0</v>
      </c>
      <c r="AD42" s="156">
        <f>temporary!AD42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IF(temporary!A43=0,"",temporary!A43)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'full-time'!E43</f>
        <v>1</v>
      </c>
      <c r="F43" s="75">
        <f>'full-time'!F43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temporary!Z43</f>
        <v>0.25</v>
      </c>
      <c r="AA43" s="147">
        <f t="shared" si="38"/>
        <v>0</v>
      </c>
      <c r="AB43" s="156">
        <f>temporary!AB43</f>
        <v>0.25</v>
      </c>
      <c r="AC43" s="147">
        <f t="shared" si="39"/>
        <v>0</v>
      </c>
      <c r="AD43" s="156">
        <f>temporary!AD43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IF(temporary!A44=0,"",temporary!A44)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'full-time'!E44</f>
        <v>1</v>
      </c>
      <c r="F44" s="75">
        <f>'full-time'!F44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temporary!Z44</f>
        <v>0.25</v>
      </c>
      <c r="AA44" s="147">
        <f t="shared" si="38"/>
        <v>0</v>
      </c>
      <c r="AB44" s="156">
        <f>temporary!AB44</f>
        <v>0.25</v>
      </c>
      <c r="AC44" s="147">
        <f t="shared" si="39"/>
        <v>0</v>
      </c>
      <c r="AD44" s="156">
        <f>temporary!AD44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IF(temporary!A45=0,"",temporary!A45)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'full-time'!E45</f>
        <v>1</v>
      </c>
      <c r="F45" s="75">
        <f>'full-time'!F45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temporary!Z45</f>
        <v>0.25</v>
      </c>
      <c r="AA45" s="147">
        <f t="shared" si="38"/>
        <v>0</v>
      </c>
      <c r="AB45" s="156">
        <f>temporary!AB45</f>
        <v>0.25</v>
      </c>
      <c r="AC45" s="147">
        <f t="shared" si="39"/>
        <v>0</v>
      </c>
      <c r="AD45" s="156">
        <f>temporary!AD45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IF(temporary!A46=0,"",temporary!A46)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'full-time'!E46</f>
        <v>1</v>
      </c>
      <c r="F46" s="75">
        <f>'full-time'!F46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temporary!Z46</f>
        <v>0.25</v>
      </c>
      <c r="AA46" s="147">
        <f t="shared" si="38"/>
        <v>0</v>
      </c>
      <c r="AB46" s="156">
        <f>temporary!AB46</f>
        <v>0.25</v>
      </c>
      <c r="AC46" s="147">
        <f t="shared" si="39"/>
        <v>0</v>
      </c>
      <c r="AD46" s="156">
        <f>temporary!AD46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IF(temporary!A47=0,"",temporary!A47)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'full-time'!E47</f>
        <v>1</v>
      </c>
      <c r="F47" s="75">
        <f>'full-time'!F47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temporary!Z47</f>
        <v>0.25</v>
      </c>
      <c r="AA47" s="147">
        <f t="shared" si="38"/>
        <v>0</v>
      </c>
      <c r="AB47" s="156">
        <f>temporary!AB47</f>
        <v>0.25</v>
      </c>
      <c r="AC47" s="147">
        <f t="shared" si="39"/>
        <v>0</v>
      </c>
      <c r="AD47" s="156">
        <f>temporary!AD47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IF(temporary!A48=0,"",temporary!A48)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'full-time'!E48</f>
        <v>1</v>
      </c>
      <c r="F48" s="75">
        <f>'full-time'!F48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temporary!Z48</f>
        <v>0.25</v>
      </c>
      <c r="AA48" s="147">
        <f t="shared" si="38"/>
        <v>0</v>
      </c>
      <c r="AB48" s="156">
        <f>temporary!AB48</f>
        <v>0.25</v>
      </c>
      <c r="AC48" s="147">
        <f t="shared" si="39"/>
        <v>0</v>
      </c>
      <c r="AD48" s="156">
        <f>temporary!AD48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IF(temporary!A49=0,"",temporary!A49)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'full-time'!E49</f>
        <v>1</v>
      </c>
      <c r="F49" s="75">
        <f>'full-time'!F49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temporary!Z49</f>
        <v>0.25</v>
      </c>
      <c r="AA49" s="147">
        <f t="shared" si="38"/>
        <v>0</v>
      </c>
      <c r="AB49" s="156">
        <f>temporary!AB49</f>
        <v>0.25</v>
      </c>
      <c r="AC49" s="147">
        <f t="shared" si="39"/>
        <v>0</v>
      </c>
      <c r="AD49" s="156">
        <f>temporary!AD49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IF(temporary!A50=0,"",temporary!A50)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'full-time'!E50</f>
        <v>1</v>
      </c>
      <c r="F50" s="75">
        <f>'full-time'!F50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temporary!Z55</f>
        <v>0.25</v>
      </c>
      <c r="AA50" s="147">
        <f t="shared" si="38"/>
        <v>0</v>
      </c>
      <c r="AB50" s="156">
        <f>temporary!AB55</f>
        <v>0.25</v>
      </c>
      <c r="AC50" s="147">
        <f t="shared" si="39"/>
        <v>0</v>
      </c>
      <c r="AD50" s="156">
        <f>temporary!AD55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IF(temporary!A51=0,"",temporary!A51)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'full-time'!E51</f>
        <v>1</v>
      </c>
      <c r="F51" s="75">
        <f>'full-time'!F51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temporary!Z56</f>
        <v>0.25</v>
      </c>
      <c r="AA51" s="147">
        <f t="shared" si="38"/>
        <v>0</v>
      </c>
      <c r="AB51" s="156">
        <f>temporary!AB56</f>
        <v>0.25</v>
      </c>
      <c r="AC51" s="147">
        <f t="shared" si="39"/>
        <v>0</v>
      </c>
      <c r="AD51" s="156">
        <f>temporary!AD56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IF(temporary!A52=0,"",temporary!A52)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'full-time'!E52</f>
        <v>1</v>
      </c>
      <c r="F52" s="75">
        <f>'full-time'!F52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temporary!Z57</f>
        <v>0.25</v>
      </c>
      <c r="AA52" s="147">
        <f t="shared" si="38"/>
        <v>0</v>
      </c>
      <c r="AB52" s="156">
        <f>temporary!AB57</f>
        <v>0.25</v>
      </c>
      <c r="AC52" s="147">
        <f t="shared" si="39"/>
        <v>0</v>
      </c>
      <c r="AD52" s="156">
        <f>temporary!AD57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IF(temporary!A53=0,"",temporary!A53)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'full-time'!E53</f>
        <v>1</v>
      </c>
      <c r="F53" s="75">
        <f>'full-time'!F53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IF(temporary!A54=0,"",temporary!A54)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'full-time'!E54</f>
        <v>1</v>
      </c>
      <c r="F54" s="75">
        <f>'full-time'!F54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IF(temporary!A55=0,"",temporary!A55)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'full-time'!E55</f>
        <v>1</v>
      </c>
      <c r="F55" s="75">
        <f>'full-time'!F55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IF(temporary!A56=0,"",temporary!A56)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'full-time'!E56</f>
        <v>1</v>
      </c>
      <c r="F56" s="75">
        <f>'full-time'!F56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IF(temporary!A57=0,"",temporary!A57)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'full-time'!E57</f>
        <v>1</v>
      </c>
      <c r="F57" s="75">
        <f>'full-time'!F57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IF(temporary!A58=0,"",temporary!A58)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'full-time'!E58</f>
        <v>1</v>
      </c>
      <c r="F58" s="75">
        <f>'full-time'!F58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temporary!Z58</f>
        <v>0.25</v>
      </c>
      <c r="AA58" s="147">
        <f t="shared" si="38"/>
        <v>0</v>
      </c>
      <c r="AB58" s="156">
        <f>temporary!AB58</f>
        <v>0.25</v>
      </c>
      <c r="AC58" s="147">
        <f t="shared" si="39"/>
        <v>0</v>
      </c>
      <c r="AD58" s="156">
        <f>temporary!AD58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IF(temporary!A59=0,"",temporary!A59)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'full-time'!E59</f>
        <v>1</v>
      </c>
      <c r="F59" s="75">
        <f>'full-time'!F59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temporary!Z59</f>
        <v>0.25</v>
      </c>
      <c r="AA59" s="147">
        <f t="shared" si="38"/>
        <v>0</v>
      </c>
      <c r="AB59" s="156">
        <f>temporary!AB59</f>
        <v>0.25</v>
      </c>
      <c r="AC59" s="147">
        <f t="shared" si="39"/>
        <v>0</v>
      </c>
      <c r="AD59" s="156">
        <f>temporary!AD59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IF(temporary!A60=0,"",temporary!A60)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'full-time'!E60</f>
        <v>1</v>
      </c>
      <c r="F60" s="75">
        <f>'full-time'!F60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temporary!Z60</f>
        <v>0.25</v>
      </c>
      <c r="AA60" s="147">
        <f t="shared" si="38"/>
        <v>0</v>
      </c>
      <c r="AB60" s="156">
        <f>temporary!AB60</f>
        <v>0.25</v>
      </c>
      <c r="AC60" s="147">
        <f t="shared" si="39"/>
        <v>0</v>
      </c>
      <c r="AD60" s="156">
        <f>temporary!AD60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IF(temporary!A61=0,"",temporary!A61)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'full-time'!E61</f>
        <v>1</v>
      </c>
      <c r="F61" s="75">
        <f>'full-time'!F61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temporary!Z61</f>
        <v>0.25</v>
      </c>
      <c r="AA61" s="147">
        <f t="shared" si="38"/>
        <v>0</v>
      </c>
      <c r="AB61" s="156">
        <f>temporary!AB61</f>
        <v>0.25</v>
      </c>
      <c r="AC61" s="147">
        <f t="shared" si="39"/>
        <v>0</v>
      </c>
      <c r="AD61" s="156">
        <f>temporary!AD61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IF(temporary!A62=0,"",temporary!A62)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'full-time'!E62</f>
        <v>1</v>
      </c>
      <c r="F62" s="75">
        <f>'full-time'!F62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temporary!Z62</f>
        <v>0.25</v>
      </c>
      <c r="AA62" s="147">
        <f t="shared" si="38"/>
        <v>0</v>
      </c>
      <c r="AB62" s="156">
        <f>temporary!AB62</f>
        <v>0.25</v>
      </c>
      <c r="AC62" s="147">
        <f t="shared" si="39"/>
        <v>0</v>
      </c>
      <c r="AD62" s="156">
        <f>temporary!AD62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IF(temporary!A63=0,"",temporary!A63)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'full-time'!E63</f>
        <v>1</v>
      </c>
      <c r="F63" s="75">
        <f>'full-time'!F63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temporary!Z63</f>
        <v>0.25</v>
      </c>
      <c r="AA63" s="147">
        <f t="shared" si="38"/>
        <v>0</v>
      </c>
      <c r="AB63" s="156">
        <f>temporary!AB63</f>
        <v>0.25</v>
      </c>
      <c r="AC63" s="147">
        <f t="shared" si="39"/>
        <v>0</v>
      </c>
      <c r="AD63" s="156">
        <f>temporary!AD63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IF(temporary!A64=0,"",temporary!A64)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'full-time'!E64</f>
        <v>1</v>
      </c>
      <c r="F64" s="75">
        <f>'full-time'!F64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temporary!Z64</f>
        <v>0.25</v>
      </c>
      <c r="AA64" s="149">
        <f t="shared" si="38"/>
        <v>0</v>
      </c>
      <c r="AB64" s="156">
        <f>temporary!AB64</f>
        <v>0.25</v>
      </c>
      <c r="AC64" s="149">
        <f t="shared" si="39"/>
        <v>0</v>
      </c>
      <c r="AD64" s="156">
        <f>temporary!AD64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'full-time'!E70</f>
        <v>1</v>
      </c>
      <c r="F70" s="75">
        <f>'full-time'!F70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7"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temporary!Z70</f>
        <v>0.25</v>
      </c>
      <c r="AA70" s="147">
        <f>$J70*Z70</f>
        <v>0</v>
      </c>
      <c r="AB70" s="156">
        <f>temporary!AB70</f>
        <v>0.25</v>
      </c>
      <c r="AC70" s="147">
        <f>$J70*AB70</f>
        <v>0</v>
      </c>
      <c r="AD70" s="156">
        <f>temporary!AD70</f>
        <v>0.25</v>
      </c>
      <c r="AE70" s="147">
        <f>$J70*AD70</f>
        <v>0</v>
      </c>
      <c r="AF70" s="156">
        <f>temporary!AF70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'full-time'!E71</f>
        <v>1</v>
      </c>
      <c r="F71" s="75">
        <f>'full-time'!F71</f>
        <v>1.18</v>
      </c>
      <c r="G71" s="22"/>
      <c r="H71" s="24">
        <f>(E71*F71)</f>
        <v>1.18</v>
      </c>
      <c r="I71" s="39">
        <f>I125*I$83</f>
        <v>0</v>
      </c>
      <c r="J71" s="51">
        <f t="shared" si="47"/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'full-time'!E72</f>
        <v>1</v>
      </c>
      <c r="F72" s="75">
        <f>'full-time'!F72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'full-time'!E73</f>
        <v>1</v>
      </c>
      <c r="F73" s="75">
        <f>'full-time'!F73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temporary!Z73</f>
        <v>0.09</v>
      </c>
      <c r="AA73" s="147">
        <f>$H$73*$B$73*Z73</f>
        <v>0</v>
      </c>
      <c r="AB73" s="156">
        <f>temporary!AB73</f>
        <v>0.09</v>
      </c>
      <c r="AC73" s="147">
        <f>$H$73*$B$73*AB73</f>
        <v>0</v>
      </c>
      <c r="AD73" s="156">
        <f>temporary!AD73</f>
        <v>0.23</v>
      </c>
      <c r="AE73" s="147">
        <f>$H$73*$B$73*AD73</f>
        <v>0</v>
      </c>
      <c r="AF73" s="156">
        <f>temporary!AF73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7"/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7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7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 t="shared" si="47"/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temporary!AA82</f>
        <v>5.6000000000000005</v>
      </c>
      <c r="AB82" s="162">
        <f>IF($AH$82=0,0,AC82/$AH$82)</f>
        <v>1</v>
      </c>
      <c r="AC82" s="193">
        <f>temporary!AC82</f>
        <v>5.6000000000000005</v>
      </c>
      <c r="AD82" s="162">
        <f>IF($AH$82=0,0,AE82/$AH$82)</f>
        <v>1</v>
      </c>
      <c r="AE82" s="193">
        <f>temporary!AE82</f>
        <v>5.6000000000000005</v>
      </c>
      <c r="AF82" s="162">
        <f>IF($AH$82=0,0,AG82/$AH$82)</f>
        <v>1</v>
      </c>
      <c r="AG82" s="193">
        <f>temporary!AG82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48">(B37/$B$83)</f>
        <v>0</v>
      </c>
      <c r="C91" s="75">
        <f t="shared" si="48"/>
        <v>0</v>
      </c>
      <c r="D91" s="24">
        <f>(B91+C91)</f>
        <v>0</v>
      </c>
      <c r="H91" s="24">
        <f>(E37*F37/G37*F$7/F$9)</f>
        <v>0.67272727272727284</v>
      </c>
      <c r="I91" s="22">
        <f>(D91*H91)</f>
        <v>0</v>
      </c>
      <c r="J91" s="24">
        <f>IF(I$32&lt;=1+I$131,I91,L91+J$33*(I91-L91))</f>
        <v>0</v>
      </c>
      <c r="K91" s="22">
        <f>(B91)</f>
        <v>0</v>
      </c>
      <c r="L91" s="22">
        <f>(K91*H91)</f>
        <v>0</v>
      </c>
      <c r="M91" s="227">
        <f>(J91)</f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Construction cash income -- see Data2</v>
      </c>
      <c r="B92" s="75">
        <f t="shared" si="48"/>
        <v>0</v>
      </c>
      <c r="C92" s="75">
        <f t="shared" si="48"/>
        <v>0</v>
      </c>
      <c r="D92" s="24">
        <f t="shared" ref="D92:D118" si="50">(B92+C92)</f>
        <v>0</v>
      </c>
      <c r="H92" s="24">
        <f t="shared" ref="H92:H118" si="51">(E38*F38/G38*F$7/F$9)</f>
        <v>0.67272727272727284</v>
      </c>
      <c r="I92" s="22">
        <f t="shared" ref="I92:I118" si="52">(D92*H92)</f>
        <v>0</v>
      </c>
      <c r="J92" s="24">
        <f t="shared" ref="J92:J118" si="53">IF(I$32&lt;=1+I$131,I92,L92+J$33*(I92-L92))</f>
        <v>0</v>
      </c>
      <c r="K92" s="22">
        <f t="shared" ref="K92:K118" si="54">(B92)</f>
        <v>0</v>
      </c>
      <c r="L92" s="22">
        <f t="shared" ref="L92:L118" si="55">(K92*H92)</f>
        <v>0</v>
      </c>
      <c r="M92" s="227">
        <f t="shared" ref="M92:M118" si="56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Domestic work cash income -- see Data2</v>
      </c>
      <c r="B93" s="75">
        <f t="shared" si="48"/>
        <v>0</v>
      </c>
      <c r="C93" s="75">
        <f t="shared" si="48"/>
        <v>0</v>
      </c>
      <c r="D93" s="24">
        <f t="shared" si="50"/>
        <v>0</v>
      </c>
      <c r="H93" s="24">
        <f t="shared" si="51"/>
        <v>0.67272727272727284</v>
      </c>
      <c r="I93" s="22">
        <f t="shared" si="52"/>
        <v>0</v>
      </c>
      <c r="J93" s="24">
        <f t="shared" si="53"/>
        <v>0</v>
      </c>
      <c r="K93" s="22">
        <f t="shared" si="54"/>
        <v>0</v>
      </c>
      <c r="L93" s="22">
        <f t="shared" si="55"/>
        <v>0</v>
      </c>
      <c r="M93" s="227">
        <f t="shared" si="56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Formal Employment</v>
      </c>
      <c r="B94" s="75">
        <f t="shared" si="48"/>
        <v>0</v>
      </c>
      <c r="C94" s="75">
        <f t="shared" si="48"/>
        <v>0</v>
      </c>
      <c r="D94" s="24">
        <f t="shared" si="50"/>
        <v>0</v>
      </c>
      <c r="H94" s="24">
        <f t="shared" si="51"/>
        <v>0.7151515151515152</v>
      </c>
      <c r="I94" s="22">
        <f t="shared" si="52"/>
        <v>0</v>
      </c>
      <c r="J94" s="24">
        <f t="shared" si="53"/>
        <v>0</v>
      </c>
      <c r="K94" s="22">
        <f t="shared" si="54"/>
        <v>0</v>
      </c>
      <c r="L94" s="22">
        <f t="shared" si="55"/>
        <v>0</v>
      </c>
      <c r="M94" s="227">
        <f t="shared" si="56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Self-employment -- see Data2</v>
      </c>
      <c r="B95" s="75">
        <f t="shared" si="48"/>
        <v>0</v>
      </c>
      <c r="C95" s="75">
        <f t="shared" si="48"/>
        <v>0</v>
      </c>
      <c r="D95" s="24">
        <f t="shared" si="50"/>
        <v>0</v>
      </c>
      <c r="H95" s="24">
        <f t="shared" si="51"/>
        <v>0.7151515151515152</v>
      </c>
      <c r="I95" s="22">
        <f t="shared" si="52"/>
        <v>0</v>
      </c>
      <c r="J95" s="24">
        <f t="shared" si="53"/>
        <v>0</v>
      </c>
      <c r="K95" s="22">
        <f t="shared" si="54"/>
        <v>0</v>
      </c>
      <c r="L95" s="22">
        <f t="shared" si="55"/>
        <v>0</v>
      </c>
      <c r="M95" s="227">
        <f t="shared" si="56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Small business -- see Data2</v>
      </c>
      <c r="B96" s="75">
        <f t="shared" si="48"/>
        <v>0</v>
      </c>
      <c r="C96" s="75">
        <f t="shared" si="48"/>
        <v>0</v>
      </c>
      <c r="D96" s="24">
        <f t="shared" si="50"/>
        <v>0</v>
      </c>
      <c r="H96" s="24">
        <f t="shared" si="51"/>
        <v>0.7151515151515152</v>
      </c>
      <c r="I96" s="22">
        <f t="shared" si="52"/>
        <v>0</v>
      </c>
      <c r="J96" s="24">
        <f t="shared" si="53"/>
        <v>0</v>
      </c>
      <c r="K96" s="22">
        <f t="shared" si="54"/>
        <v>0</v>
      </c>
      <c r="L96" s="22">
        <f t="shared" si="55"/>
        <v>0</v>
      </c>
      <c r="M96" s="227">
        <f t="shared" si="56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Social development -- see Data2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0.7151515151515152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7">
        <f t="shared" si="56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Public works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0.60606060606060608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7">
        <f t="shared" si="56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/>
      </c>
      <c r="B99" s="75">
        <f t="shared" si="48"/>
        <v>0</v>
      </c>
      <c r="C99" s="75">
        <f t="shared" si="48"/>
        <v>0</v>
      </c>
      <c r="D99" s="24">
        <f t="shared" si="50"/>
        <v>0</v>
      </c>
      <c r="H99" s="24">
        <f t="shared" si="51"/>
        <v>0.60606060606060608</v>
      </c>
      <c r="I99" s="22">
        <f t="shared" si="52"/>
        <v>0</v>
      </c>
      <c r="J99" s="24">
        <f t="shared" si="53"/>
        <v>0</v>
      </c>
      <c r="K99" s="22">
        <f t="shared" si="54"/>
        <v>0</v>
      </c>
      <c r="L99" s="22">
        <f t="shared" si="55"/>
        <v>0</v>
      </c>
      <c r="M99" s="227">
        <f t="shared" si="56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/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0.60606060606060608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7">
        <f t="shared" si="56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/>
      </c>
      <c r="B101" s="75">
        <f t="shared" si="48"/>
        <v>0</v>
      </c>
      <c r="C101" s="75">
        <f t="shared" si="48"/>
        <v>0</v>
      </c>
      <c r="D101" s="24">
        <f t="shared" si="50"/>
        <v>0</v>
      </c>
      <c r="H101" s="24">
        <f t="shared" si="51"/>
        <v>0.60606060606060608</v>
      </c>
      <c r="I101" s="22">
        <f t="shared" si="52"/>
        <v>0</v>
      </c>
      <c r="J101" s="24">
        <f t="shared" si="53"/>
        <v>0</v>
      </c>
      <c r="K101" s="22">
        <f t="shared" si="54"/>
        <v>0</v>
      </c>
      <c r="L101" s="22">
        <f t="shared" si="55"/>
        <v>0</v>
      </c>
      <c r="M101" s="227">
        <f t="shared" si="56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/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0.60606060606060608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7">
        <f t="shared" si="56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/>
      </c>
      <c r="B103" s="75">
        <f t="shared" si="48"/>
        <v>0</v>
      </c>
      <c r="C103" s="75">
        <f t="shared" si="48"/>
        <v>0</v>
      </c>
      <c r="D103" s="24">
        <f t="shared" si="50"/>
        <v>0</v>
      </c>
      <c r="H103" s="24">
        <f t="shared" si="51"/>
        <v>0.60606060606060608</v>
      </c>
      <c r="I103" s="22">
        <f t="shared" si="52"/>
        <v>0</v>
      </c>
      <c r="J103" s="24">
        <f t="shared" si="53"/>
        <v>0</v>
      </c>
      <c r="K103" s="22">
        <f t="shared" si="54"/>
        <v>0</v>
      </c>
      <c r="L103" s="22">
        <f t="shared" si="55"/>
        <v>0</v>
      </c>
      <c r="M103" s="227">
        <f t="shared" si="56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7">
        <f t="shared" si="56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7">
        <f t="shared" si="56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7">
        <f t="shared" si="56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7">
        <f t="shared" si="56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7">
        <f t="shared" si="56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7">
        <f t="shared" si="56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7">
        <f t="shared" si="56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7">
        <f t="shared" si="56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7">
        <f t="shared" si="56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7">
        <f t="shared" si="56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7">
        <f t="shared" si="56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7">
        <f t="shared" si="56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7">
        <f t="shared" si="56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7">
        <f t="shared" si="56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7">
        <f t="shared" si="56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>(J119)</f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 t="shared" ref="K124:K130" si="58">(B124)</f>
        <v>0.85926647798309541</v>
      </c>
      <c r="L124" s="29">
        <f>IF(SUMPRODUCT($B$124:$B124,$H$124:$H124)&lt;L$119,($B124*$H124),L$119)</f>
        <v>0</v>
      </c>
      <c r="M124" s="57">
        <f t="shared" si="57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si="58"/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58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>(J126)</f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 t="shared" si="58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57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 t="shared" si="58"/>
        <v>0</v>
      </c>
      <c r="L128" s="22">
        <f>IF(L124=L119,0,(L119-L124)/(B119-B124)*K128)</f>
        <v>0</v>
      </c>
      <c r="M128" s="57">
        <f t="shared" si="57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 t="shared" si="58"/>
        <v>0</v>
      </c>
      <c r="L129" s="60">
        <f>IF(SUM(L124:L128)&gt;L130,0,L130-SUM(L124:L128))</f>
        <v>0</v>
      </c>
      <c r="M129" s="57">
        <f t="shared" si="5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 t="shared" si="58"/>
        <v>0</v>
      </c>
      <c r="L130" s="22">
        <f>(L119)</f>
        <v>0</v>
      </c>
      <c r="M130" s="57">
        <f t="shared" si="57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9">
    <cfRule type="cellIs" dxfId="66" priority="132" operator="equal">
      <formula>16</formula>
    </cfRule>
    <cfRule type="cellIs" dxfId="65" priority="133" operator="equal">
      <formula>15</formula>
    </cfRule>
    <cfRule type="cellIs" dxfId="64" priority="134" operator="equal">
      <formula>14</formula>
    </cfRule>
    <cfRule type="cellIs" dxfId="63" priority="135" operator="equal">
      <formula>13</formula>
    </cfRule>
    <cfRule type="cellIs" dxfId="62" priority="136" operator="equal">
      <formula>12</formula>
    </cfRule>
    <cfRule type="cellIs" dxfId="61" priority="137" operator="equal">
      <formula>11</formula>
    </cfRule>
    <cfRule type="cellIs" dxfId="60" priority="138" operator="equal">
      <formula>10</formula>
    </cfRule>
    <cfRule type="cellIs" dxfId="59" priority="139" operator="equal">
      <formula>9</formula>
    </cfRule>
    <cfRule type="cellIs" dxfId="58" priority="140" operator="equal">
      <formula>8</formula>
    </cfRule>
    <cfRule type="cellIs" dxfId="57" priority="141" operator="equal">
      <formula>7</formula>
    </cfRule>
    <cfRule type="cellIs" dxfId="56" priority="142" operator="equal">
      <formula>6</formula>
    </cfRule>
    <cfRule type="cellIs" dxfId="55" priority="143" operator="equal">
      <formula>5</formula>
    </cfRule>
    <cfRule type="cellIs" dxfId="54" priority="144" operator="equal">
      <formula>4</formula>
    </cfRule>
    <cfRule type="cellIs" dxfId="53" priority="145" operator="equal">
      <formula>3</formula>
    </cfRule>
    <cfRule type="cellIs" dxfId="52" priority="146" operator="equal">
      <formula>2</formula>
    </cfRule>
    <cfRule type="cellIs" dxfId="51" priority="147" operator="equal">
      <formula>1</formula>
    </cfRule>
  </conditionalFormatting>
  <conditionalFormatting sqref="N6:N28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R31:T31">
    <cfRule type="cellIs" dxfId="34" priority="35" operator="greaterThan">
      <formula>0</formula>
    </cfRule>
  </conditionalFormatting>
  <conditionalFormatting sqref="R32:T32">
    <cfRule type="cellIs" dxfId="33" priority="34" operator="greaterThan">
      <formula>0</formula>
    </cfRule>
  </conditionalFormatting>
  <conditionalFormatting sqref="R30:T30">
    <cfRule type="cellIs" dxfId="32" priority="33" operator="greaterThan">
      <formula>0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casuals!A3</f>
        <v>Sources of Food : Very Poor HHs</v>
      </c>
      <c r="C3" s="267"/>
      <c r="D3" s="267"/>
      <c r="E3" s="267"/>
      <c r="F3" s="245"/>
      <c r="G3" s="264" t="str">
        <f>temporary!A3</f>
        <v>Sources of Food : Poor HHs</v>
      </c>
      <c r="H3" s="264"/>
      <c r="I3" s="264"/>
      <c r="J3" s="264"/>
      <c r="K3" s="246"/>
      <c r="L3" s="264" t="str">
        <f>'full-time'!A3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6" workbookViewId="0">
      <selection activeCell="D104" sqref="D10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temporary!A1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casuals!A34</f>
        <v>Income : Very Poor HHs</v>
      </c>
      <c r="D3" s="270"/>
      <c r="E3" s="270"/>
      <c r="F3" s="90"/>
      <c r="G3" s="268" t="str">
        <f>temporary!A34</f>
        <v>Income : Poor HHs</v>
      </c>
      <c r="H3" s="268"/>
      <c r="I3" s="268"/>
      <c r="J3" s="268"/>
      <c r="K3" s="89"/>
      <c r="L3" s="268" t="str">
        <f>'full-time'!A34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139</v>
      </c>
      <c r="E71" s="170"/>
      <c r="F71" s="256" t="s">
        <v>140</v>
      </c>
      <c r="G71" s="256" t="s">
        <v>141</v>
      </c>
      <c r="H71" s="256" t="s">
        <v>142</v>
      </c>
      <c r="I71" s="170"/>
    </row>
    <row r="72" spans="1:9">
      <c r="A72" t="str">
        <f>casuals!Q7</f>
        <v>Own crops Consumed</v>
      </c>
      <c r="B72" s="109">
        <f>casuals!R7</f>
        <v>0</v>
      </c>
      <c r="C72" s="109">
        <f>temporary!R7</f>
        <v>0</v>
      </c>
      <c r="D72" s="109">
        <f>'full-time'!R7</f>
        <v>0</v>
      </c>
      <c r="E72" s="109">
        <f>Rich!R7</f>
        <v>0</v>
      </c>
      <c r="F72" s="109">
        <f>casuals!T7</f>
        <v>0</v>
      </c>
      <c r="G72" s="109">
        <f>temporary!T7</f>
        <v>0</v>
      </c>
      <c r="H72" s="109">
        <f>'full-time'!T7</f>
        <v>0</v>
      </c>
      <c r="I72" s="109">
        <f>Rich!T7</f>
        <v>0</v>
      </c>
    </row>
    <row r="73" spans="1:9">
      <c r="A73" t="str">
        <f>casuals!Q8</f>
        <v>Own crops sold</v>
      </c>
      <c r="B73" s="109">
        <f>casuals!R8</f>
        <v>0</v>
      </c>
      <c r="C73" s="109">
        <f>temporary!R8</f>
        <v>0</v>
      </c>
      <c r="D73" s="109">
        <f>'full-time'!R8</f>
        <v>0</v>
      </c>
      <c r="E73" s="109">
        <f>Rich!R8</f>
        <v>0</v>
      </c>
      <c r="F73" s="109">
        <f>casuals!T8</f>
        <v>0</v>
      </c>
      <c r="G73" s="109">
        <f>temporary!T8</f>
        <v>0</v>
      </c>
      <c r="H73" s="109">
        <f>'full-time'!T8</f>
        <v>0</v>
      </c>
      <c r="I73" s="109">
        <f>Rich!T8</f>
        <v>0</v>
      </c>
    </row>
    <row r="74" spans="1:9">
      <c r="A74" t="str">
        <f>casuals!Q9</f>
        <v>Animal products consumed</v>
      </c>
      <c r="B74" s="109">
        <f>casuals!R9</f>
        <v>0</v>
      </c>
      <c r="C74" s="109">
        <f>temporary!R9</f>
        <v>0</v>
      </c>
      <c r="D74" s="109">
        <f>'full-time'!R9</f>
        <v>0</v>
      </c>
      <c r="E74" s="109">
        <f>Rich!R9</f>
        <v>0</v>
      </c>
      <c r="F74" s="109">
        <f>casuals!T9</f>
        <v>0</v>
      </c>
      <c r="G74" s="109">
        <f>temporary!T9</f>
        <v>0</v>
      </c>
      <c r="H74" s="109">
        <f>'full-time'!T9</f>
        <v>0</v>
      </c>
      <c r="I74" s="109">
        <f>Rich!T9</f>
        <v>0</v>
      </c>
    </row>
    <row r="75" spans="1:9">
      <c r="A75" t="str">
        <f>casuals!Q10</f>
        <v>Animal products sold</v>
      </c>
      <c r="B75" s="109">
        <f>casuals!R10</f>
        <v>0</v>
      </c>
      <c r="C75" s="109">
        <f>temporary!R10</f>
        <v>0</v>
      </c>
      <c r="D75" s="109">
        <f>'full-time'!R10</f>
        <v>0</v>
      </c>
      <c r="E75" s="109">
        <f>Rich!R10</f>
        <v>0</v>
      </c>
      <c r="F75" s="109">
        <f>casuals!T10</f>
        <v>0</v>
      </c>
      <c r="G75" s="109">
        <f>temporary!T10</f>
        <v>0</v>
      </c>
      <c r="H75" s="109">
        <f>'full-time'!T10</f>
        <v>0</v>
      </c>
      <c r="I75" s="109">
        <f>Rich!T10</f>
        <v>0</v>
      </c>
    </row>
    <row r="76" spans="1:9">
      <c r="A76" t="str">
        <f>casuals!Q11</f>
        <v>Animals sold</v>
      </c>
      <c r="B76" s="109">
        <f>casuals!R11</f>
        <v>0</v>
      </c>
      <c r="C76" s="109">
        <f>temporary!R11</f>
        <v>0</v>
      </c>
      <c r="D76" s="109">
        <f>'full-time'!R11</f>
        <v>0</v>
      </c>
      <c r="E76" s="109">
        <f>Rich!R11</f>
        <v>0</v>
      </c>
      <c r="F76" s="109">
        <f>casuals!T11</f>
        <v>0</v>
      </c>
      <c r="G76" s="109">
        <f>temporary!T11</f>
        <v>0</v>
      </c>
      <c r="H76" s="109">
        <f>'full-time'!T11</f>
        <v>0</v>
      </c>
      <c r="I76" s="109">
        <f>Rich!T11</f>
        <v>0</v>
      </c>
    </row>
    <row r="77" spans="1:9">
      <c r="A77" t="str">
        <f>casuals!Q12</f>
        <v>Wild foods consumed and sold</v>
      </c>
      <c r="B77" s="109">
        <f>casuals!R12</f>
        <v>0</v>
      </c>
      <c r="C77" s="109">
        <f>temporary!R12</f>
        <v>0</v>
      </c>
      <c r="D77" s="109">
        <f>'full-time'!R12</f>
        <v>0</v>
      </c>
      <c r="E77" s="109">
        <f>Rich!R12</f>
        <v>0</v>
      </c>
      <c r="F77" s="109">
        <f>casuals!T12</f>
        <v>0</v>
      </c>
      <c r="G77" s="109">
        <f>temporary!T12</f>
        <v>0</v>
      </c>
      <c r="H77" s="109">
        <f>'full-time'!T12</f>
        <v>0</v>
      </c>
      <c r="I77" s="109">
        <f>Rich!T12</f>
        <v>0</v>
      </c>
    </row>
    <row r="78" spans="1:9">
      <c r="A78" t="str">
        <f>casuals!Q13</f>
        <v>Labour - casual</v>
      </c>
      <c r="B78" s="109">
        <f>casuals!R13</f>
        <v>16142.547124621035</v>
      </c>
      <c r="C78" s="109">
        <f>temporary!R13</f>
        <v>22019.46691505221</v>
      </c>
      <c r="D78" s="109">
        <f>'full-time'!R13</f>
        <v>0</v>
      </c>
      <c r="E78" s="109">
        <f>Rich!R13</f>
        <v>0</v>
      </c>
      <c r="F78" s="109">
        <f>casuals!T13</f>
        <v>11799.3</v>
      </c>
      <c r="G78" s="109">
        <f>temporary!T13</f>
        <v>16095</v>
      </c>
      <c r="H78" s="109">
        <f>'full-time'!T13</f>
        <v>0</v>
      </c>
      <c r="I78" s="109">
        <f>Rich!T13</f>
        <v>0</v>
      </c>
    </row>
    <row r="79" spans="1:9">
      <c r="A79" t="str">
        <f>casuals!Q14</f>
        <v>Labour - formal emp</v>
      </c>
      <c r="B79" s="109">
        <f>casuals!R14</f>
        <v>6378.0524857392611</v>
      </c>
      <c r="C79" s="109">
        <f>temporary!R14</f>
        <v>9111.5035510560865</v>
      </c>
      <c r="D79" s="109">
        <f>'full-time'!R14</f>
        <v>45557.517755280438</v>
      </c>
      <c r="E79" s="109">
        <f>Rich!R14</f>
        <v>0</v>
      </c>
      <c r="F79" s="109">
        <f>casuals!T14</f>
        <v>4955.9999999999991</v>
      </c>
      <c r="G79" s="109">
        <f>temporary!T14</f>
        <v>7080</v>
      </c>
      <c r="H79" s="109">
        <f>'full-time'!T14</f>
        <v>35400</v>
      </c>
      <c r="I79" s="109">
        <f>Rich!T14</f>
        <v>0</v>
      </c>
    </row>
    <row r="80" spans="1:9">
      <c r="A80" t="str">
        <f>casuals!Q15</f>
        <v>Labour - public works</v>
      </c>
      <c r="B80" s="109">
        <f>casuals!R15</f>
        <v>1952.8989277763546</v>
      </c>
      <c r="C80" s="109">
        <f>temporary!R15</f>
        <v>1952.8989277763546</v>
      </c>
      <c r="D80" s="109">
        <f>'full-time'!R15</f>
        <v>0</v>
      </c>
      <c r="E80" s="109">
        <f>Rich!R15</f>
        <v>0</v>
      </c>
      <c r="F80" s="109">
        <f>casuals!T15</f>
        <v>1286</v>
      </c>
      <c r="G80" s="109">
        <f>temporary!T15</f>
        <v>1286</v>
      </c>
      <c r="H80" s="109">
        <f>'full-time'!T15</f>
        <v>0</v>
      </c>
      <c r="I80" s="109">
        <f>Rich!T15</f>
        <v>0</v>
      </c>
    </row>
    <row r="81" spans="1:9">
      <c r="A81" t="str">
        <f>casuals!Q16</f>
        <v>Self - employment</v>
      </c>
      <c r="B81" s="109">
        <f>casuals!R16</f>
        <v>6833.6276632920653</v>
      </c>
      <c r="C81" s="109">
        <f>temporary!R16</f>
        <v>0</v>
      </c>
      <c r="D81" s="109">
        <f>'full-time'!R16</f>
        <v>0</v>
      </c>
      <c r="E81" s="109">
        <f>Rich!R16</f>
        <v>0</v>
      </c>
      <c r="F81" s="109">
        <f>casuals!T16</f>
        <v>6372.0000000000009</v>
      </c>
      <c r="G81" s="109">
        <f>temporary!T16</f>
        <v>0</v>
      </c>
      <c r="H81" s="109">
        <f>'full-time'!T16</f>
        <v>0</v>
      </c>
      <c r="I81" s="109">
        <f>Rich!T16</f>
        <v>0</v>
      </c>
    </row>
    <row r="82" spans="1:9">
      <c r="A82" t="str">
        <f>casuals!Q17</f>
        <v>Small business/petty trading</v>
      </c>
      <c r="B82" s="109">
        <f>casuals!R17</f>
        <v>0</v>
      </c>
      <c r="C82" s="109">
        <f>temporary!R17</f>
        <v>7289.2028408448696</v>
      </c>
      <c r="D82" s="109">
        <f>'full-time'!R17</f>
        <v>41912.916334858004</v>
      </c>
      <c r="E82" s="109">
        <f>Rich!R17</f>
        <v>0</v>
      </c>
      <c r="F82" s="109">
        <f>casuals!T17</f>
        <v>0</v>
      </c>
      <c r="G82" s="109">
        <f>temporary!T17</f>
        <v>5664.0000000000009</v>
      </c>
      <c r="H82" s="109">
        <f>'full-time'!T17</f>
        <v>32568</v>
      </c>
      <c r="I82" s="109">
        <f>Rich!T17</f>
        <v>0</v>
      </c>
    </row>
    <row r="83" spans="1:9">
      <c r="A83" t="str">
        <f>casuals!Q18</f>
        <v>Food transfer - official</v>
      </c>
      <c r="B83" s="109">
        <f>casuals!R18</f>
        <v>1476.5017721245642</v>
      </c>
      <c r="C83" s="109">
        <f>temporary!R18</f>
        <v>1476.5017721245642</v>
      </c>
      <c r="D83" s="109">
        <f>'full-time'!R18</f>
        <v>0</v>
      </c>
      <c r="E83" s="109">
        <f>Rich!R18</f>
        <v>0</v>
      </c>
      <c r="F83" s="109">
        <f>casuals!T18</f>
        <v>1604.2761177806851</v>
      </c>
      <c r="G83" s="109">
        <f>temporary!T18</f>
        <v>1604.2761177806851</v>
      </c>
      <c r="H83" s="109">
        <f>'full-time'!T18</f>
        <v>0</v>
      </c>
      <c r="I83" s="109">
        <f>Rich!T18</f>
        <v>0</v>
      </c>
    </row>
    <row r="84" spans="1:9">
      <c r="A84" t="str">
        <f>casuals!Q19</f>
        <v>Food transfer - gifts</v>
      </c>
      <c r="B84" s="109">
        <f>casuals!R19</f>
        <v>0</v>
      </c>
      <c r="C84" s="109">
        <f>temporary!R19</f>
        <v>0</v>
      </c>
      <c r="D84" s="109">
        <f>'full-time'!R19</f>
        <v>0</v>
      </c>
      <c r="E84" s="109">
        <f>Rich!R19</f>
        <v>0</v>
      </c>
      <c r="F84" s="109">
        <f>casuals!T19</f>
        <v>0</v>
      </c>
      <c r="G84" s="109">
        <f>temporary!T19</f>
        <v>0</v>
      </c>
      <c r="H84" s="109">
        <f>'full-time'!T19</f>
        <v>0</v>
      </c>
      <c r="I84" s="109">
        <f>Rich!T19</f>
        <v>0</v>
      </c>
    </row>
    <row r="85" spans="1:9">
      <c r="A85" t="str">
        <f>casuals!Q20</f>
        <v>Cash transfer - official</v>
      </c>
      <c r="B85" s="109">
        <f>casuals!R20</f>
        <v>8200.353195950478</v>
      </c>
      <c r="C85" s="109">
        <f>temporary!R20</f>
        <v>8200.353195950478</v>
      </c>
      <c r="D85" s="109">
        <f>'full-time'!R20</f>
        <v>0</v>
      </c>
      <c r="E85" s="109">
        <f>Rich!R20</f>
        <v>0</v>
      </c>
      <c r="F85" s="109">
        <f>casuals!T20</f>
        <v>6372</v>
      </c>
      <c r="G85" s="109">
        <f>temporary!T20</f>
        <v>6372</v>
      </c>
      <c r="H85" s="109">
        <f>'full-time'!T20</f>
        <v>0</v>
      </c>
      <c r="I85" s="109">
        <f>Rich!T20</f>
        <v>0</v>
      </c>
    </row>
    <row r="86" spans="1:9">
      <c r="A86" t="str">
        <f>casuals!Q21</f>
        <v>Cash transfer - gifts</v>
      </c>
      <c r="B86" s="109">
        <f>casuals!R21</f>
        <v>0</v>
      </c>
      <c r="C86" s="109">
        <f>temporary!R21</f>
        <v>0</v>
      </c>
      <c r="D86" s="109">
        <f>'full-time'!R21</f>
        <v>0</v>
      </c>
      <c r="E86" s="109">
        <f>Rich!R21</f>
        <v>0</v>
      </c>
      <c r="F86" s="109">
        <f>casuals!T21</f>
        <v>0</v>
      </c>
      <c r="G86" s="109">
        <f>temporary!T21</f>
        <v>0</v>
      </c>
      <c r="H86" s="109">
        <f>'full-time'!T21</f>
        <v>0</v>
      </c>
      <c r="I86" s="109">
        <f>Rich!T21</f>
        <v>0</v>
      </c>
    </row>
    <row r="87" spans="1:9">
      <c r="A87" t="str">
        <f>casuals!Q22</f>
        <v>Other</v>
      </c>
      <c r="B87" s="109">
        <f>casuals!R22</f>
        <v>0</v>
      </c>
      <c r="C87" s="109">
        <f>temporary!R22</f>
        <v>0</v>
      </c>
      <c r="D87" s="109">
        <f>'full-time'!R22</f>
        <v>0</v>
      </c>
      <c r="E87" s="109">
        <f>Rich!R22</f>
        <v>0</v>
      </c>
      <c r="F87" s="109">
        <f>casuals!T22</f>
        <v>0</v>
      </c>
      <c r="G87" s="109">
        <f>temporary!T22</f>
        <v>0</v>
      </c>
      <c r="H87" s="109">
        <f>'full-time'!T22</f>
        <v>0</v>
      </c>
      <c r="I87" s="109">
        <f>Rich!T22</f>
        <v>0</v>
      </c>
    </row>
    <row r="88" spans="1:9">
      <c r="A88" t="str">
        <f>casuals!Q23</f>
        <v>TOTAL</v>
      </c>
      <c r="B88" s="109">
        <f>casuals!R23</f>
        <v>40983.981169503757</v>
      </c>
      <c r="C88" s="109">
        <f>temporary!R23</f>
        <v>50049.92720280456</v>
      </c>
      <c r="D88" s="109">
        <f>'full-time'!R23</f>
        <v>87470.434090138442</v>
      </c>
      <c r="E88" s="109">
        <f>Rich!R23</f>
        <v>0</v>
      </c>
      <c r="F88" s="109">
        <f>casuals!T23</f>
        <v>32389.576117780685</v>
      </c>
      <c r="G88" s="109">
        <f>temporary!T23</f>
        <v>38101.276117780682</v>
      </c>
      <c r="H88" s="109">
        <f>'full-time'!T23</f>
        <v>67968</v>
      </c>
      <c r="I88" s="109">
        <f>Rich!T23</f>
        <v>0</v>
      </c>
    </row>
    <row r="89" spans="1:9">
      <c r="A89" t="str">
        <f>casuals!Q24</f>
        <v>Food Poverty line</v>
      </c>
      <c r="B89" s="109">
        <f>casuals!R24</f>
        <v>27031.576933582299</v>
      </c>
      <c r="C89" s="109">
        <f>temporary!R24</f>
        <v>27031.576933582299</v>
      </c>
      <c r="D89" s="109">
        <f>'full-time'!R24</f>
        <v>27031.576933582302</v>
      </c>
      <c r="E89" s="109">
        <f>Rich!R24</f>
        <v>27031.576933582299</v>
      </c>
      <c r="F89" s="109">
        <f>casuals!T24</f>
        <v>27031.576933582299</v>
      </c>
      <c r="G89" s="109">
        <f>temporary!T24</f>
        <v>27031.576933582299</v>
      </c>
      <c r="H89" s="109">
        <f>'full-time'!T24</f>
        <v>27031.576933582302</v>
      </c>
      <c r="I89" s="109">
        <f>Rich!T24</f>
        <v>27031.576933582299</v>
      </c>
    </row>
    <row r="90" spans="1:9">
      <c r="A90" s="108" t="str">
        <f>casuals!Q25</f>
        <v>Lower Bound Poverty line</v>
      </c>
      <c r="B90" s="109">
        <f>casuals!R25</f>
        <v>36222.990266915629</v>
      </c>
      <c r="C90" s="109">
        <f>temporary!R25</f>
        <v>36222.990266915636</v>
      </c>
      <c r="D90" s="109">
        <f>'full-time'!R25</f>
        <v>36222.990266915636</v>
      </c>
      <c r="E90" s="109">
        <f>Rich!R25</f>
        <v>36222.990266915629</v>
      </c>
      <c r="F90" s="109">
        <f>casuals!T25</f>
        <v>36222.990266915629</v>
      </c>
      <c r="G90" s="109">
        <f>temporary!T25</f>
        <v>36222.990266915636</v>
      </c>
      <c r="H90" s="109">
        <f>'full-time'!T25</f>
        <v>36222.990266915636</v>
      </c>
      <c r="I90" s="109">
        <f>Rich!T25</f>
        <v>36222.990266915629</v>
      </c>
    </row>
    <row r="91" spans="1:9">
      <c r="A91" s="108" t="str">
        <f>casuals!Q26</f>
        <v>Upper Bound Poverty line</v>
      </c>
      <c r="B91" s="109">
        <f>casuals!R26</f>
        <v>52591.950266915635</v>
      </c>
      <c r="C91" s="109">
        <f>temporary!R26</f>
        <v>52591.950266915635</v>
      </c>
      <c r="D91" s="109">
        <f>'full-time'!R26</f>
        <v>52591.950266915635</v>
      </c>
      <c r="E91" s="109">
        <f>Rich!R26</f>
        <v>52591.950266915628</v>
      </c>
      <c r="F91" s="109">
        <f>casuals!T26</f>
        <v>52591.950266915635</v>
      </c>
      <c r="G91" s="109">
        <f>temporary!T26</f>
        <v>52591.950266915635</v>
      </c>
      <c r="H91" s="109">
        <f>'full-time'!T26</f>
        <v>52591.950266915635</v>
      </c>
      <c r="I91" s="109">
        <f>Rich!T26</f>
        <v>52591.950266915628</v>
      </c>
    </row>
    <row r="92" spans="1:9">
      <c r="A92" s="108" t="str">
        <f>casuals!Q27</f>
        <v>Resilience line</v>
      </c>
      <c r="B92" s="109">
        <f>casuals!R27</f>
        <v>0</v>
      </c>
      <c r="C92" s="109">
        <f>temporary!R27</f>
        <v>0</v>
      </c>
      <c r="D92" s="109">
        <f>'full-time'!R27</f>
        <v>0</v>
      </c>
      <c r="E92" s="109">
        <f>Rich!R27</f>
        <v>0</v>
      </c>
      <c r="F92" s="109">
        <f>casuals!T27</f>
        <v>0</v>
      </c>
      <c r="G92" s="109">
        <f>temporary!T27</f>
        <v>0</v>
      </c>
      <c r="H92" s="109">
        <f>'full-time'!T27</f>
        <v>0</v>
      </c>
      <c r="I92" s="109">
        <f>Rich!T27</f>
        <v>0</v>
      </c>
    </row>
    <row r="93" spans="1:9">
      <c r="A93" t="str">
        <f>casuals!Q24</f>
        <v>Food Poverty line</v>
      </c>
      <c r="F93" s="109">
        <f>casuals!T24</f>
        <v>27031.576933582299</v>
      </c>
      <c r="G93" s="109">
        <f>temporary!T24</f>
        <v>27031.576933582299</v>
      </c>
      <c r="H93" s="109">
        <f>'full-time'!T24</f>
        <v>27031.576933582302</v>
      </c>
      <c r="I93" s="109">
        <f>Rich!T24</f>
        <v>27031.576933582299</v>
      </c>
    </row>
    <row r="94" spans="1:9">
      <c r="A94" t="str">
        <f>casuals!Q25</f>
        <v>Lower Bound Poverty line</v>
      </c>
      <c r="F94" s="109">
        <f>casuals!T25</f>
        <v>36222.990266915629</v>
      </c>
      <c r="G94" s="109">
        <f>temporary!T25</f>
        <v>36222.990266915636</v>
      </c>
      <c r="H94" s="109">
        <f>'full-time'!T25</f>
        <v>36222.990266915636</v>
      </c>
      <c r="I94" s="109">
        <f>Rich!T25</f>
        <v>36222.990266915629</v>
      </c>
    </row>
    <row r="95" spans="1:9">
      <c r="A95" t="str">
        <f>casuals!Q26</f>
        <v>Upper Bound Poverty line</v>
      </c>
      <c r="F95" s="109">
        <f>casuals!T26</f>
        <v>52591.950266915635</v>
      </c>
      <c r="G95" s="109">
        <f>temporary!T26</f>
        <v>52591.950266915635</v>
      </c>
      <c r="H95" s="109">
        <f>'full-time'!T26</f>
        <v>52591.950266915635</v>
      </c>
      <c r="I95" s="109">
        <f>Rich!T26</f>
        <v>52591.950266915628</v>
      </c>
    </row>
    <row r="96" spans="1:9">
      <c r="A96" t="str">
        <f>casuals!Q27</f>
        <v>Resilience line</v>
      </c>
      <c r="F96" s="109">
        <f>casuals!T27</f>
        <v>0</v>
      </c>
      <c r="G96" s="109">
        <f>temporary!T27</f>
        <v>0</v>
      </c>
      <c r="H96" s="109">
        <f>'full-time'!T27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3833.4141491349437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20202.37414913495</v>
      </c>
      <c r="G100" s="239">
        <f t="shared" si="0"/>
        <v>14490.674149134953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temporary!A1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casuals!A67</f>
        <v>Expenditure : Very Poor HHs</v>
      </c>
      <c r="C3" s="266"/>
      <c r="D3" s="266"/>
      <c r="E3" s="266"/>
      <c r="F3" s="250"/>
      <c r="G3" s="264" t="str">
        <f>temporary!A67</f>
        <v>Expenditure : Poor HHs</v>
      </c>
      <c r="H3" s="264"/>
      <c r="I3" s="264"/>
      <c r="J3" s="264"/>
      <c r="K3" s="246"/>
      <c r="L3" s="264" t="str">
        <f>'full-time'!A67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casuals</vt:lpstr>
      <vt:lpstr>temporary</vt:lpstr>
      <vt:lpstr>full-time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2016-08-10T11:18:34Z</dcterms:modified>
  <cp:category/>
</cp:coreProperties>
</file>