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2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<sst xmlns="http://schemas.openxmlformats.org/spreadsheetml/2006/main" count="788" uniqueCount="143">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</sst>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0.295619338448915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537256"/>
        <c:axId val="-1991788168"/>
      </c:barChart>
      <c:catAx>
        <c:axId val="-200753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78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78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53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12488"/>
        <c:axId val="-2056149000"/>
      </c:barChart>
      <c:catAx>
        <c:axId val="-21407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4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1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250440"/>
        <c:axId val="-2032158568"/>
      </c:barChart>
      <c:catAx>
        <c:axId val="-203225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5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15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25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748264"/>
        <c:axId val="-2030647832"/>
      </c:barChart>
      <c:catAx>
        <c:axId val="-201474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64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64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74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Non-Affected Area without Grants</a:t>
            </a:r>
          </a:p>
        </c:rich>
      </c:tx>
      <c:layout>
        <c:manualLayout>
          <c:xMode val="edge"/>
          <c:yMode val="edge"/>
          <c:x val="0.30290087443732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066744"/>
        <c:axId val="-20463622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66744"/>
        <c:axId val="-2046362264"/>
      </c:lineChart>
      <c:catAx>
        <c:axId val="-204606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6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36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6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822232"/>
        <c:axId val="-20458681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822232"/>
        <c:axId val="-2045868152"/>
      </c:lineChart>
      <c:catAx>
        <c:axId val="-204582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6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86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2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611624"/>
        <c:axId val="-2046643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11624"/>
        <c:axId val="-2046643672"/>
      </c:lineChart>
      <c:catAx>
        <c:axId val="-2046611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4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4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1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0.0788468812092979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0.166061917708699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-0.208510504313535</c:v>
                </c:pt>
                <c:pt idx="2">
                  <c:v>-0.14049003154927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21544"/>
        <c:axId val="-2032072600"/>
      </c:barChart>
      <c:catAx>
        <c:axId val="-201452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7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07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2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58408"/>
        <c:axId val="-2046748360"/>
      </c:barChart>
      <c:catAx>
        <c:axId val="-203395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74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74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95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405608"/>
        <c:axId val="-2033909560"/>
      </c:barChart>
      <c:catAx>
        <c:axId val="-20334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90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0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40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0.15943508906033</c:v>
                </c:pt>
                <c:pt idx="2">
                  <c:v>0.434861860990329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04312"/>
        <c:axId val="-2034023864"/>
      </c:barChart>
      <c:catAx>
        <c:axId val="-203330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02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2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0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99736"/>
        <c:axId val="-2017904408"/>
      </c:barChart>
      <c:catAx>
        <c:axId val="208669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0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0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9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141848"/>
        <c:axId val="-20341598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41848"/>
        <c:axId val="-20341598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41848"/>
        <c:axId val="-2034159832"/>
      </c:scatterChart>
      <c:catAx>
        <c:axId val="-2034141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159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4159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141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399192"/>
        <c:axId val="-20155130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99192"/>
        <c:axId val="-2015513032"/>
      </c:lineChart>
      <c:catAx>
        <c:axId val="-2016399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513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513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399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01928"/>
        <c:axId val="-20154052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08312"/>
        <c:axId val="-2015415832"/>
      </c:scatterChart>
      <c:valAx>
        <c:axId val="-2015401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05240"/>
        <c:crosses val="autoZero"/>
        <c:crossBetween val="midCat"/>
      </c:valAx>
      <c:valAx>
        <c:axId val="-2015405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01928"/>
        <c:crosses val="autoZero"/>
        <c:crossBetween val="midCat"/>
      </c:valAx>
      <c:valAx>
        <c:axId val="-20154083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5415832"/>
        <c:crosses val="autoZero"/>
        <c:crossBetween val="midCat"/>
      </c:valAx>
      <c:valAx>
        <c:axId val="-20154158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083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67992"/>
        <c:axId val="-20154710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67992"/>
        <c:axId val="-2015471080"/>
      </c:lineChart>
      <c:catAx>
        <c:axId val="-201546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71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471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679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265912"/>
        <c:axId val="2045512248"/>
      </c:barChart>
      <c:catAx>
        <c:axId val="-200926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551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551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26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0.230848624710675</c:v>
                </c:pt>
                <c:pt idx="2" formatCode="0.0%">
                  <c:v>0.629643468952784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561432"/>
        <c:axId val="-1994930008"/>
      </c:barChart>
      <c:catAx>
        <c:axId val="-20095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93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93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56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065800"/>
        <c:axId val="-2032781784"/>
      </c:barChart>
      <c:catAx>
        <c:axId val="-2033065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78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78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0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43464"/>
        <c:axId val="-2018389944"/>
      </c:barChart>
      <c:catAx>
        <c:axId val="-2017543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8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38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4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39784"/>
        <c:axId val="-2042306200"/>
      </c:barChart>
      <c:catAx>
        <c:axId val="-2042239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30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30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23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965352"/>
        <c:axId val="-2017645736"/>
      </c:barChart>
      <c:catAx>
        <c:axId val="-2013965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4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64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6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405496"/>
        <c:axId val="-2069196072"/>
      </c:barChart>
      <c:catAx>
        <c:axId val="-20094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19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19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0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6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Temporary!Z1</f>
        <v>Apr-Jun</v>
      </c>
      <c r="AA1" s="260"/>
      <c r="AB1" s="259" t="str">
        <f>Temporary!AB1</f>
        <v>Jul-Sep</v>
      </c>
      <c r="AC1" s="260"/>
      <c r="AD1" s="259" t="str">
        <f>Temporary!AD1</f>
        <v>Oct-Dec</v>
      </c>
      <c r="AE1" s="260"/>
      <c r="AF1" s="259" t="str">
        <f>Temporary!AF1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24955.576117780685</v>
      </c>
      <c r="T23" s="179">
        <f>SUM(T7:T22)</f>
        <v>26017.576117780685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0.629643468952784</v>
      </c>
      <c r="J30" s="231">
        <f>IF(I$32&lt;=1,I30,1-SUM(J6:J29))</f>
        <v>0.629643468952784</v>
      </c>
      <c r="K30" s="22">
        <f t="shared" si="4"/>
        <v>0.61897901469489414</v>
      </c>
      <c r="L30" s="22">
        <f>IF(L124=L119,0,IF(K30="",0,(L119-L124)/(B119-B124)*K30))</f>
        <v>0.23084862471067505</v>
      </c>
      <c r="M30" s="175">
        <f t="shared" si="6"/>
        <v>0.629643468952784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2076.0008158016135</v>
      </c>
      <c r="T30" s="234">
        <f t="shared" si="24"/>
        <v>1014.0008158016135</v>
      </c>
      <c r="V30" s="56"/>
      <c r="W30" s="110"/>
      <c r="X30" s="118"/>
      <c r="Y30" s="183">
        <f>M30*4</f>
        <v>2.518573875811136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5.6434042819504482E-2</v>
      </c>
      <c r="K31" s="22" t="str">
        <f t="shared" si="4"/>
        <v/>
      </c>
      <c r="L31" s="22">
        <f>(1-SUM(L6:L30))</f>
        <v>0.28605097756649978</v>
      </c>
      <c r="M31" s="241">
        <f t="shared" si="6"/>
        <v>5.6434042819504482E-2</v>
      </c>
      <c r="N31" s="167">
        <f>M31*I83</f>
        <v>1014.0008158016083</v>
      </c>
      <c r="P31" s="22"/>
      <c r="Q31" s="238" t="s">
        <v>134</v>
      </c>
      <c r="R31" s="234">
        <f t="shared" si="24"/>
        <v>0</v>
      </c>
      <c r="S31" s="234">
        <f t="shared" si="24"/>
        <v>11267.414149134944</v>
      </c>
      <c r="T31" s="234">
        <f>IF(T25&gt;T$23,T25-T$23,0)</f>
        <v>10205.414149134944</v>
      </c>
      <c r="V31" s="56"/>
      <c r="W31" s="129" t="s">
        <v>84</v>
      </c>
      <c r="X31" s="130"/>
      <c r="Y31" s="121">
        <f>M31*4</f>
        <v>0.22573617127801793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0.94356595718049552</v>
      </c>
      <c r="J32" s="17"/>
      <c r="L32" s="22">
        <f>SUM(L6:L30)</f>
        <v>0.71394902243350022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27636.37414913495</v>
      </c>
      <c r="T32" s="234">
        <f t="shared" si="24"/>
        <v>26574.37414913495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2.6108996330401935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4195.8</v>
      </c>
      <c r="J37" s="38">
        <f>J91*I$83</f>
        <v>4195.8</v>
      </c>
      <c r="K37" s="40">
        <f>(B37/B$65)</f>
        <v>0.14529520295202952</v>
      </c>
      <c r="L37" s="22">
        <f t="shared" ref="L37" si="28"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4273.5</v>
      </c>
      <c r="J38" s="38">
        <f t="shared" ref="J38:J64" si="32">J92*I$83</f>
        <v>4273.5</v>
      </c>
      <c r="K38" s="40">
        <f t="shared" ref="K38:K64" si="33">(B38/B$65)</f>
        <v>0.14798585485854859</v>
      </c>
      <c r="L38" s="22">
        <f t="shared" ref="L38:L64" si="34">(K38*H38)</f>
        <v>0.16426429889298896</v>
      </c>
      <c r="M38" s="24">
        <f t="shared" ref="M38:M64" si="35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3330.0000000000005</v>
      </c>
      <c r="J39" s="38">
        <f t="shared" si="32"/>
        <v>3330.0000000000005</v>
      </c>
      <c r="K39" s="40">
        <f t="shared" si="33"/>
        <v>0.11531365313653137</v>
      </c>
      <c r="L39" s="22">
        <f t="shared" si="34"/>
        <v>0.12799815498154984</v>
      </c>
      <c r="M39" s="24">
        <f t="shared" si="35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3330.0000000000005</v>
      </c>
      <c r="AH39" s="123">
        <f t="shared" si="37"/>
        <v>1</v>
      </c>
      <c r="AI39" s="112">
        <f t="shared" si="37"/>
        <v>3330.0000000000005</v>
      </c>
      <c r="AJ39" s="148">
        <f t="shared" si="38"/>
        <v>0</v>
      </c>
      <c r="AK39" s="147">
        <f t="shared" si="39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4956</v>
      </c>
      <c r="J40" s="38">
        <f t="shared" si="32"/>
        <v>4955.9999999999991</v>
      </c>
      <c r="K40" s="40">
        <f t="shared" si="33"/>
        <v>0.16143911439114392</v>
      </c>
      <c r="L40" s="22">
        <f t="shared" si="34"/>
        <v>0.19049815498154982</v>
      </c>
      <c r="M40" s="24">
        <f t="shared" si="35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4955.9999999999991</v>
      </c>
      <c r="AH40" s="123">
        <f t="shared" si="37"/>
        <v>1</v>
      </c>
      <c r="AI40" s="112">
        <f t="shared" si="37"/>
        <v>4955.9999999999991</v>
      </c>
      <c r="AJ40" s="148">
        <f t="shared" si="38"/>
        <v>0</v>
      </c>
      <c r="AK40" s="147">
        <f t="shared" si="39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6372</v>
      </c>
      <c r="J41" s="38">
        <f t="shared" si="32"/>
        <v>6372.0000000000009</v>
      </c>
      <c r="K41" s="40">
        <f t="shared" si="33"/>
        <v>0.17297047970479704</v>
      </c>
      <c r="L41" s="22">
        <f t="shared" si="34"/>
        <v>0.20410516605166049</v>
      </c>
      <c r="M41" s="24">
        <f t="shared" si="35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6372.0000000000009</v>
      </c>
      <c r="AH41" s="123">
        <f t="shared" si="37"/>
        <v>1</v>
      </c>
      <c r="AI41" s="112">
        <f t="shared" si="37"/>
        <v>6372.0000000000009</v>
      </c>
      <c r="AJ41" s="148">
        <f t="shared" si="38"/>
        <v>0</v>
      </c>
      <c r="AK41" s="147">
        <f t="shared" si="39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24413.3</v>
      </c>
      <c r="J65" s="39">
        <f>SUM(J37:J64)</f>
        <v>24413.3</v>
      </c>
      <c r="K65" s="40">
        <f>SUM(K37:K64)</f>
        <v>1</v>
      </c>
      <c r="L65" s="22">
        <f>SUM(L37:L64)</f>
        <v>0.89757456949569503</v>
      </c>
      <c r="M65" s="24">
        <f>SUM(M37:M64)</f>
        <v>0.93839560270602718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0.29940549405494055</v>
      </c>
      <c r="L71" s="22">
        <f t="shared" si="45"/>
        <v>0.35329848298482991</v>
      </c>
      <c r="M71" s="24">
        <f t="shared" ref="M71:M72" si="48">J71/B$76</f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11313.366175524399</v>
      </c>
      <c r="J74" s="51">
        <f t="shared" si="44"/>
        <v>11313.366175524399</v>
      </c>
      <c r="K74" s="40">
        <f>B74/B$76</f>
        <v>0.25908877538399006</v>
      </c>
      <c r="L74" s="22">
        <f t="shared" si="45"/>
        <v>0.15943508906032994</v>
      </c>
      <c r="M74" s="24">
        <f>J74/B$76</f>
        <v>0.43486186099032897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24413.300000000003</v>
      </c>
      <c r="J76" s="51">
        <f t="shared" si="44"/>
        <v>24413.300000000003</v>
      </c>
      <c r="K76" s="40">
        <f>SUM(K70:K75)</f>
        <v>1.6348355820508291</v>
      </c>
      <c r="L76" s="22">
        <f>SUM(L70:L75)</f>
        <v>1.0162673137608582</v>
      </c>
      <c r="M76" s="24">
        <f>SUM(M70:M75)</f>
        <v>1.2916940856908572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0.67272727272727284</v>
      </c>
      <c r="I91" s="22">
        <f t="shared" ref="I91:I106" si="54">(D91*H91)</f>
        <v>0.2335165348707221</v>
      </c>
      <c r="J91" s="24">
        <f t="shared" ref="J91:J99" si="55">IF(I$32&lt;=1+I$131,I91,L91+J$33*(I91-L91))</f>
        <v>0.2335165348707221</v>
      </c>
      <c r="K91" s="22">
        <f t="shared" ref="K91:K106" si="56">(B91)</f>
        <v>0.34711917345647875</v>
      </c>
      <c r="L91" s="22">
        <f t="shared" ref="L91:L106" si="57">(K91*H91)</f>
        <v>0.2335165348707221</v>
      </c>
      <c r="M91" s="227">
        <f t="shared" si="49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0.67272727272727284</v>
      </c>
      <c r="I92" s="22">
        <f t="shared" si="54"/>
        <v>0.23784091514610586</v>
      </c>
      <c r="J92" s="24">
        <f t="shared" si="55"/>
        <v>0.23784091514610586</v>
      </c>
      <c r="K92" s="22">
        <f t="shared" si="56"/>
        <v>0.35354730629826542</v>
      </c>
      <c r="L92" s="22">
        <f t="shared" si="57"/>
        <v>0.23784091514610586</v>
      </c>
      <c r="M92" s="227">
        <f t="shared" si="49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0.67272727272727284</v>
      </c>
      <c r="I93" s="22">
        <f t="shared" si="54"/>
        <v>0.18533058323073184</v>
      </c>
      <c r="J93" s="24">
        <f t="shared" si="55"/>
        <v>0.18533058323073184</v>
      </c>
      <c r="K93" s="22">
        <f t="shared" si="56"/>
        <v>0.27549140750514189</v>
      </c>
      <c r="L93" s="22">
        <f t="shared" si="57"/>
        <v>0.18533058323073184</v>
      </c>
      <c r="M93" s="227">
        <f t="shared" si="4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0.7151515151515152</v>
      </c>
      <c r="I94" s="22">
        <f t="shared" si="54"/>
        <v>0.27582533648393598</v>
      </c>
      <c r="J94" s="24">
        <f t="shared" si="55"/>
        <v>0.27582533648393598</v>
      </c>
      <c r="K94" s="22">
        <f t="shared" si="56"/>
        <v>0.38568797050719861</v>
      </c>
      <c r="L94" s="22">
        <f t="shared" si="57"/>
        <v>0.27582533648393598</v>
      </c>
      <c r="M94" s="228">
        <f t="shared" si="49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0.7151515151515152</v>
      </c>
      <c r="I95" s="22">
        <f t="shared" si="54"/>
        <v>0.35463257547934635</v>
      </c>
      <c r="J95" s="24">
        <f t="shared" si="55"/>
        <v>0.35463257547934635</v>
      </c>
      <c r="K95" s="22">
        <f t="shared" si="56"/>
        <v>0.41323711125771284</v>
      </c>
      <c r="L95" s="22">
        <f t="shared" si="57"/>
        <v>0.29552714623278858</v>
      </c>
      <c r="M95" s="228">
        <f t="shared" si="49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1.3587180563323802</v>
      </c>
      <c r="J119" s="24">
        <f>SUM(J91:J118)</f>
        <v>1.3587180563323802</v>
      </c>
      <c r="K119" s="22">
        <f>SUM(K91:K118)</f>
        <v>2.3890614858845902</v>
      </c>
      <c r="L119" s="22">
        <f>SUM(L91:L118)</f>
        <v>1.2996126270858224</v>
      </c>
      <c r="M119" s="57">
        <f t="shared" si="49"/>
        <v>1.3587180563323802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6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0.629643468952784</v>
      </c>
      <c r="J128" s="228">
        <f>(J30)</f>
        <v>0.629643468952784</v>
      </c>
      <c r="K128" s="29">
        <f>(B128)</f>
        <v>0.61897901469489414</v>
      </c>
      <c r="L128" s="29">
        <f>IF(L124=L119,0,(L119-L124)/(B119-B124)*K128)</f>
        <v>0.23084862471067505</v>
      </c>
      <c r="M128" s="240">
        <f t="shared" si="66"/>
        <v>0.629643468952784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1.3587180563323802</v>
      </c>
      <c r="J130" s="228">
        <f>(J119)</f>
        <v>1.3587180563323802</v>
      </c>
      <c r="K130" s="29">
        <f>(B130)</f>
        <v>2.3890614858845902</v>
      </c>
      <c r="L130" s="29">
        <f>(L119)</f>
        <v>1.2996126270858224</v>
      </c>
      <c r="M130" s="240">
        <f t="shared" si="66"/>
        <v>1.3587180563323802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31729.276117780686</v>
      </c>
      <c r="T23" s="179">
        <f>SUM(T7:T22)</f>
        <v>31729.276117780686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0.94752716031583828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0.29561933844891491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0.24382407017944296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4493.7141491349503</v>
      </c>
      <c r="T31" s="234">
        <f>IF(T25&gt;T$23,T25-T$23,0)</f>
        <v>4493.7141491349503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1.2614496485435498</v>
      </c>
      <c r="J32" s="17"/>
      <c r="L32" s="22">
        <f>SUM(L6:L30)</f>
        <v>0.75617592982055704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20862.674149134949</v>
      </c>
      <c r="T32" s="234">
        <f t="shared" si="50"/>
        <v>20862.674149134949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0.82452129655545869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4493.7141491349466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0.35953229537922843</v>
      </c>
      <c r="L37" s="22">
        <f t="shared" ref="L37:L49" si="55">(K37*H37)</f>
        <v>0.39908084787094361</v>
      </c>
      <c r="M37" s="24">
        <f t="shared" ref="M37:M49" si="56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3330.0000000000005</v>
      </c>
      <c r="J39" s="38">
        <f t="shared" si="53"/>
        <v>3330.0000000000005</v>
      </c>
      <c r="K39" s="40">
        <f t="shared" si="54"/>
        <v>9.3791033577190014E-2</v>
      </c>
      <c r="L39" s="22">
        <f t="shared" si="55"/>
        <v>0.10410804727068093</v>
      </c>
      <c r="M39" s="24">
        <f t="shared" si="56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3330.0000000000005</v>
      </c>
      <c r="AH39" s="123">
        <f t="shared" si="61"/>
        <v>1</v>
      </c>
      <c r="AI39" s="112">
        <f t="shared" si="61"/>
        <v>3330.0000000000005</v>
      </c>
      <c r="AJ39" s="148">
        <f t="shared" si="62"/>
        <v>0</v>
      </c>
      <c r="AK39" s="147">
        <f t="shared" si="63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0.18758206715438003</v>
      </c>
      <c r="L40" s="22">
        <f t="shared" si="55"/>
        <v>0.22134683924216841</v>
      </c>
      <c r="M40" s="24">
        <f t="shared" si="56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30125</v>
      </c>
      <c r="J65" s="39">
        <f>SUM(J37:J64)</f>
        <v>30125</v>
      </c>
      <c r="K65" s="40">
        <f>SUM(K37:K64)</f>
        <v>0.99999999999999989</v>
      </c>
      <c r="L65" s="22">
        <f>SUM(L37:L64)</f>
        <v>0.9418182955042832</v>
      </c>
      <c r="M65" s="24">
        <f>SUM(M37:M64)</f>
        <v>0.94181829550428309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7.8846881209297878E-2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17025.066175524396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0.16606191770869941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30125.000000000004</v>
      </c>
      <c r="J76" s="51">
        <f t="shared" si="75"/>
        <v>30125.000000000004</v>
      </c>
      <c r="K76" s="40">
        <f>SUM(K70:K75)</f>
        <v>1.2727264716514877</v>
      </c>
      <c r="L76" s="22">
        <f>SUM(L70:L75)</f>
        <v>0.94181829550428309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4493.7141491349466</v>
      </c>
      <c r="K77" s="40"/>
      <c r="L77" s="22">
        <f>-(L131*G$37*F$9/F$7)/B$130</f>
        <v>-0.20851050431353516</v>
      </c>
      <c r="M77" s="24">
        <f>-J77/B$76</f>
        <v>-0.14049003154926989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0.67272727272727284</v>
      </c>
      <c r="I93" s="22">
        <f t="shared" si="88"/>
        <v>0.18533058323073184</v>
      </c>
      <c r="J93" s="24">
        <f t="shared" si="89"/>
        <v>0.18533058323073184</v>
      </c>
      <c r="K93" s="22">
        <f t="shared" si="90"/>
        <v>0.27549140750514189</v>
      </c>
      <c r="L93" s="22">
        <f t="shared" si="91"/>
        <v>0.18533058323073184</v>
      </c>
      <c r="M93" s="227">
        <f t="shared" si="92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0.7151515151515152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1.6766017476954345</v>
      </c>
      <c r="J119" s="24">
        <f>SUM(J91:J118)</f>
        <v>1.6766017476954345</v>
      </c>
      <c r="K119" s="22">
        <f>SUM(K91:K118)</f>
        <v>2.9372893868198227</v>
      </c>
      <c r="L119" s="22">
        <f>SUM(L91:L118)</f>
        <v>1.6766017476954345</v>
      </c>
      <c r="M119" s="57">
        <f t="shared" si="80"/>
        <v>1.6766017476954345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0.14036127718782665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0.94752716031583828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0.29561933844891491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1.6766017476954345</v>
      </c>
      <c r="J130" s="228">
        <f>(J119)</f>
        <v>1.6766017476954345</v>
      </c>
      <c r="K130" s="29">
        <f>(B130)</f>
        <v>2.9372893868198227</v>
      </c>
      <c r="L130" s="29">
        <f>(L119)</f>
        <v>1.6766017476954345</v>
      </c>
      <c r="M130" s="240">
        <f t="shared" si="93"/>
        <v>1.6766017476954345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0.25009689613554698</v>
      </c>
      <c r="K131" s="29"/>
      <c r="L131" s="29">
        <f>IF(I131&lt;SUM(L126:L127),0,I131-(SUM(L126:L127)))</f>
        <v>0.37118526749127012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J91" sqref="J9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 t="shared" si="7"/>
        <v>2.4762194954277807E-2</v>
      </c>
      <c r="AD27" s="156">
        <f>Temporary!AD27</f>
        <v>0.25</v>
      </c>
      <c r="AE27" s="121">
        <f t="shared" si="8"/>
        <v>2.4762194954277807E-2</v>
      </c>
      <c r="AF27" s="122">
        <f t="shared" si="10"/>
        <v>0.25</v>
      </c>
      <c r="AG27" s="121">
        <f t="shared" si="11"/>
        <v>2.4762194954277807E-2</v>
      </c>
      <c r="AH27" s="123">
        <f t="shared" si="12"/>
        <v>1</v>
      </c>
      <c r="AI27" s="183">
        <f t="shared" si="13"/>
        <v>2.4762194954277807E-2</v>
      </c>
      <c r="AJ27" s="120">
        <f t="shared" si="14"/>
        <v>2.4762194954277807E-2</v>
      </c>
      <c r="AK27" s="119">
        <f t="shared" si="15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9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 t="shared" si="7"/>
        <v>0.3736344895999642</v>
      </c>
      <c r="AD29" s="156">
        <f>Temporary!AD29</f>
        <v>0.25</v>
      </c>
      <c r="AE29" s="121">
        <f t="shared" si="8"/>
        <v>0.3736344895999642</v>
      </c>
      <c r="AF29" s="122">
        <f t="shared" si="10"/>
        <v>0.25</v>
      </c>
      <c r="AG29" s="121">
        <f t="shared" si="11"/>
        <v>0.3736344895999642</v>
      </c>
      <c r="AH29" s="123">
        <f t="shared" si="12"/>
        <v>1</v>
      </c>
      <c r="AI29" s="183">
        <f t="shared" si="13"/>
        <v>0.3736344895999642</v>
      </c>
      <c r="AJ29" s="120">
        <f t="shared" si="14"/>
        <v>0.3736344895999642</v>
      </c>
      <c r="AK29" s="119">
        <f t="shared" si="15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0.52083333333333337</v>
      </c>
      <c r="L40" s="22">
        <f t="shared" si="34"/>
        <v>0.61458333333333337</v>
      </c>
      <c r="M40" s="24">
        <f t="shared" si="35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6018</v>
      </c>
      <c r="K73" s="40">
        <f>B73/B$76</f>
        <v>8.8541666666666671E-2</v>
      </c>
      <c r="L73" s="22">
        <f t="shared" si="45"/>
        <v>0.10447916666666666</v>
      </c>
      <c r="M73" s="24">
        <f>J73/B$76</f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4"/>
        <v>10809.543711089867</v>
      </c>
      <c r="K74" s="40">
        <f>B74/B$76</f>
        <v>0.1239504502964893</v>
      </c>
      <c r="L74" s="22">
        <f t="shared" si="45"/>
        <v>0.14097247237441615</v>
      </c>
      <c r="M74" s="24">
        <f>J74/B$76</f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12480.149131101189</v>
      </c>
      <c r="K75" s="40">
        <f>B75/B$76</f>
        <v>0.24899349202565513</v>
      </c>
      <c r="L75" s="22">
        <f t="shared" si="45"/>
        <v>0.26336247280251202</v>
      </c>
      <c r="M75" s="24">
        <f>J75/B$76</f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4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0.7151515151515152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 t="shared" si="49"/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>(B128)</f>
        <v>0.65562785305105853</v>
      </c>
      <c r="L128" s="22">
        <f>IF(L124=L119,0,(L119-L124)/(B119-B124)*K128)</f>
        <v>0.4519180198854707</v>
      </c>
      <c r="M128" s="57">
        <f t="shared" si="63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>(B129)</f>
        <v>1.3170348974931465</v>
      </c>
      <c r="L129" s="60">
        <f>IF(SUM(L124:L128)&gt;L130,0,L130-SUM(L124:L128))</f>
        <v>0.84426587131809372</v>
      </c>
      <c r="M129" s="57">
        <f t="shared" si="63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>(B130)</f>
        <v>5.289435024098724</v>
      </c>
      <c r="L130" s="22">
        <f>(L119)</f>
        <v>3.7827474717796941</v>
      </c>
      <c r="M130" s="57">
        <f t="shared" si="63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Casuals!A3</f>
        <v>Sources of Food : Very Poor HHs</v>
      </c>
      <c r="C3" s="269"/>
      <c r="D3" s="269"/>
      <c r="E3" s="269"/>
      <c r="F3" s="245"/>
      <c r="G3" s="266" t="str">
        <f>Temporary!A3</f>
        <v>Sources of Food : Poor HHs</v>
      </c>
      <c r="H3" s="266"/>
      <c r="I3" s="266"/>
      <c r="J3" s="266"/>
      <c r="K3" s="246"/>
      <c r="L3" s="266" t="str">
        <f>'Full-time'!A3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5" workbookViewId="0">
      <selection activeCell="D65" sqref="D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Temporary!A1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Casuals!A34</f>
        <v>Income : Very Poor HHs</v>
      </c>
      <c r="D3" s="272"/>
      <c r="E3" s="272"/>
      <c r="F3" s="90"/>
      <c r="G3" s="270" t="str">
        <f>Temporary!A34</f>
        <v>Income : Poor HHs</v>
      </c>
      <c r="H3" s="270"/>
      <c r="I3" s="270"/>
      <c r="J3" s="270"/>
      <c r="K3" s="89"/>
      <c r="L3" s="270" t="str">
        <f>'Full-time'!A34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258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26017.576117780685</v>
      </c>
      <c r="G88" s="109">
        <f>Temporary!T23</f>
        <v>31729.276117780686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1014.0008158016135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10205.414149134944</v>
      </c>
      <c r="G99" s="239">
        <f t="shared" si="0"/>
        <v>4493.7141491349503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26574.37414913495</v>
      </c>
      <c r="G100" s="239">
        <f t="shared" si="0"/>
        <v>20862.674149134949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Casuals!A67</f>
        <v>Expenditure : Very Poor HHs</v>
      </c>
      <c r="C3" s="268"/>
      <c r="D3" s="268"/>
      <c r="E3" s="268"/>
      <c r="F3" s="250"/>
      <c r="G3" s="266" t="str">
        <f>Temporary!A67</f>
        <v>Expenditure : Poor HHs</v>
      </c>
      <c r="H3" s="266"/>
      <c r="I3" s="266"/>
      <c r="J3" s="266"/>
      <c r="K3" s="246"/>
      <c r="L3" s="266" t="str">
        <f>'Full-time'!A67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2016-08-10T11:26:48Z</dcterms:modified>
  <cp:category/>
</cp:coreProperties>
</file>