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560" yWindow="1400" windowWidth="22960" windowHeight="13420" activeTab="2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<sst xmlns="http://schemas.openxmlformats.org/spreadsheetml/2006/main" count="788" uniqueCount="143">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</sst>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2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16365C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2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" fontId="7" fillId="0" borderId="0" xfId="0" applyNumberFormat="1" applyFont="1" applyAlignment="1" applyProtection="1">
      <alignment horizontal="lef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Percent" xfId="6" builtinId="5"/>
    <cellStyle name="Total" xfId="7" builtinId="25" customBuiltin="1"/>
  </cellStyles>
  <dxfs count="31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0.10671019944782</c:v>
                </c:pt>
                <c:pt idx="2" formatCode="0.0%">
                  <c:v>0.342030439517416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8367096"/>
        <c:axId val="-1997984488"/>
      </c:barChart>
      <c:catAx>
        <c:axId val="-199836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798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98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836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868104"/>
        <c:axId val="-2000340184"/>
      </c:barChart>
      <c:catAx>
        <c:axId val="176886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34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34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86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27256"/>
        <c:axId val="-1999705416"/>
      </c:barChart>
      <c:catAx>
        <c:axId val="-199262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70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70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2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040216"/>
        <c:axId val="-1993204376"/>
      </c:barChart>
      <c:catAx>
        <c:axId val="-199304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20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20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04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Affected Area without Grants</a:t>
            </a:r>
          </a:p>
        </c:rich>
      </c:tx>
      <c:layout>
        <c:manualLayout>
          <c:xMode val="edge"/>
          <c:yMode val="edge"/>
          <c:x val="0.31153645302109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0607784"/>
        <c:axId val="-20006044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607784"/>
        <c:axId val="-2000604456"/>
      </c:lineChart>
      <c:catAx>
        <c:axId val="-200060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60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60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607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5618248"/>
        <c:axId val="-19955164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618248"/>
        <c:axId val="-1995516456"/>
      </c:lineChart>
      <c:catAx>
        <c:axId val="-199561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51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51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61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882488"/>
        <c:axId val="-19997364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82488"/>
        <c:axId val="-1999736424"/>
      </c:lineChart>
      <c:catAx>
        <c:axId val="-1996882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73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73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88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0.192133001173151</c:v>
                </c:pt>
                <c:pt idx="2">
                  <c:v>0.192133001173151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0.0599436439184275</c:v>
                </c:pt>
                <c:pt idx="2">
                  <c:v>0.192133001173151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-0.287357385522833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1880792"/>
        <c:axId val="-2011917096"/>
      </c:barChart>
      <c:catAx>
        <c:axId val="-201188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91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191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880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488168"/>
        <c:axId val="-2038581512"/>
      </c:barChart>
      <c:catAx>
        <c:axId val="-203848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81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58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48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1859768"/>
        <c:axId val="-2011783960"/>
      </c:barChart>
      <c:catAx>
        <c:axId val="-201185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78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178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85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0.0502504680013989</c:v>
                </c:pt>
                <c:pt idx="2">
                  <c:v>0.0829072945696645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0.0203321262069813</c:v>
                </c:pt>
                <c:pt idx="2">
                  <c:v>0.0829072945696645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713432"/>
        <c:axId val="-2038768984"/>
      </c:barChart>
      <c:catAx>
        <c:axId val="-203871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6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6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1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53496"/>
        <c:axId val="-2002997032"/>
      </c:barChart>
      <c:catAx>
        <c:axId val="-199265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99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99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653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8325912"/>
        <c:axId val="-19983225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325912"/>
        <c:axId val="-19983225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325912"/>
        <c:axId val="-1998322552"/>
      </c:scatterChart>
      <c:catAx>
        <c:axId val="-19983259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8322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8322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83259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366152"/>
        <c:axId val="-20393717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66152"/>
        <c:axId val="-2039371784"/>
      </c:lineChart>
      <c:catAx>
        <c:axId val="-2039366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371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371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3661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80536"/>
        <c:axId val="-20715107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98680"/>
        <c:axId val="-2071739464"/>
      </c:scatterChart>
      <c:valAx>
        <c:axId val="-20712805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510744"/>
        <c:crosses val="autoZero"/>
        <c:crossBetween val="midCat"/>
      </c:valAx>
      <c:valAx>
        <c:axId val="-2071510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280536"/>
        <c:crosses val="autoZero"/>
        <c:crossBetween val="midCat"/>
      </c:valAx>
      <c:valAx>
        <c:axId val="-2071598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1739464"/>
        <c:crosses val="autoZero"/>
        <c:crossBetween val="midCat"/>
      </c:valAx>
      <c:valAx>
        <c:axId val="-20717394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5986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46696"/>
        <c:axId val="-20711835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46696"/>
        <c:axId val="-2071183528"/>
      </c:lineChart>
      <c:catAx>
        <c:axId val="-207114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1835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11835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1466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513272"/>
        <c:axId val="-1993236376"/>
      </c:barChart>
      <c:catAx>
        <c:axId val="-203551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23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23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1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0.0294392119074205</c:v>
                </c:pt>
                <c:pt idx="2" formatCode="0.0%">
                  <c:v>0.12004280263956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669640"/>
        <c:axId val="-2035430584"/>
      </c:barChart>
      <c:catAx>
        <c:axId val="-203166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43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43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66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585960"/>
        <c:axId val="-2012203448"/>
      </c:barChart>
      <c:catAx>
        <c:axId val="-2038585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203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220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585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137144"/>
        <c:axId val="-1995915432"/>
      </c:barChart>
      <c:catAx>
        <c:axId val="-2032137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915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91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13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430808"/>
        <c:axId val="-2030108168"/>
      </c:barChart>
      <c:catAx>
        <c:axId val="-1993430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108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010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43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011496"/>
        <c:axId val="-2003070040"/>
      </c:barChart>
      <c:catAx>
        <c:axId val="-20320114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30700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307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01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129752"/>
        <c:axId val="-1994255256"/>
      </c:barChart>
      <c:catAx>
        <c:axId val="-203212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255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255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129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E9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temporary!Z1</f>
        <v>Apr-Jun</v>
      </c>
      <c r="AA1" s="260"/>
      <c r="AB1" s="259" t="str">
        <f>temporary!AB1</f>
        <v>Jul-Sep</v>
      </c>
      <c r="AC1" s="260"/>
      <c r="AD1" s="259" t="str">
        <f>temporary!AD1</f>
        <v>Oct-Dec</v>
      </c>
      <c r="AE1" s="260"/>
      <c r="AF1" s="259" t="str">
        <f>temporary!AF1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5899.65</v>
      </c>
      <c r="T13" s="222">
        <f>IF($B$81=0,0,(SUMIF($N$6:$N$28,$U13,M$6:M$28)+SUMIF($N$91:$N$118,$U13,M$91:M$118))*$I$83*temporary!$B$81/$B$81)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2973.5999999999995</v>
      </c>
      <c r="T14" s="222">
        <f>IF($B$81=0,0,(SUMIF($N$6:$N$28,$U14,M$6:M$28)+SUMIF($N$91:$N$118,$U14,M$91:M$118))*$I$83*temporary!$B$81/$B$81)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temporary!E16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4248</v>
      </c>
      <c r="T16" s="222">
        <f>IF($B$81=0,0,(SUMIF($N$6:$N$28,$U16,M$6:M$28)+SUMIF($N$91:$N$118,$U16,M$91:M$118))*$I$83*temporary!$B$81/$B$81)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temporary!E17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temporary!E18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56"/>
      <c r="O23" s="2"/>
      <c r="P23" s="22"/>
      <c r="Q23" s="171" t="s">
        <v>92</v>
      </c>
      <c r="R23" s="179">
        <f>SUM(R7:R22)</f>
        <v>40983.981169503757</v>
      </c>
      <c r="S23" s="179">
        <f>SUM(S7:S22)</f>
        <v>16011.526117780686</v>
      </c>
      <c r="T23" s="179">
        <f>SUM(T7:T22)</f>
        <v>16861.126117780685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temporary!Z16</f>
        <v>0</v>
      </c>
      <c r="AA24" s="121">
        <f t="shared" si="16"/>
        <v>0</v>
      </c>
      <c r="AB24" s="156">
        <f>temporary!AB16</f>
        <v>0</v>
      </c>
      <c r="AC24" s="121">
        <f t="shared" si="7"/>
        <v>0</v>
      </c>
      <c r="AD24" s="156">
        <f>temporary!AD16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temporary!Z17</f>
        <v>0.29409999999999997</v>
      </c>
      <c r="AA25" s="121">
        <f t="shared" si="16"/>
        <v>0</v>
      </c>
      <c r="AB25" s="156">
        <f>temporary!AB17</f>
        <v>0.17649999999999999</v>
      </c>
      <c r="AC25" s="121">
        <f t="shared" si="7"/>
        <v>0</v>
      </c>
      <c r="AD25" s="156">
        <f>temporary!AD17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temporary!Z26</f>
        <v>0.25</v>
      </c>
      <c r="AA26" s="121">
        <f t="shared" si="16"/>
        <v>8.9285714285714288E-2</v>
      </c>
      <c r="AB26" s="156">
        <f>temporary!AB26</f>
        <v>0.25</v>
      </c>
      <c r="AC26" s="121">
        <f t="shared" si="7"/>
        <v>8.9285714285714288E-2</v>
      </c>
      <c r="AD26" s="156">
        <f>temporary!AD26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temporary!Z29</f>
        <v>0.25</v>
      </c>
      <c r="AA29" s="121">
        <f t="shared" si="16"/>
        <v>0.22463677394199716</v>
      </c>
      <c r="AB29" s="156">
        <f>temporary!AB29</f>
        <v>0.25</v>
      </c>
      <c r="AC29" s="121">
        <f t="shared" si="7"/>
        <v>0.22463677394199716</v>
      </c>
      <c r="AD29" s="156">
        <f>temporary!AD29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0.12004280263956013</v>
      </c>
      <c r="J30" s="231">
        <f>IF(I$32&lt;=1,I30,1-SUM(J6:J29))</f>
        <v>0.12004280263956013</v>
      </c>
      <c r="K30" s="22">
        <f t="shared" si="4"/>
        <v>0.61897901469489414</v>
      </c>
      <c r="L30" s="22">
        <f>IF(L124=L119,0,IF(K30="",0,(L119-L124)/(B119-B124)*K30))</f>
        <v>2.9439211907420534E-2</v>
      </c>
      <c r="M30" s="175">
        <f t="shared" si="6"/>
        <v>0.12004280263956013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11020.050815801613</v>
      </c>
      <c r="T30" s="234">
        <f t="shared" si="24"/>
        <v>10170.450815801614</v>
      </c>
      <c r="V30" s="56"/>
      <c r="W30" s="110"/>
      <c r="X30" s="118"/>
      <c r="Y30" s="183">
        <f>M30*4</f>
        <v>0.48017121055824052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0.56603470913272846</v>
      </c>
      <c r="K31" s="22" t="str">
        <f t="shared" si="4"/>
        <v/>
      </c>
      <c r="L31" s="22">
        <f>(1-SUM(L6:L30))</f>
        <v>0.4874603903697543</v>
      </c>
      <c r="M31" s="241">
        <f t="shared" si="6"/>
        <v>0.56603470913272846</v>
      </c>
      <c r="N31" s="167">
        <f>M31*I83</f>
        <v>10170.450815801616</v>
      </c>
      <c r="P31" s="22"/>
      <c r="Q31" s="238" t="s">
        <v>134</v>
      </c>
      <c r="R31" s="234">
        <f t="shared" si="24"/>
        <v>0</v>
      </c>
      <c r="S31" s="234">
        <f t="shared" si="24"/>
        <v>20211.464149134943</v>
      </c>
      <c r="T31" s="234">
        <f>IF(T25&gt;T$23,T25-T$23,0)</f>
        <v>19361.864149134944</v>
      </c>
      <c r="V31" s="56"/>
      <c r="W31" s="129" t="s">
        <v>84</v>
      </c>
      <c r="X31" s="130"/>
      <c r="Y31" s="121">
        <f>M31*4</f>
        <v>2.2641388365309139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0.43396529086727159</v>
      </c>
      <c r="J32" s="17"/>
      <c r="L32" s="22">
        <f>SUM(L6:L30)</f>
        <v>0.5125396096302457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36580.424149134953</v>
      </c>
      <c r="T32" s="234">
        <f t="shared" si="24"/>
        <v>35730.824149134947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-10.193103753021749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0.5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0.5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0.5</v>
      </c>
      <c r="F39" s="75">
        <f>temporary!F39</f>
        <v>1.1100000000000001</v>
      </c>
      <c r="G39" s="75">
        <f>temporary!G39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0.6</v>
      </c>
      <c r="F40" s="75">
        <f>temporary!F40</f>
        <v>1.18</v>
      </c>
      <c r="G40" s="75">
        <f>temporary!G40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0.8</v>
      </c>
      <c r="F41" s="75">
        <f>temporary!F41</f>
        <v>1.18</v>
      </c>
      <c r="G41" s="75">
        <f>temporary!G41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40"/>
        <v>0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0.20756457564575645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321.5</v>
      </c>
      <c r="AB44" s="156">
        <f>temporary!AB44</f>
        <v>0.25</v>
      </c>
      <c r="AC44" s="147">
        <f t="shared" si="41"/>
        <v>321.5</v>
      </c>
      <c r="AD44" s="156">
        <f>temporary!AD44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15256.849999999999</v>
      </c>
      <c r="J65" s="39">
        <f>SUM(J37:J64)</f>
        <v>15256.85</v>
      </c>
      <c r="K65" s="40">
        <f>SUM(K37:K64)</f>
        <v>1</v>
      </c>
      <c r="L65" s="22">
        <f>SUM(L37:L64)</f>
        <v>0.55378420971709719</v>
      </c>
      <c r="M65" s="24">
        <f>SUM(M37:M64)</f>
        <v>0.58644103628536293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2156.9161755243927</v>
      </c>
      <c r="J71" s="51">
        <f t="shared" si="44"/>
        <v>2156.9161755243927</v>
      </c>
      <c r="K71" s="40">
        <f t="shared" ref="K71:K72" si="47">B71/B$76</f>
        <v>0.29940549405494055</v>
      </c>
      <c r="L71" s="22">
        <f t="shared" si="45"/>
        <v>5.0250468001398936E-2</v>
      </c>
      <c r="M71" s="24">
        <f t="shared" ref="M71:M72" si="48">J71/B$76</f>
        <v>8.2907294569664544E-2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2156.9161755243927</v>
      </c>
      <c r="J74" s="51">
        <f t="shared" si="44"/>
        <v>2156.9161755243927</v>
      </c>
      <c r="K74" s="40">
        <f>B74/B$76</f>
        <v>0.25908877538399006</v>
      </c>
      <c r="L74" s="22">
        <f t="shared" si="45"/>
        <v>2.0332126206981351E-2</v>
      </c>
      <c r="M74" s="24">
        <f>J74/B$76</f>
        <v>8.2907294569664544E-2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15256.849999999999</v>
      </c>
      <c r="J76" s="51">
        <f t="shared" si="44"/>
        <v>15256.849999999999</v>
      </c>
      <c r="K76" s="40">
        <f>SUM(K70:K75)</f>
        <v>1.6348355820508291</v>
      </c>
      <c r="L76" s="22">
        <f>SUM(L70:L75)</f>
        <v>0.57411633592407862</v>
      </c>
      <c r="M76" s="24">
        <f>SUM(M70:M75)</f>
        <v>0.66934833085502721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9191.4133333333357</v>
      </c>
      <c r="K77" s="40"/>
      <c r="L77" s="22">
        <f>-(L131*G$37*F$9/F$7)/B$130</f>
        <v>-0.35329848298482991</v>
      </c>
      <c r="M77" s="24">
        <f>-J77/B$76</f>
        <v>-0.35329848298482996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0.49588453350925538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0.84911739001915632</v>
      </c>
      <c r="J119" s="24">
        <f>SUM(J91:J118)</f>
        <v>0.84911739001915632</v>
      </c>
      <c r="K119" s="22">
        <f>SUM(K91:K118)</f>
        <v>2.3890614858845902</v>
      </c>
      <c r="L119" s="22">
        <f>SUM(L91:L118)</f>
        <v>0.80183304662191024</v>
      </c>
      <c r="M119" s="57">
        <f t="shared" si="49"/>
        <v>0.84911739001915632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0.12004280263956013</v>
      </c>
      <c r="J125" s="237">
        <f>IF(SUMPRODUCT($B$124:$B125,$H$124:$H125)&lt;J$119,($B125*$H125),IF(SUMPRODUCT($B$124:$B124,$H$124:$H124)&lt;J$119,J$119-SUMPRODUCT($B$124:$B124,$H$124:$H124),0))</f>
        <v>0.12004280263956013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7.2758459242314055E-2</v>
      </c>
      <c r="M125" s="240">
        <f t="shared" si="66"/>
        <v>0.12004280263956013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0.12004280263956013</v>
      </c>
      <c r="J128" s="228">
        <f>(J30)</f>
        <v>0.12004280263956013</v>
      </c>
      <c r="K128" s="29">
        <f>(B128)</f>
        <v>0.61897901469489414</v>
      </c>
      <c r="L128" s="29">
        <f>IF(L124=L119,0,(L119-L124)/(B119-B124)*K128)</f>
        <v>2.9439211907420534E-2</v>
      </c>
      <c r="M128" s="240">
        <f t="shared" si="66"/>
        <v>0.12004280263956013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0.84911739001915632</v>
      </c>
      <c r="J130" s="228">
        <f>(J119)</f>
        <v>0.84911739001915632</v>
      </c>
      <c r="K130" s="29">
        <f>(B130)</f>
        <v>2.3890614858845902</v>
      </c>
      <c r="L130" s="29">
        <f>(L119)</f>
        <v>0.80183304662191024</v>
      </c>
      <c r="M130" s="240">
        <f t="shared" si="66"/>
        <v>0.84911739001915632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0.51154654467909666</v>
      </c>
      <c r="J131" s="237">
        <f>IF(SUMPRODUCT($B124:$B125,$H124:$H125)&gt;(J119-J128),SUMPRODUCT($B124:$B125,$H124:$H125)+J128-J119,0)</f>
        <v>0.51154654467909666</v>
      </c>
      <c r="K131" s="29"/>
      <c r="L131" s="29">
        <f>IF(I131&lt;SUM(L126:L127),0,I131-(SUM(L126:L127)))</f>
        <v>0.51154654467909666</v>
      </c>
      <c r="M131" s="237">
        <f>IF(I131&lt;SUM(M126:M127),0,I131-(SUM(M126:M127)))</f>
        <v>0.51154654467909666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15" priority="116" operator="equal">
      <formula>16</formula>
    </cfRule>
    <cfRule type="cellIs" dxfId="314" priority="117" operator="equal">
      <formula>15</formula>
    </cfRule>
    <cfRule type="cellIs" dxfId="313" priority="118" operator="equal">
      <formula>14</formula>
    </cfRule>
    <cfRule type="cellIs" dxfId="312" priority="119" operator="equal">
      <formula>13</formula>
    </cfRule>
    <cfRule type="cellIs" dxfId="311" priority="120" operator="equal">
      <formula>12</formula>
    </cfRule>
    <cfRule type="cellIs" dxfId="310" priority="121" operator="equal">
      <formula>11</formula>
    </cfRule>
    <cfRule type="cellIs" dxfId="309" priority="122" operator="equal">
      <formula>10</formula>
    </cfRule>
    <cfRule type="cellIs" dxfId="308" priority="123" operator="equal">
      <formula>9</formula>
    </cfRule>
    <cfRule type="cellIs" dxfId="307" priority="124" operator="equal">
      <formula>8</formula>
    </cfRule>
    <cfRule type="cellIs" dxfId="306" priority="125" operator="equal">
      <formula>7</formula>
    </cfRule>
    <cfRule type="cellIs" dxfId="305" priority="126" operator="equal">
      <formula>6</formula>
    </cfRule>
    <cfRule type="cellIs" dxfId="304" priority="127" operator="equal">
      <formula>5</formula>
    </cfRule>
    <cfRule type="cellIs" dxfId="303" priority="128" operator="equal">
      <formula>4</formula>
    </cfRule>
    <cfRule type="cellIs" dxfId="302" priority="129" operator="equal">
      <formula>3</formula>
    </cfRule>
    <cfRule type="cellIs" dxfId="301" priority="130" operator="equal">
      <formula>2</formula>
    </cfRule>
    <cfRule type="cellIs" dxfId="300" priority="131" operator="equal">
      <formula>1</formula>
    </cfRule>
  </conditionalFormatting>
  <conditionalFormatting sqref="N29">
    <cfRule type="cellIs" dxfId="299" priority="100" operator="equal">
      <formula>16</formula>
    </cfRule>
    <cfRule type="cellIs" dxfId="298" priority="101" operator="equal">
      <formula>15</formula>
    </cfRule>
    <cfRule type="cellIs" dxfId="297" priority="102" operator="equal">
      <formula>14</formula>
    </cfRule>
    <cfRule type="cellIs" dxfId="296" priority="103" operator="equal">
      <formula>13</formula>
    </cfRule>
    <cfRule type="cellIs" dxfId="295" priority="104" operator="equal">
      <formula>12</formula>
    </cfRule>
    <cfRule type="cellIs" dxfId="294" priority="105" operator="equal">
      <formula>11</formula>
    </cfRule>
    <cfRule type="cellIs" dxfId="293" priority="106" operator="equal">
      <formula>10</formula>
    </cfRule>
    <cfRule type="cellIs" dxfId="292" priority="107" operator="equal">
      <formula>9</formula>
    </cfRule>
    <cfRule type="cellIs" dxfId="291" priority="108" operator="equal">
      <formula>8</formula>
    </cfRule>
    <cfRule type="cellIs" dxfId="290" priority="109" operator="equal">
      <formula>7</formula>
    </cfRule>
    <cfRule type="cellIs" dxfId="289" priority="110" operator="equal">
      <formula>6</formula>
    </cfRule>
    <cfRule type="cellIs" dxfId="288" priority="111" operator="equal">
      <formula>5</formula>
    </cfRule>
    <cfRule type="cellIs" dxfId="287" priority="112" operator="equal">
      <formula>4</formula>
    </cfRule>
    <cfRule type="cellIs" dxfId="286" priority="113" operator="equal">
      <formula>3</formula>
    </cfRule>
    <cfRule type="cellIs" dxfId="285" priority="114" operator="equal">
      <formula>2</formula>
    </cfRule>
    <cfRule type="cellIs" dxfId="284" priority="115" operator="equal">
      <formula>1</formula>
    </cfRule>
  </conditionalFormatting>
  <conditionalFormatting sqref="N119">
    <cfRule type="cellIs" dxfId="283" priority="84" operator="equal">
      <formula>16</formula>
    </cfRule>
    <cfRule type="cellIs" dxfId="282" priority="85" operator="equal">
      <formula>15</formula>
    </cfRule>
    <cfRule type="cellIs" dxfId="281" priority="86" operator="equal">
      <formula>14</formula>
    </cfRule>
    <cfRule type="cellIs" dxfId="280" priority="87" operator="equal">
      <formula>13</formula>
    </cfRule>
    <cfRule type="cellIs" dxfId="279" priority="88" operator="equal">
      <formula>12</formula>
    </cfRule>
    <cfRule type="cellIs" dxfId="278" priority="89" operator="equal">
      <formula>11</formula>
    </cfRule>
    <cfRule type="cellIs" dxfId="277" priority="90" operator="equal">
      <formula>10</formula>
    </cfRule>
    <cfRule type="cellIs" dxfId="276" priority="91" operator="equal">
      <formula>9</formula>
    </cfRule>
    <cfRule type="cellIs" dxfId="275" priority="92" operator="equal">
      <formula>8</formula>
    </cfRule>
    <cfRule type="cellIs" dxfId="274" priority="93" operator="equal">
      <formula>7</formula>
    </cfRule>
    <cfRule type="cellIs" dxfId="273" priority="94" operator="equal">
      <formula>6</formula>
    </cfRule>
    <cfRule type="cellIs" dxfId="272" priority="95" operator="equal">
      <formula>5</formula>
    </cfRule>
    <cfRule type="cellIs" dxfId="271" priority="96" operator="equal">
      <formula>4</formula>
    </cfRule>
    <cfRule type="cellIs" dxfId="270" priority="97" operator="equal">
      <formula>3</formula>
    </cfRule>
    <cfRule type="cellIs" dxfId="269" priority="98" operator="equal">
      <formula>2</formula>
    </cfRule>
    <cfRule type="cellIs" dxfId="268" priority="99" operator="equal">
      <formula>1</formula>
    </cfRule>
  </conditionalFormatting>
  <conditionalFormatting sqref="N27:N28">
    <cfRule type="cellIs" dxfId="267" priority="36" operator="equal">
      <formula>16</formula>
    </cfRule>
    <cfRule type="cellIs" dxfId="266" priority="37" operator="equal">
      <formula>15</formula>
    </cfRule>
    <cfRule type="cellIs" dxfId="265" priority="38" operator="equal">
      <formula>14</formula>
    </cfRule>
    <cfRule type="cellIs" dxfId="264" priority="39" operator="equal">
      <formula>13</formula>
    </cfRule>
    <cfRule type="cellIs" dxfId="263" priority="40" operator="equal">
      <formula>12</formula>
    </cfRule>
    <cfRule type="cellIs" dxfId="262" priority="41" operator="equal">
      <formula>11</formula>
    </cfRule>
    <cfRule type="cellIs" dxfId="261" priority="42" operator="equal">
      <formula>10</formula>
    </cfRule>
    <cfRule type="cellIs" dxfId="260" priority="43" operator="equal">
      <formula>9</formula>
    </cfRule>
    <cfRule type="cellIs" dxfId="259" priority="44" operator="equal">
      <formula>8</formula>
    </cfRule>
    <cfRule type="cellIs" dxfId="258" priority="45" operator="equal">
      <formula>7</formula>
    </cfRule>
    <cfRule type="cellIs" dxfId="257" priority="46" operator="equal">
      <formula>6</formula>
    </cfRule>
    <cfRule type="cellIs" dxfId="256" priority="47" operator="equal">
      <formula>5</formula>
    </cfRule>
    <cfRule type="cellIs" dxfId="255" priority="48" operator="equal">
      <formula>4</formula>
    </cfRule>
    <cfRule type="cellIs" dxfId="254" priority="49" operator="equal">
      <formula>3</formula>
    </cfRule>
    <cfRule type="cellIs" dxfId="253" priority="50" operator="equal">
      <formula>2</formula>
    </cfRule>
    <cfRule type="cellIs" dxfId="252" priority="51" operator="equal">
      <formula>1</formula>
    </cfRule>
  </conditionalFormatting>
  <conditionalFormatting sqref="R31:T31">
    <cfRule type="cellIs" dxfId="251" priority="35" operator="greaterThan">
      <formula>0</formula>
    </cfRule>
  </conditionalFormatting>
  <conditionalFormatting sqref="R32:T32">
    <cfRule type="cellIs" dxfId="250" priority="34" operator="greaterThan">
      <formula>0</formula>
    </cfRule>
  </conditionalFormatting>
  <conditionalFormatting sqref="R30:T30">
    <cfRule type="cellIs" dxfId="249" priority="33" operator="greaterThan">
      <formula>0</formula>
    </cfRule>
  </conditionalFormatting>
  <conditionalFormatting sqref="N91:N104">
    <cfRule type="cellIs" dxfId="248" priority="17" operator="equal">
      <formula>16</formula>
    </cfRule>
    <cfRule type="cellIs" dxfId="247" priority="18" operator="equal">
      <formula>15</formula>
    </cfRule>
    <cfRule type="cellIs" dxfId="246" priority="19" operator="equal">
      <formula>14</formula>
    </cfRule>
    <cfRule type="cellIs" dxfId="245" priority="20" operator="equal">
      <formula>13</formula>
    </cfRule>
    <cfRule type="cellIs" dxfId="244" priority="21" operator="equal">
      <formula>12</formula>
    </cfRule>
    <cfRule type="cellIs" dxfId="243" priority="22" operator="equal">
      <formula>11</formula>
    </cfRule>
    <cfRule type="cellIs" dxfId="242" priority="23" operator="equal">
      <formula>10</formula>
    </cfRule>
    <cfRule type="cellIs" dxfId="241" priority="24" operator="equal">
      <formula>9</formula>
    </cfRule>
    <cfRule type="cellIs" dxfId="240" priority="25" operator="equal">
      <formula>8</formula>
    </cfRule>
    <cfRule type="cellIs" dxfId="239" priority="26" operator="equal">
      <formula>7</formula>
    </cfRule>
    <cfRule type="cellIs" dxfId="238" priority="27" operator="equal">
      <formula>6</formula>
    </cfRule>
    <cfRule type="cellIs" dxfId="237" priority="28" operator="equal">
      <formula>5</formula>
    </cfRule>
    <cfRule type="cellIs" dxfId="236" priority="29" operator="equal">
      <formula>4</formula>
    </cfRule>
    <cfRule type="cellIs" dxfId="235" priority="30" operator="equal">
      <formula>3</formula>
    </cfRule>
    <cfRule type="cellIs" dxfId="234" priority="31" operator="equal">
      <formula>2</formula>
    </cfRule>
    <cfRule type="cellIs" dxfId="233" priority="32" operator="equal">
      <formula>1</formula>
    </cfRule>
  </conditionalFormatting>
  <conditionalFormatting sqref="N105:N118">
    <cfRule type="cellIs" dxfId="232" priority="1" operator="equal">
      <formula>16</formula>
    </cfRule>
    <cfRule type="cellIs" dxfId="231" priority="2" operator="equal">
      <formula>15</formula>
    </cfRule>
    <cfRule type="cellIs" dxfId="230" priority="3" operator="equal">
      <formula>14</formula>
    </cfRule>
    <cfRule type="cellIs" dxfId="229" priority="4" operator="equal">
      <formula>13</formula>
    </cfRule>
    <cfRule type="cellIs" dxfId="228" priority="5" operator="equal">
      <formula>12</formula>
    </cfRule>
    <cfRule type="cellIs" dxfId="227" priority="6" operator="equal">
      <formula>11</formula>
    </cfRule>
    <cfRule type="cellIs" dxfId="226" priority="7" operator="equal">
      <formula>10</formula>
    </cfRule>
    <cfRule type="cellIs" dxfId="225" priority="8" operator="equal">
      <formula>9</formula>
    </cfRule>
    <cfRule type="cellIs" dxfId="224" priority="9" operator="equal">
      <formula>8</formula>
    </cfRule>
    <cfRule type="cellIs" dxfId="223" priority="10" operator="equal">
      <formula>7</formula>
    </cfRule>
    <cfRule type="cellIs" dxfId="222" priority="11" operator="equal">
      <formula>6</formula>
    </cfRule>
    <cfRule type="cellIs" dxfId="221" priority="12" operator="equal">
      <formula>5</formula>
    </cfRule>
    <cfRule type="cellIs" dxfId="220" priority="13" operator="equal">
      <formula>4</formula>
    </cfRule>
    <cfRule type="cellIs" dxfId="219" priority="14" operator="equal">
      <formula>3</formula>
    </cfRule>
    <cfRule type="cellIs" dxfId="218" priority="15" operator="equal">
      <formula>2</formula>
    </cfRule>
    <cfRule type="cellIs" dxfId="21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G7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97</v>
      </c>
      <c r="AA1" s="264"/>
      <c r="AB1" s="263" t="s">
        <v>98</v>
      </c>
      <c r="AC1" s="264"/>
      <c r="AD1" s="263" t="s">
        <v>99</v>
      </c>
      <c r="AE1" s="264"/>
      <c r="AF1" s="263" t="s">
        <v>100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101</v>
      </c>
      <c r="AA2" s="265"/>
      <c r="AB2" s="261" t="s">
        <v>102</v>
      </c>
      <c r="AC2" s="265"/>
      <c r="AD2" s="261" t="s">
        <v>103</v>
      </c>
      <c r="AE2" s="265"/>
      <c r="AF2" s="261" t="s">
        <v>104</v>
      </c>
      <c r="AG2" s="265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8047.5</v>
      </c>
      <c r="T13" s="222">
        <f>IF($B$81=0,0,(SUMIF($N$6:$N$28,$U13,M$6:M$28)+SUMIF($N$91:$N$118,$U13,M$91:M$118))*$I$83*temporary!$B$81/$B$81)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4248</v>
      </c>
      <c r="T14" s="222">
        <f>IF($B$81=0,0,(SUMIF($N$6:$N$28,$U14,M$6:M$28)+SUMIF($N$91:$N$118,$U14,M$91:M$118))*$I$83*temporary!$B$81/$B$81)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56"/>
      <c r="O23" s="2"/>
      <c r="P23" s="22"/>
      <c r="Q23" s="171" t="s">
        <v>92</v>
      </c>
      <c r="R23" s="179">
        <f>SUM(R7:R22)</f>
        <v>50049.92720280456</v>
      </c>
      <c r="S23" s="179">
        <f>SUM(S7:S22)</f>
        <v>20849.776117780686</v>
      </c>
      <c r="T23" s="179">
        <f>SUM(T7:T22)</f>
        <v>20849.776117780686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0.34203043951741574</v>
      </c>
      <c r="J30" s="231">
        <f>IF(I$32&lt;=1,I30,1-SUM(J6:J29))</f>
        <v>0.34203043951741574</v>
      </c>
      <c r="K30" s="22">
        <f t="shared" si="4"/>
        <v>0.64832311232876716</v>
      </c>
      <c r="L30" s="22">
        <f>IF(L124=L119,0,IF(K30="",0,(L119-L124)/(B119-B124)*K30))</f>
        <v>0.10671019944782043</v>
      </c>
      <c r="M30" s="175">
        <f t="shared" si="6"/>
        <v>0.34203043951741574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6181.8008158016128</v>
      </c>
      <c r="T30" s="234">
        <f t="shared" si="50"/>
        <v>6181.8008158016128</v>
      </c>
      <c r="V30" s="56"/>
      <c r="W30" s="110"/>
      <c r="X30" s="118"/>
      <c r="Y30" s="183">
        <f>M30*4</f>
        <v>1.368121758069663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0.34404707225487285</v>
      </c>
      <c r="K31" s="22" t="str">
        <f t="shared" si="4"/>
        <v/>
      </c>
      <c r="L31" s="22">
        <f>(1-SUM(L6:L30))</f>
        <v>0.43273320918053748</v>
      </c>
      <c r="M31" s="178">
        <f t="shared" si="6"/>
        <v>0.34404707225487285</v>
      </c>
      <c r="N31" s="167">
        <f>M31*I83</f>
        <v>6181.8008158016128</v>
      </c>
      <c r="P31" s="22"/>
      <c r="Q31" s="238" t="s">
        <v>134</v>
      </c>
      <c r="R31" s="234">
        <f t="shared" si="50"/>
        <v>0</v>
      </c>
      <c r="S31" s="234">
        <f t="shared" si="50"/>
        <v>15373.21414913495</v>
      </c>
      <c r="T31" s="234">
        <f>IF(T25&gt;T$23,T25-T$23,0)</f>
        <v>15373.21414913495</v>
      </c>
      <c r="V31" s="56"/>
      <c r="W31" s="129" t="s">
        <v>84</v>
      </c>
      <c r="X31" s="130"/>
      <c r="Y31" s="121">
        <f>M31*4</f>
        <v>1.3761882890194914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0.65595292774512715</v>
      </c>
      <c r="J32" s="17"/>
      <c r="L32" s="22">
        <f>SUM(L6:L30)</f>
        <v>0.56726679081946252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31742.174149134949</v>
      </c>
      <c r="T32" s="234">
        <f t="shared" si="50"/>
        <v>31742.174149134949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6.8276520059218582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33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0.16882386043894204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19245.5</v>
      </c>
      <c r="J65" s="39">
        <f>SUM(J37:J64)</f>
        <v>19245.5</v>
      </c>
      <c r="K65" s="40">
        <f>SUM(K37:K64)</f>
        <v>0.99999999999999989</v>
      </c>
      <c r="L65" s="22">
        <f>SUM(L37:L64)</f>
        <v>0.60168511223660348</v>
      </c>
      <c r="M65" s="24">
        <f>SUM(M37:M64)</f>
        <v>0.60168511223660348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6145.5661755243964</v>
      </c>
      <c r="J71" s="51">
        <f t="shared" si="75"/>
        <v>6145.5661755243964</v>
      </c>
      <c r="K71" s="40">
        <f t="shared" ref="K71:K72" si="78">B71/B$76</f>
        <v>0.24352320807019739</v>
      </c>
      <c r="L71" s="22">
        <f t="shared" si="76"/>
        <v>0.19213300117315063</v>
      </c>
      <c r="M71" s="24">
        <f t="shared" ref="M71:M72" si="79">J71/B$76</f>
        <v>0.19213300117315063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6145.5661755243964</v>
      </c>
      <c r="J74" s="51">
        <f t="shared" si="75"/>
        <v>6145.5661755243964</v>
      </c>
      <c r="K74" s="40">
        <f>B74/B$76</f>
        <v>0.22072156568498716</v>
      </c>
      <c r="L74" s="22">
        <f t="shared" si="76"/>
        <v>5.9943643918427499E-2</v>
      </c>
      <c r="M74" s="24">
        <f>J74/B$76</f>
        <v>0.19213300117315063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19245.500000000004</v>
      </c>
      <c r="J76" s="51">
        <f t="shared" si="75"/>
        <v>19245.500000000004</v>
      </c>
      <c r="K76" s="40">
        <f>SUM(K70:K75)</f>
        <v>1.2727264716514877</v>
      </c>
      <c r="L76" s="22">
        <f>SUM(L70:L75)</f>
        <v>0.66162875615503114</v>
      </c>
      <c r="M76" s="24">
        <f>SUM(M70:M75)</f>
        <v>0.79381811340975417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9191.4133333333339</v>
      </c>
      <c r="K77" s="40"/>
      <c r="L77" s="22">
        <f>-(L131*G$37*F$9/F$7)/B$130</f>
        <v>-0.28735738552283291</v>
      </c>
      <c r="M77" s="24">
        <f>-J77/B$76</f>
        <v>-0.28735738552283291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0.49588453350925538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1.0711050268970119</v>
      </c>
      <c r="J119" s="24">
        <f>SUM(J91:J118)</f>
        <v>1.0711050268970119</v>
      </c>
      <c r="K119" s="22">
        <f>SUM(K91:K118)</f>
        <v>2.9372893868198227</v>
      </c>
      <c r="L119" s="22">
        <f>SUM(L91:L118)</f>
        <v>1.0711050268970119</v>
      </c>
      <c r="M119" s="57">
        <f t="shared" si="80"/>
        <v>1.0711050268970119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0.34203043951741574</v>
      </c>
      <c r="J125" s="237">
        <f>IF(SUMPRODUCT($B$124:$B125,$H$124:$H125)&lt;J$119,($B125*$H125),IF(SUMPRODUCT($B$124:$B124,$H$124:$H124)&lt;J$119,J$119-SUMPRODUCT($B$124:$B124,$H$124:$H124),0))</f>
        <v>0.34203043951741574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0.34203043951741574</v>
      </c>
      <c r="M125" s="240">
        <f t="shared" si="93"/>
        <v>0.34203043951741574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0.34203043951741574</v>
      </c>
      <c r="J128" s="228">
        <f>(J30)</f>
        <v>0.34203043951741574</v>
      </c>
      <c r="K128" s="29">
        <f>(B128)</f>
        <v>0.64832311232876716</v>
      </c>
      <c r="L128" s="29">
        <f>IF(L124=L119,0,(L119-L124)/(B119-B124)*K128)</f>
        <v>0.10671019944782043</v>
      </c>
      <c r="M128" s="240">
        <f t="shared" si="93"/>
        <v>0.34203043951741574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1.0711050268970119</v>
      </c>
      <c r="J130" s="228">
        <f>(J119)</f>
        <v>1.0711050268970119</v>
      </c>
      <c r="K130" s="29">
        <f>(B130)</f>
        <v>2.9372893868198227</v>
      </c>
      <c r="L130" s="29">
        <f>(L119)</f>
        <v>1.0711050268970119</v>
      </c>
      <c r="M130" s="240">
        <f t="shared" si="93"/>
        <v>1.0711050268970119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16" priority="100" operator="equal">
      <formula>16</formula>
    </cfRule>
    <cfRule type="cellIs" dxfId="215" priority="101" operator="equal">
      <formula>15</formula>
    </cfRule>
    <cfRule type="cellIs" dxfId="214" priority="102" operator="equal">
      <formula>14</formula>
    </cfRule>
    <cfRule type="cellIs" dxfId="213" priority="103" operator="equal">
      <formula>13</formula>
    </cfRule>
    <cfRule type="cellIs" dxfId="212" priority="104" operator="equal">
      <formula>12</formula>
    </cfRule>
    <cfRule type="cellIs" dxfId="211" priority="105" operator="equal">
      <formula>11</formula>
    </cfRule>
    <cfRule type="cellIs" dxfId="210" priority="106" operator="equal">
      <formula>10</formula>
    </cfRule>
    <cfRule type="cellIs" dxfId="209" priority="107" operator="equal">
      <formula>9</formula>
    </cfRule>
    <cfRule type="cellIs" dxfId="208" priority="108" operator="equal">
      <formula>8</formula>
    </cfRule>
    <cfRule type="cellIs" dxfId="207" priority="109" operator="equal">
      <formula>7</formula>
    </cfRule>
    <cfRule type="cellIs" dxfId="206" priority="110" operator="equal">
      <formula>6</formula>
    </cfRule>
    <cfRule type="cellIs" dxfId="205" priority="111" operator="equal">
      <formula>5</formula>
    </cfRule>
    <cfRule type="cellIs" dxfId="204" priority="112" operator="equal">
      <formula>4</formula>
    </cfRule>
    <cfRule type="cellIs" dxfId="203" priority="113" operator="equal">
      <formula>3</formula>
    </cfRule>
    <cfRule type="cellIs" dxfId="202" priority="114" operator="equal">
      <formula>2</formula>
    </cfRule>
    <cfRule type="cellIs" dxfId="201" priority="115" operator="equal">
      <formula>1</formula>
    </cfRule>
  </conditionalFormatting>
  <conditionalFormatting sqref="R31:T31">
    <cfRule type="cellIs" dxfId="200" priority="35" operator="greaterThan">
      <formula>0</formula>
    </cfRule>
  </conditionalFormatting>
  <conditionalFormatting sqref="R32:T32">
    <cfRule type="cellIs" dxfId="199" priority="34" operator="greaterThan">
      <formula>0</formula>
    </cfRule>
  </conditionalFormatting>
  <conditionalFormatting sqref="R30:T30">
    <cfRule type="cellIs" dxfId="198" priority="33" operator="greaterThan">
      <formula>0</formula>
    </cfRule>
  </conditionalFormatting>
  <conditionalFormatting sqref="N91:N104">
    <cfRule type="cellIs" dxfId="197" priority="17" operator="equal">
      <formula>16</formula>
    </cfRule>
    <cfRule type="cellIs" dxfId="196" priority="18" operator="equal">
      <formula>15</formula>
    </cfRule>
    <cfRule type="cellIs" dxfId="195" priority="19" operator="equal">
      <formula>14</formula>
    </cfRule>
    <cfRule type="cellIs" dxfId="194" priority="20" operator="equal">
      <formula>13</formula>
    </cfRule>
    <cfRule type="cellIs" dxfId="193" priority="21" operator="equal">
      <formula>12</formula>
    </cfRule>
    <cfRule type="cellIs" dxfId="192" priority="22" operator="equal">
      <formula>11</formula>
    </cfRule>
    <cfRule type="cellIs" dxfId="191" priority="23" operator="equal">
      <formula>10</formula>
    </cfRule>
    <cfRule type="cellIs" dxfId="190" priority="24" operator="equal">
      <formula>9</formula>
    </cfRule>
    <cfRule type="cellIs" dxfId="189" priority="25" operator="equal">
      <formula>8</formula>
    </cfRule>
    <cfRule type="cellIs" dxfId="188" priority="26" operator="equal">
      <formula>7</formula>
    </cfRule>
    <cfRule type="cellIs" dxfId="187" priority="27" operator="equal">
      <formula>6</formula>
    </cfRule>
    <cfRule type="cellIs" dxfId="186" priority="28" operator="equal">
      <formula>5</formula>
    </cfRule>
    <cfRule type="cellIs" dxfId="185" priority="29" operator="equal">
      <formula>4</formula>
    </cfRule>
    <cfRule type="cellIs" dxfId="184" priority="30" operator="equal">
      <formula>3</formula>
    </cfRule>
    <cfRule type="cellIs" dxfId="183" priority="31" operator="equal">
      <formula>2</formula>
    </cfRule>
    <cfRule type="cellIs" dxfId="182" priority="32" operator="equal">
      <formula>1</formula>
    </cfRule>
  </conditionalFormatting>
  <conditionalFormatting sqref="N105:N118">
    <cfRule type="cellIs" dxfId="181" priority="1" operator="equal">
      <formula>16</formula>
    </cfRule>
    <cfRule type="cellIs" dxfId="180" priority="2" operator="equal">
      <formula>15</formula>
    </cfRule>
    <cfRule type="cellIs" dxfId="179" priority="3" operator="equal">
      <formula>14</formula>
    </cfRule>
    <cfRule type="cellIs" dxfId="178" priority="4" operator="equal">
      <formula>13</formula>
    </cfRule>
    <cfRule type="cellIs" dxfId="177" priority="5" operator="equal">
      <formula>12</formula>
    </cfRule>
    <cfRule type="cellIs" dxfId="176" priority="6" operator="equal">
      <formula>11</formula>
    </cfRule>
    <cfRule type="cellIs" dxfId="175" priority="7" operator="equal">
      <formula>10</formula>
    </cfRule>
    <cfRule type="cellIs" dxfId="174" priority="8" operator="equal">
      <formula>9</formula>
    </cfRule>
    <cfRule type="cellIs" dxfId="173" priority="9" operator="equal">
      <formula>8</formula>
    </cfRule>
    <cfRule type="cellIs" dxfId="172" priority="10" operator="equal">
      <formula>7</formula>
    </cfRule>
    <cfRule type="cellIs" dxfId="171" priority="11" operator="equal">
      <formula>6</formula>
    </cfRule>
    <cfRule type="cellIs" dxfId="170" priority="12" operator="equal">
      <formula>5</formula>
    </cfRule>
    <cfRule type="cellIs" dxfId="169" priority="13" operator="equal">
      <formula>4</formula>
    </cfRule>
    <cfRule type="cellIs" dxfId="168" priority="14" operator="equal">
      <formula>3</formula>
    </cfRule>
    <cfRule type="cellIs" dxfId="167" priority="15" operator="equal">
      <formula>2</formula>
    </cfRule>
    <cfRule type="cellIs" dxfId="16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E19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21239.999999999996</v>
      </c>
      <c r="T14" s="222">
        <f>IF($B$81=0,0,(SUMIF($N$6:$N$28,$U14,M$6:M$28)+SUMIF($N$91:$N$118,$U14,M$91:M$118))*$I$83*temporary!$B$81/$B$81)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temporary!Z27</f>
        <v>0.25</v>
      </c>
      <c r="AA27" s="121">
        <f t="shared" si="16"/>
        <v>2.1734050468759772E-2</v>
      </c>
      <c r="AB27" s="156">
        <f>temporary!AB27</f>
        <v>0.25</v>
      </c>
      <c r="AC27" s="121">
        <f t="shared" si="7"/>
        <v>2.1734050468759772E-2</v>
      </c>
      <c r="AD27" s="156">
        <f>temporary!AD27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temporary!Z29</f>
        <v>0.25</v>
      </c>
      <c r="AA29" s="121">
        <f t="shared" si="16"/>
        <v>0.35541370538202427</v>
      </c>
      <c r="AB29" s="156">
        <f>temporary!AB29</f>
        <v>0.25</v>
      </c>
      <c r="AC29" s="121">
        <f t="shared" si="7"/>
        <v>0.35541370538202427</v>
      </c>
      <c r="AD29" s="156">
        <f>temporary!AD29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0.5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0.5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0.5</v>
      </c>
      <c r="F39" s="75">
        <f>temporary!F39</f>
        <v>1.1100000000000001</v>
      </c>
      <c r="G39" s="75">
        <f>temporary!G39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0.6</v>
      </c>
      <c r="F40" s="75">
        <f>temporary!F40</f>
        <v>1.18</v>
      </c>
      <c r="G40" s="75">
        <f>temporary!G40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0.8</v>
      </c>
      <c r="F41" s="75">
        <f>temporary!F41</f>
        <v>1.18</v>
      </c>
      <c r="G41" s="75">
        <f>temporary!G41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40"/>
        <v>8142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0</v>
      </c>
      <c r="AB44" s="156">
        <f>temporary!AB44</f>
        <v>0.25</v>
      </c>
      <c r="AC44" s="147">
        <f t="shared" si="41"/>
        <v>0</v>
      </c>
      <c r="AD44" s="156">
        <f>temporary!AD44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9">
    <cfRule type="cellIs" dxfId="149" priority="132" operator="equal">
      <formula>16</formula>
    </cfRule>
    <cfRule type="cellIs" dxfId="148" priority="133" operator="equal">
      <formula>15</formula>
    </cfRule>
    <cfRule type="cellIs" dxfId="147" priority="134" operator="equal">
      <formula>14</formula>
    </cfRule>
    <cfRule type="cellIs" dxfId="146" priority="135" operator="equal">
      <formula>13</formula>
    </cfRule>
    <cfRule type="cellIs" dxfId="145" priority="136" operator="equal">
      <formula>12</formula>
    </cfRule>
    <cfRule type="cellIs" dxfId="144" priority="137" operator="equal">
      <formula>11</formula>
    </cfRule>
    <cfRule type="cellIs" dxfId="143" priority="138" operator="equal">
      <formula>10</formula>
    </cfRule>
    <cfRule type="cellIs" dxfId="142" priority="139" operator="equal">
      <formula>9</formula>
    </cfRule>
    <cfRule type="cellIs" dxfId="141" priority="140" operator="equal">
      <formula>8</formula>
    </cfRule>
    <cfRule type="cellIs" dxfId="140" priority="141" operator="equal">
      <formula>7</formula>
    </cfRule>
    <cfRule type="cellIs" dxfId="139" priority="142" operator="equal">
      <formula>6</formula>
    </cfRule>
    <cfRule type="cellIs" dxfId="138" priority="143" operator="equal">
      <formula>5</formula>
    </cfRule>
    <cfRule type="cellIs" dxfId="137" priority="144" operator="equal">
      <formula>4</formula>
    </cfRule>
    <cfRule type="cellIs" dxfId="136" priority="145" operator="equal">
      <formula>3</formula>
    </cfRule>
    <cfRule type="cellIs" dxfId="135" priority="146" operator="equal">
      <formula>2</formula>
    </cfRule>
    <cfRule type="cellIs" dxfId="134" priority="147" operator="equal">
      <formula>1</formula>
    </cfRule>
  </conditionalFormatting>
  <conditionalFormatting sqref="N27:N28">
    <cfRule type="cellIs" dxfId="133" priority="68" operator="equal">
      <formula>16</formula>
    </cfRule>
    <cfRule type="cellIs" dxfId="132" priority="69" operator="equal">
      <formula>15</formula>
    </cfRule>
    <cfRule type="cellIs" dxfId="131" priority="70" operator="equal">
      <formula>14</formula>
    </cfRule>
    <cfRule type="cellIs" dxfId="130" priority="71" operator="equal">
      <formula>13</formula>
    </cfRule>
    <cfRule type="cellIs" dxfId="129" priority="72" operator="equal">
      <formula>12</formula>
    </cfRule>
    <cfRule type="cellIs" dxfId="128" priority="73" operator="equal">
      <formula>11</formula>
    </cfRule>
    <cfRule type="cellIs" dxfId="127" priority="74" operator="equal">
      <formula>10</formula>
    </cfRule>
    <cfRule type="cellIs" dxfId="126" priority="75" operator="equal">
      <formula>9</formula>
    </cfRule>
    <cfRule type="cellIs" dxfId="125" priority="76" operator="equal">
      <formula>8</formula>
    </cfRule>
    <cfRule type="cellIs" dxfId="124" priority="77" operator="equal">
      <formula>7</formula>
    </cfRule>
    <cfRule type="cellIs" dxfId="123" priority="78" operator="equal">
      <formula>6</formula>
    </cfRule>
    <cfRule type="cellIs" dxfId="122" priority="79" operator="equal">
      <formula>5</formula>
    </cfRule>
    <cfRule type="cellIs" dxfId="121" priority="80" operator="equal">
      <formula>4</formula>
    </cfRule>
    <cfRule type="cellIs" dxfId="120" priority="81" operator="equal">
      <formula>3</formula>
    </cfRule>
    <cfRule type="cellIs" dxfId="119" priority="82" operator="equal">
      <formula>2</formula>
    </cfRule>
    <cfRule type="cellIs" dxfId="118" priority="83" operator="equal">
      <formula>1</formula>
    </cfRule>
  </conditionalFormatting>
  <conditionalFormatting sqref="R31:T31">
    <cfRule type="cellIs" dxfId="117" priority="35" operator="greaterThan">
      <formula>0</formula>
    </cfRule>
  </conditionalFormatting>
  <conditionalFormatting sqref="R32:T32">
    <cfRule type="cellIs" dxfId="116" priority="34" operator="greaterThan">
      <formula>0</formula>
    </cfRule>
  </conditionalFormatting>
  <conditionalFormatting sqref="R30:T30">
    <cfRule type="cellIs" dxfId="115" priority="33" operator="greaterThan">
      <formula>0</formula>
    </cfRule>
  </conditionalFormatting>
  <conditionalFormatting sqref="N91:N104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105:N118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 t="shared" si="7"/>
        <v>0.22463677394199713</v>
      </c>
      <c r="AD29" s="156">
        <f>temporary!AD29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0.5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0.5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0.5</v>
      </c>
      <c r="F39" s="75">
        <f>'Full-time'!F39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0.6</v>
      </c>
      <c r="F40" s="75">
        <f>'Full-time'!F40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0.8</v>
      </c>
      <c r="F41" s="75">
        <f>'Full-time'!F41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0</v>
      </c>
      <c r="F43" s="75">
        <f>'Full-time'!F43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27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7" t="str">
        <f>temporary!A1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casuals!A3</f>
        <v>Sources of Food : Very Poor HHs</v>
      </c>
      <c r="C3" s="269"/>
      <c r="D3" s="269"/>
      <c r="E3" s="269"/>
      <c r="F3" s="245"/>
      <c r="G3" s="266" t="str">
        <f>temporary!A3</f>
        <v>Sources of Food : Poor HHs</v>
      </c>
      <c r="H3" s="266"/>
      <c r="I3" s="266"/>
      <c r="J3" s="266"/>
      <c r="K3" s="246"/>
      <c r="L3" s="266" t="str">
        <f>'Full-time'!A3</f>
        <v>Sources of Food : Middle HHs</v>
      </c>
      <c r="M3" s="266"/>
      <c r="N3" s="266"/>
      <c r="O3" s="266"/>
      <c r="P3" s="266"/>
      <c r="Q3" s="247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5" workbookViewId="0">
      <selection activeCell="I71" sqref="I7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temporary!A1</f>
        <v>ZAFW: 59050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casuals!A34</f>
        <v>Income : Very Poor HHs</v>
      </c>
      <c r="D3" s="272"/>
      <c r="E3" s="272"/>
      <c r="F3" s="90"/>
      <c r="G3" s="270" t="str">
        <f>temporary!A34</f>
        <v>Income : Poor HHs</v>
      </c>
      <c r="H3" s="270"/>
      <c r="I3" s="270"/>
      <c r="J3" s="270"/>
      <c r="K3" s="89"/>
      <c r="L3" s="270" t="str">
        <f>'Full-time'!A34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8" t="s">
        <v>137</v>
      </c>
      <c r="C71" s="258" t="s">
        <v>138</v>
      </c>
      <c r="D71" s="258" t="s">
        <v>139</v>
      </c>
      <c r="E71" s="170"/>
      <c r="F71" s="258" t="s">
        <v>140</v>
      </c>
      <c r="G71" s="258" t="s">
        <v>141</v>
      </c>
      <c r="H71" s="258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5899.65</v>
      </c>
      <c r="G78" s="109">
        <f>temporary!T13</f>
        <v>8047.5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2973.5999999999995</v>
      </c>
      <c r="G79" s="109">
        <f>temporary!T14</f>
        <v>4248</v>
      </c>
      <c r="H79" s="109">
        <f>'Full-time'!T14</f>
        <v>21239.999999999996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5097.6000000000004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0</v>
      </c>
      <c r="G85" s="109">
        <f>temporary!T20</f>
        <v>0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16861.126117780685</v>
      </c>
      <c r="G88" s="109">
        <f>temporary!T23</f>
        <v>20849.776117780686</v>
      </c>
      <c r="H88" s="109">
        <f>'Full-time'!T23</f>
        <v>53808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10170.450815801614</v>
      </c>
      <c r="G98" s="239">
        <f t="shared" si="0"/>
        <v>6181.8008158016128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19361.864149134944</v>
      </c>
      <c r="G99" s="239">
        <f t="shared" si="0"/>
        <v>15373.21414913495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35730.824149134947</v>
      </c>
      <c r="G100" s="239">
        <f t="shared" si="0"/>
        <v>31742.174149134949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7" t="str">
        <f>temporary!A1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casuals!A67</f>
        <v>Expenditure : Very Poor HHs</v>
      </c>
      <c r="C3" s="268"/>
      <c r="D3" s="268"/>
      <c r="E3" s="268"/>
      <c r="F3" s="250"/>
      <c r="G3" s="266" t="str">
        <f>temporary!A67</f>
        <v>Expenditure : Poor HHs</v>
      </c>
      <c r="H3" s="266"/>
      <c r="I3" s="266"/>
      <c r="J3" s="266"/>
      <c r="K3" s="246"/>
      <c r="L3" s="266" t="str">
        <f>'Full-time'!A67</f>
        <v>Expenditure : Middle HHs</v>
      </c>
      <c r="M3" s="266"/>
      <c r="N3" s="266"/>
      <c r="O3" s="266"/>
      <c r="P3" s="266"/>
      <c r="Q3" s="247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2016-08-10T11:26:46Z</dcterms:modified>
  <cp:category/>
</cp:coreProperties>
</file>