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8800" windowHeight="169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E21" i="12"/>
  <c r="H21" i="12"/>
  <c r="I21" i="12"/>
  <c r="D22" i="12"/>
  <c r="I22" i="12"/>
  <c r="D23" i="12"/>
  <c r="E23" i="12"/>
  <c r="H23" i="12"/>
  <c r="I23" i="12"/>
  <c r="D24" i="12"/>
  <c r="E24" i="12"/>
  <c r="H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E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E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E18" i="7"/>
  <c r="H18" i="7"/>
  <c r="I18" i="7"/>
  <c r="D19" i="7"/>
  <c r="E19" i="7"/>
  <c r="H19" i="7"/>
  <c r="I19" i="7"/>
  <c r="D20" i="7"/>
  <c r="E20" i="7"/>
  <c r="H20" i="7"/>
  <c r="I20" i="7"/>
  <c r="D21" i="7"/>
  <c r="E21" i="7"/>
  <c r="H21" i="7"/>
  <c r="I21" i="7"/>
  <c r="D22" i="7"/>
  <c r="I22" i="7"/>
  <c r="D23" i="7"/>
  <c r="E23" i="7"/>
  <c r="H23" i="7"/>
  <c r="I23" i="7"/>
  <c r="D24" i="7"/>
  <c r="E24" i="7"/>
  <c r="H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E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E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E55" i="8"/>
  <c r="H109" i="8"/>
  <c r="L109" i="8"/>
  <c r="G56" i="8"/>
  <c r="F56" i="8"/>
  <c r="E56" i="8"/>
  <c r="H110" i="8"/>
  <c r="L110" i="8"/>
  <c r="G57" i="8"/>
  <c r="F57" i="8"/>
  <c r="E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E18" i="8"/>
  <c r="H18" i="8"/>
  <c r="I18" i="8"/>
  <c r="D19" i="8"/>
  <c r="E19" i="8"/>
  <c r="H19" i="8"/>
  <c r="I19" i="8"/>
  <c r="D20" i="8"/>
  <c r="E20" i="8"/>
  <c r="H20" i="8"/>
  <c r="I20" i="8"/>
  <c r="D21" i="8"/>
  <c r="E21" i="8"/>
  <c r="H21" i="8"/>
  <c r="I21" i="8"/>
  <c r="D22" i="8"/>
  <c r="I22" i="8"/>
  <c r="D23" i="8"/>
  <c r="E23" i="8"/>
  <c r="H23" i="8"/>
  <c r="I23" i="8"/>
  <c r="D24" i="8"/>
  <c r="E24" i="8"/>
  <c r="H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F59" i="12"/>
  <c r="E61" i="12"/>
  <c r="E62" i="12"/>
  <c r="E63" i="12"/>
  <c r="F63" i="12"/>
  <c r="E64" i="12"/>
  <c r="E30" i="12"/>
  <c r="E22" i="12"/>
  <c r="H22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F59" i="7"/>
  <c r="E61" i="7"/>
  <c r="E62" i="7"/>
  <c r="E63" i="7"/>
  <c r="F63" i="7"/>
  <c r="E64" i="7"/>
  <c r="E30" i="7"/>
  <c r="E22" i="7"/>
  <c r="H22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F59" i="8"/>
  <c r="E61" i="8"/>
  <c r="E62" i="8"/>
  <c r="E63" i="8"/>
  <c r="F63" i="8"/>
  <c r="E64" i="8"/>
  <c r="E30" i="8"/>
  <c r="E22" i="8"/>
  <c r="H22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<sst xmlns="http://schemas.openxmlformats.org/spreadsheetml/2006/main" count="849" uniqueCount="195">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</sst>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0.00638191183063512</c:v>
                </c:pt>
                <c:pt idx="2" formatCode="0.0%">
                  <c:v>0.00638191183063512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0.00203790869951966</c:v>
                </c:pt>
                <c:pt idx="2" formatCode="0.0%">
                  <c:v>0.00203790869951966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0.0036051521637609</c:v>
                </c:pt>
                <c:pt idx="2" formatCode="0.0%">
                  <c:v>0.0036051521637609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0.00492857142857143</c:v>
                </c:pt>
                <c:pt idx="2" formatCode="0.0%">
                  <c:v>0.00492857142857143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0.0325892912671233</c:v>
                </c:pt>
                <c:pt idx="2" formatCode="0.0%">
                  <c:v>0.0325892912671233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0.00877024908023483</c:v>
                </c:pt>
                <c:pt idx="2" formatCode="0.0%">
                  <c:v>0.00877024908023483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0.00166707955879737</c:v>
                </c:pt>
                <c:pt idx="2" formatCode="0.0%">
                  <c:v>0.00178816418341932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0.000543849817648105</c:v>
                </c:pt>
                <c:pt idx="2" formatCode="0.0%">
                  <c:v>0.000593276965842377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0.00113964721935599</c:v>
                </c:pt>
                <c:pt idx="2" formatCode="0.0%">
                  <c:v>0.00125835385518591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0.00168004037537805</c:v>
                </c:pt>
                <c:pt idx="2" formatCode="0.0%">
                  <c:v>0.00168004037537805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0.000872249492972781</c:v>
                </c:pt>
                <c:pt idx="2" formatCode="0.0%">
                  <c:v>0.000879656071832054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0.00489578420209927</c:v>
                </c:pt>
                <c:pt idx="2" formatCode="0.0%">
                  <c:v>0.00907696949328325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0.0015405974025974</c:v>
                </c:pt>
                <c:pt idx="2" formatCode="0.0%">
                  <c:v>0.0015405974025974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0.000982600604874577</c:v>
                </c:pt>
                <c:pt idx="2" formatCode="0.0%">
                  <c:v>0.0010014311703226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0.00613315601464928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0.00405570645792563</c:v>
                </c:pt>
                <c:pt idx="2" formatCode="0.0%">
                  <c:v>0.00405570645792563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0.00675951076320939</c:v>
                </c:pt>
                <c:pt idx="2" formatCode="0.0%">
                  <c:v>0.00675951076320939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0.279072045101483</c:v>
                </c:pt>
                <c:pt idx="2" formatCode="0.0%">
                  <c:v>0.569143825096391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3978648"/>
        <c:axId val="2147096040"/>
      </c:barChart>
      <c:catAx>
        <c:axId val="-212397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09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09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397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0.00146623733662677</c:v>
                </c:pt>
                <c:pt idx="2">
                  <c:v>0.00173045731674943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0.000566334171272092</c:v>
                </c:pt>
                <c:pt idx="2">
                  <c:v>0.000566334171272092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0.0540675017881123</c:v>
                </c:pt>
                <c:pt idx="2">
                  <c:v>0.048948239673236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0.00160369708693553</c:v>
                </c:pt>
                <c:pt idx="2">
                  <c:v>0.00185140331830052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0.0128937245789617</c:v>
                </c:pt>
                <c:pt idx="2">
                  <c:v>0.0123140919975676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0.00146623733662677</c:v>
                </c:pt>
                <c:pt idx="2">
                  <c:v>0.00146623733662677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0.00575504367496079</c:v>
                </c:pt>
                <c:pt idx="2">
                  <c:v>0.00368089443947424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0.000325523327341355</c:v>
                </c:pt>
                <c:pt idx="2">
                  <c:v>0.000208202938709776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0.00116553442521688</c:v>
                </c:pt>
                <c:pt idx="2">
                  <c:v>0.00146921946592988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0.000173960361972668</c:v>
                </c:pt>
                <c:pt idx="2">
                  <c:v>0.000173960361972668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0.000265289552008319</c:v>
                </c:pt>
                <c:pt idx="2">
                  <c:v>0.00019318884556807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0.00343658695077006</c:v>
                </c:pt>
                <c:pt idx="2">
                  <c:v>0.00219802220665952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0.000613645176858587</c:v>
                </c:pt>
                <c:pt idx="2">
                  <c:v>0.000519130555155391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0.000658874870971481</c:v>
                </c:pt>
                <c:pt idx="2">
                  <c:v>0.000421412761717183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0.000400108832537137</c:v>
                </c:pt>
                <c:pt idx="2">
                  <c:v>0.000387883060575529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0.000869801809863341</c:v>
                </c:pt>
                <c:pt idx="2">
                  <c:v>0.000556320477514432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0.00213957266268723</c:v>
                </c:pt>
                <c:pt idx="2">
                  <c:v>0.00213957266268723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0.00206888573346066</c:v>
                </c:pt>
                <c:pt idx="2">
                  <c:v>0.00206888573346066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0.0232749645014324</c:v>
                </c:pt>
                <c:pt idx="2">
                  <c:v>0.0232749645014324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0.239509868937984</c:v>
                </c:pt>
                <c:pt idx="2">
                  <c:v>0.239509868937984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0.0731997668520411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0.178719352394271</c:v>
                </c:pt>
                <c:pt idx="2">
                  <c:v>0.178719352394271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6871416"/>
        <c:axId val="-2126859816"/>
      </c:barChart>
      <c:catAx>
        <c:axId val="-212687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85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85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87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0.00162282006575464</c:v>
                </c:pt>
                <c:pt idx="2">
                  <c:v>0.00164262526015824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1.05483304274052E-5</c:v>
                </c:pt>
                <c:pt idx="2">
                  <c:v>1.05483304274052E-5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0.0500031432760648</c:v>
                </c:pt>
                <c:pt idx="2">
                  <c:v>0.0501145474945851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0.00464532243822266</c:v>
                </c:pt>
                <c:pt idx="2">
                  <c:v>0.0046824571777294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0.00794978979711554</c:v>
                </c:pt>
                <c:pt idx="2">
                  <c:v>0.00801090532617931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0.000243423009863196</c:v>
                </c:pt>
                <c:pt idx="2">
                  <c:v>0.000243423009863196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0.0126106837439776</c:v>
                </c:pt>
                <c:pt idx="2">
                  <c:v>0.0120976734019147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2.85918891246093E-5</c:v>
                </c:pt>
                <c:pt idx="2">
                  <c:v>2.74287535549742E-5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0.00240094853457157</c:v>
                </c:pt>
                <c:pt idx="2">
                  <c:v>0.00241175747117828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0.00258578498951854</c:v>
                </c:pt>
                <c:pt idx="2">
                  <c:v>0.0025849234076151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0.0026766629132008</c:v>
                </c:pt>
                <c:pt idx="2">
                  <c:v>0.00257129927897365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0.00309697331023125</c:v>
                </c:pt>
                <c:pt idx="2">
                  <c:v>0.00297098653826101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0.00299974163341019</c:v>
                </c:pt>
                <c:pt idx="2">
                  <c:v>0.002988721217609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0.000640188763227783</c:v>
                </c:pt>
                <c:pt idx="2">
                  <c:v>0.000614145492055819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0.000192537973903093</c:v>
                </c:pt>
                <c:pt idx="2">
                  <c:v>0.000198216581902995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0.000277254682420454</c:v>
                </c:pt>
                <c:pt idx="2">
                  <c:v>0.000265975792048235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0.384861515514107</c:v>
                </c:pt>
                <c:pt idx="2">
                  <c:v>0.384861515514107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0.00332750548208211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0.0493709147108234</c:v>
                </c:pt>
                <c:pt idx="2">
                  <c:v>0.0493709147108234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4887960"/>
        <c:axId val="-2124884904"/>
      </c:barChart>
      <c:catAx>
        <c:axId val="-212488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88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88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88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0.00369720642083394</c:v>
                </c:pt>
                <c:pt idx="2">
                  <c:v>0.00369720642083394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0.0013110661066787</c:v>
                </c:pt>
                <c:pt idx="2">
                  <c:v>0.0013110661066787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7.46641037023803E-5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0.000362120902956544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0.000236436328390871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0.000871081209861103</c:v>
                </c:pt>
                <c:pt idx="2">
                  <c:v>0.000471727778653775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0.0138763446947976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0.027588719639921</c:v>
                </c:pt>
                <c:pt idx="2">
                  <c:v>0.027588719639921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0.0165754310219284</c:v>
                </c:pt>
                <c:pt idx="2">
                  <c:v>0.0165754310219284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0.0405999396757354</c:v>
                </c:pt>
                <c:pt idx="2">
                  <c:v>0.0405999396757354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0.0593143220256535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0.720230093445486</c:v>
                </c:pt>
                <c:pt idx="2">
                  <c:v>0.720230093445486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4742392"/>
        <c:axId val="-2124739368"/>
      </c:barChart>
      <c:catAx>
        <c:axId val="-212474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73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73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74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ZA2XX - Affected Area with Grants</a:t>
            </a:r>
          </a:p>
        </c:rich>
      </c:tx>
      <c:layout>
        <c:manualLayout>
          <c:xMode val="edge"/>
          <c:yMode val="edge"/>
          <c:x val="0.3443516516394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890.370923648229</c:v>
                </c:pt>
                <c:pt idx="5">
                  <c:v>1312.767803123964</c:v>
                </c:pt>
                <c:pt idx="6">
                  <c:v>1750.207895580285</c:v>
                </c:pt>
                <c:pt idx="7">
                  <c:v>2334.908726197233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17.32937038020578</c:v>
                </c:pt>
                <c:pt idx="5">
                  <c:v>5.799999999999995</c:v>
                </c:pt>
                <c:pt idx="6">
                  <c:v>1030.985351459931</c:v>
                </c:pt>
                <c:pt idx="7">
                  <c:v>6346.770951822545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98.59320439189718</c:v>
                </c:pt>
                <c:pt idx="5">
                  <c:v>246.246044360901</c:v>
                </c:pt>
                <c:pt idx="6">
                  <c:v>515.0938274608647</c:v>
                </c:pt>
                <c:pt idx="7">
                  <c:v>787.1331280033166</c:v>
                </c:pt>
              </c:numCache>
            </c:numRef>
          </c:val>
        </c:ser>
        <c:ser>
          <c:idx val="16"/>
          <c:order val="4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2.136096697059095</c:v>
                </c:pt>
                <c:pt idx="2">
                  <c:v>1353.674992593449</c:v>
                </c:pt>
                <c:pt idx="3">
                  <c:v>2457.121514959976</c:v>
                </c:pt>
                <c:pt idx="4">
                  <c:v>0.0</c:v>
                </c:pt>
                <c:pt idx="5">
                  <c:v>0.337142857142857</c:v>
                </c:pt>
                <c:pt idx="6">
                  <c:v>241.4255319290531</c:v>
                </c:pt>
                <c:pt idx="7">
                  <c:v>392.5129589936426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275.4938775510204</c:v>
                </c:pt>
                <c:pt idx="5">
                  <c:v>1735.569285714286</c:v>
                </c:pt>
                <c:pt idx="6">
                  <c:v>6916.775433164234</c:v>
                </c:pt>
                <c:pt idx="7">
                  <c:v>15361.93989161082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531.0127457114139</c:v>
                </c:pt>
                <c:pt idx="5">
                  <c:v>386.8797964094774</c:v>
                </c:pt>
                <c:pt idx="6">
                  <c:v>47.38769001652157</c:v>
                </c:pt>
                <c:pt idx="7">
                  <c:v>34.59345705160441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3286.91542658128</c:v>
                </c:pt>
                <c:pt idx="5">
                  <c:v>3789.647092962814</c:v>
                </c:pt>
                <c:pt idx="6">
                  <c:v>3229.0119033614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25175.90204081632</c:v>
                </c:pt>
                <c:pt idx="7">
                  <c:v>91377.6587755102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2178.968256155548</c:v>
                </c:pt>
                <c:pt idx="5">
                  <c:v>1615.542857142857</c:v>
                </c:pt>
                <c:pt idx="6">
                  <c:v>7694.339142888325</c:v>
                </c:pt>
                <c:pt idx="7">
                  <c:v>790.0495327758833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26458.34019761547</c:v>
                </c:pt>
                <c:pt idx="5">
                  <c:v>26446.7616597114</c:v>
                </c:pt>
                <c:pt idx="6">
                  <c:v>18785.95203039975</c:v>
                </c:pt>
                <c:pt idx="7">
                  <c:v>11722.1348875426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4614200"/>
        <c:axId val="-2124610824"/>
      </c:barChart>
      <c:lineChart>
        <c:grouping val="standard"/>
        <c:varyColors val="0"/>
        <c:ser>
          <c:idx val="13"/>
          <c:order val="3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5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614200"/>
        <c:axId val="-2124610824"/>
      </c:lineChart>
      <c:catAx>
        <c:axId val="-212461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461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61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4614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6222040"/>
        <c:axId val="-21257367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22040"/>
        <c:axId val="-2125736712"/>
      </c:lineChart>
      <c:catAx>
        <c:axId val="-212622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573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73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622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540120"/>
        <c:axId val="-212555255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40120"/>
        <c:axId val="-2125552552"/>
      </c:lineChart>
      <c:catAx>
        <c:axId val="-2125540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55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55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540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0.53504784761031</c:v>
                </c:pt>
                <c:pt idx="2">
                  <c:v>0.53504784761031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0.450921336881693</c:v>
                </c:pt>
                <c:pt idx="2">
                  <c:v>0.450921336881693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0.139749706455729</c:v>
                </c:pt>
                <c:pt idx="2">
                  <c:v>0.285007702793692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-0.450921336881693</c:v>
                </c:pt>
                <c:pt idx="2">
                  <c:v>-0.272717425096472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8453336"/>
        <c:axId val="-2128364408"/>
      </c:barChart>
      <c:catAx>
        <c:axId val="-212845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836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36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845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0.0497484972124555</c:v>
                </c:pt>
                <c:pt idx="2">
                  <c:v>0.10109662615924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0.0526654034259963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0.324163081568131</c:v>
                </c:pt>
                <c:pt idx="2">
                  <c:v>0.321358821045118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0.0497484972124555</c:v>
                </c:pt>
                <c:pt idx="2">
                  <c:v>0.10109662615924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5787384"/>
        <c:axId val="-2125794568"/>
      </c:barChart>
      <c:catAx>
        <c:axId val="-212578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579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794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578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0.0207698037362835</c:v>
                </c:pt>
                <c:pt idx="2">
                  <c:v>0.039440201136379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0.250604825958776</c:v>
                </c:pt>
                <c:pt idx="2">
                  <c:v>0.231412502242589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0.0207698037362835</c:v>
                </c:pt>
                <c:pt idx="2">
                  <c:v>0.039440201136379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5872456"/>
        <c:axId val="-2125878424"/>
      </c:barChart>
      <c:catAx>
        <c:axId val="-212587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587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87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587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0.595596152088692</c:v>
                </c:pt>
                <c:pt idx="2">
                  <c:v>0.595596152088692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0.447192002370905</c:v>
                </c:pt>
                <c:pt idx="2">
                  <c:v>0.460388561345015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0.170156405976179</c:v>
                </c:pt>
                <c:pt idx="2">
                  <c:v>0.337515522567332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-0.501949525338581</c:v>
                </c:pt>
                <c:pt idx="2">
                  <c:v>-0.379076486560898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8235256"/>
        <c:axId val="-2128272136"/>
      </c:barChart>
      <c:catAx>
        <c:axId val="-212823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827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27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823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0.012285995803492</c:v>
                </c:pt>
                <c:pt idx="2" formatCode="0.0%">
                  <c:v>0.0121141891489988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0.00928542824103489</c:v>
                </c:pt>
                <c:pt idx="2" formatCode="0.0%">
                  <c:v>0.00928542824103489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0.00478571428571429</c:v>
                </c:pt>
                <c:pt idx="2" formatCode="0.0%">
                  <c:v>0.00478571428571429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0.0393451003934862</c:v>
                </c:pt>
                <c:pt idx="2" formatCode="0.0%">
                  <c:v>0.0429406184304369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0.00273865262917122</c:v>
                </c:pt>
                <c:pt idx="2" formatCode="0.0%">
                  <c:v>0.00375971338271625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0.00953982083373573</c:v>
                </c:pt>
                <c:pt idx="2" formatCode="0.0%">
                  <c:v>0.00904328375284103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0.00392916870409434</c:v>
                </c:pt>
                <c:pt idx="2" formatCode="0.0%">
                  <c:v>0.00442476850078392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0.00165187704475563</c:v>
                </c:pt>
                <c:pt idx="2" formatCode="0.0%">
                  <c:v>0.00178473995845067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0.00300068699700387</c:v>
                </c:pt>
                <c:pt idx="2" formatCode="0.0%">
                  <c:v>0.00335589779265792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0.00108657691818944</c:v>
                </c:pt>
                <c:pt idx="2" formatCode="0.0%">
                  <c:v>0.00117286678710646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0.000887442519124711</c:v>
                </c:pt>
                <c:pt idx="2" formatCode="0.0%">
                  <c:v>0.000967851128003184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0.00598441331486517</c:v>
                </c:pt>
                <c:pt idx="2" formatCode="0.0%">
                  <c:v>0.00926745087124594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0.00396756591353852</c:v>
                </c:pt>
                <c:pt idx="2" formatCode="0.0%">
                  <c:v>0.00396756591353852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-3.5758761786159E-6</c:v>
                </c:pt>
                <c:pt idx="2" formatCode="0.0%">
                  <c:v>-2.28711083451601E-6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0.00231409068907216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0.00540760861056751</c:v>
                </c:pt>
                <c:pt idx="2" formatCode="0.0%">
                  <c:v>0.00540760861056751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0.0135190215264188</c:v>
                </c:pt>
                <c:pt idx="2" formatCode="0.0%">
                  <c:v>0.0112011506065126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0.0133761877827481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0.0119925450188167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0.229303278525707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0.255362093000194</c:v>
                </c:pt>
                <c:pt idx="2" formatCode="0.0%">
                  <c:v>0.518935193982466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685896"/>
        <c:axId val="2146459192"/>
      </c:barChart>
      <c:catAx>
        <c:axId val="207268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45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45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268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4491080"/>
        <c:axId val="-21244876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91080"/>
        <c:axId val="-21244876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91080"/>
        <c:axId val="-2124487672"/>
      </c:scatterChart>
      <c:catAx>
        <c:axId val="-2124491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48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448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4910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619448"/>
        <c:axId val="2072423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619448"/>
        <c:axId val="2072423496"/>
      </c:lineChart>
      <c:catAx>
        <c:axId val="2072619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423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2423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6194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86504"/>
        <c:axId val="-21232831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79544"/>
        <c:axId val="-2123276648"/>
      </c:scatterChart>
      <c:valAx>
        <c:axId val="-21232865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283160"/>
        <c:crosses val="autoZero"/>
        <c:crossBetween val="midCat"/>
      </c:valAx>
      <c:valAx>
        <c:axId val="-2123283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286504"/>
        <c:crosses val="autoZero"/>
        <c:crossBetween val="midCat"/>
      </c:valAx>
      <c:valAx>
        <c:axId val="-21232795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23276648"/>
        <c:crosses val="autoZero"/>
        <c:crossBetween val="midCat"/>
      </c:valAx>
      <c:valAx>
        <c:axId val="-21232766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2795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56312"/>
        <c:axId val="-21231504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56312"/>
        <c:axId val="-2123150456"/>
      </c:lineChart>
      <c:catAx>
        <c:axId val="-212315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150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3150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15631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0.0179088454359643</c:v>
                </c:pt>
                <c:pt idx="2" formatCode="0.0%">
                  <c:v>0.0178724843067314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0.00311049222558264</c:v>
                </c:pt>
                <c:pt idx="2" formatCode="0.0%">
                  <c:v>0.00311049222558264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0.0174552221209156</c:v>
                </c:pt>
                <c:pt idx="2" formatCode="0.0%">
                  <c:v>0.0174552221209156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0.0093398032615786</c:v>
                </c:pt>
                <c:pt idx="2" formatCode="0.0%">
                  <c:v>0.0103957304545031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0.0458331606698096</c:v>
                </c:pt>
                <c:pt idx="2" formatCode="0.0%">
                  <c:v>0.0516574882441503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0.00773060852161537</c:v>
                </c:pt>
                <c:pt idx="2" formatCode="0.0%">
                  <c:v>0.00773060852161537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0.0124965485785447</c:v>
                </c:pt>
                <c:pt idx="2" formatCode="0.0%">
                  <c:v>0.012453714671326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0.00809012632983455</c:v>
                </c:pt>
                <c:pt idx="2" formatCode="0.0%">
                  <c:v>0.00839774659916106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0.00388039584593489</c:v>
                </c:pt>
                <c:pt idx="2" formatCode="0.0%">
                  <c:v>0.00405926073105921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0.00188443139813003</c:v>
                </c:pt>
                <c:pt idx="2" formatCode="0.0%">
                  <c:v>0.00194933229032332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0.00128940416296033</c:v>
                </c:pt>
                <c:pt idx="2" formatCode="0.0%">
                  <c:v>0.00132649812944068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0.00191855323785803</c:v>
                </c:pt>
                <c:pt idx="2" formatCode="0.0%">
                  <c:v>0.00193027830271232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0.00877706122042341</c:v>
                </c:pt>
                <c:pt idx="2" formatCode="0.0%">
                  <c:v>0.00888289552914473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0.00462328190713396</c:v>
                </c:pt>
                <c:pt idx="2" formatCode="0.0%">
                  <c:v>0.00461400981917956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0.00062568306351183</c:v>
                </c:pt>
                <c:pt idx="2" formatCode="0.0%">
                  <c:v>0.000623410112978862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0.00168930785269393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0.0299456058764197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0.0242193215453275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0.273093330184169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0.240814575641627</c:v>
                </c:pt>
                <c:pt idx="2" formatCode="0.0%">
                  <c:v>0.457287676882835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5361144"/>
        <c:axId val="-2125349752"/>
      </c:barChart>
      <c:catAx>
        <c:axId val="-212536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534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34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536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0.00247594755381605</c:v>
                </c:pt>
                <c:pt idx="2" formatCode="0.0%">
                  <c:v>0.00247594755381605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0.000496081088774239</c:v>
                </c:pt>
                <c:pt idx="2" formatCode="0.0%">
                  <c:v>0.000496081088774239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0.00184258916658195</c:v>
                </c:pt>
                <c:pt idx="2" formatCode="0.0%">
                  <c:v>0.00184258916658195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0.00516666666666667</c:v>
                </c:pt>
                <c:pt idx="2" formatCode="0.0%">
                  <c:v>0.00516666666666667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0.0202930169555493</c:v>
                </c:pt>
                <c:pt idx="2" formatCode="0.0%">
                  <c:v>0.0202930169555493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0.00463247498691133</c:v>
                </c:pt>
                <c:pt idx="2" formatCode="0.0%">
                  <c:v>0.00463247498691133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0.00142452499555239</c:v>
                </c:pt>
                <c:pt idx="2" formatCode="0.0%">
                  <c:v>0.00178065624444049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0.00236400850128345</c:v>
                </c:pt>
                <c:pt idx="2" formatCode="0.0%">
                  <c:v>0.0025420741257275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0.000655707011970417</c:v>
                </c:pt>
                <c:pt idx="2" formatCode="0.0%">
                  <c:v>0.000667475380588101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0.0010912432459908</c:v>
                </c:pt>
                <c:pt idx="2" formatCode="0.0%">
                  <c:v>0.00122094841158328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0.000506679253818588</c:v>
                </c:pt>
                <c:pt idx="2" formatCode="0.0%">
                  <c:v>0.000506679253818588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0.000739717402597402</c:v>
                </c:pt>
                <c:pt idx="2" formatCode="0.0%">
                  <c:v>0.000742323824354939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0.00357446597771113</c:v>
                </c:pt>
                <c:pt idx="2" formatCode="0.0%">
                  <c:v>0.00357446597771113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0.000590914072229141</c:v>
                </c:pt>
                <c:pt idx="2" formatCode="0.0%">
                  <c:v>0.000590914072229141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0.00173698345490126</c:v>
                </c:pt>
                <c:pt idx="2" formatCode="0.0%">
                  <c:v>0.00176193063458054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0.00103780103837741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0.00844938845401174</c:v>
                </c:pt>
                <c:pt idx="2" formatCode="0.0%">
                  <c:v>0.00844938845401174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0.305249156539457</c:v>
                </c:pt>
                <c:pt idx="2" formatCode="0.0%">
                  <c:v>0.605480163920922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3825640"/>
        <c:axId val="-2123822312"/>
      </c:barChart>
      <c:catAx>
        <c:axId val="-212382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3822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382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382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0.00433970004483188</c:v>
                </c:pt>
                <c:pt idx="1">
                  <c:v>0.00433970004483188</c:v>
                </c:pt>
                <c:pt idx="2">
                  <c:v>0.00842412361643835</c:v>
                </c:pt>
                <c:pt idx="3">
                  <c:v>0.00842412361643835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0.00815163479807863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0.00656475676496636</c:v>
                </c:pt>
                <c:pt idx="1">
                  <c:v>0.00725451253101797</c:v>
                </c:pt>
                <c:pt idx="2">
                  <c:v>0.000601339359059255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0.00897462053129585</c:v>
                </c:pt>
                <c:pt idx="1">
                  <c:v>0.00991757949858338</c:v>
                </c:pt>
                <c:pt idx="2">
                  <c:v>0.000822085684406483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0.0593430625375112</c:v>
                </c:pt>
                <c:pt idx="1">
                  <c:v>0.0655782089451968</c:v>
                </c:pt>
                <c:pt idx="2">
                  <c:v>0.00543589358578512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0.0235042675350294</c:v>
                </c:pt>
                <c:pt idx="3">
                  <c:v>0.01157672878591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0.00715265673367728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0.000593276965842377</c:v>
                </c:pt>
                <c:pt idx="1">
                  <c:v>0.000593276965842377</c:v>
                </c:pt>
                <c:pt idx="2">
                  <c:v>0.000593276965842377</c:v>
                </c:pt>
                <c:pt idx="3">
                  <c:v>0.000593276965842377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0.00503341542074364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0.00197639949759473</c:v>
                </c:pt>
                <c:pt idx="1">
                  <c:v>0.0011861085050169</c:v>
                </c:pt>
                <c:pt idx="2">
                  <c:v>0.00158125400130582</c:v>
                </c:pt>
                <c:pt idx="3">
                  <c:v>0.00197639949759473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0.0479446890352377</c:v>
                </c:pt>
                <c:pt idx="3">
                  <c:v>2.228630611350327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3708856"/>
        <c:axId val="-2123705480"/>
      </c:barChart>
      <c:catAx>
        <c:axId val="-2123708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705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370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70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0.00168364433659491</c:v>
                </c:pt>
                <c:pt idx="1">
                  <c:v>0.00168364433659491</c:v>
                </c:pt>
                <c:pt idx="2">
                  <c:v>0.00326825077103718</c:v>
                </c:pt>
                <c:pt idx="3">
                  <c:v>0.00326825077103718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0.00198432435509696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0.0073703566663278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0.0206666666666667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0.0811720678221974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0.0124150329649224</c:v>
                </c:pt>
                <c:pt idx="3">
                  <c:v>0.00611486698272295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0.00712262497776196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0.01016829650291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0.000667475380588101</c:v>
                </c:pt>
                <c:pt idx="1">
                  <c:v>0.000667475380588101</c:v>
                </c:pt>
                <c:pt idx="2">
                  <c:v>0.000667475380588101</c:v>
                </c:pt>
                <c:pt idx="3">
                  <c:v>0.000667475380588101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0.033797553816047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0.544436882454453</c:v>
                </c:pt>
                <c:pt idx="1">
                  <c:v>0.650978647289976</c:v>
                </c:pt>
                <c:pt idx="2">
                  <c:v>0.646958131790782</c:v>
                </c:pt>
                <c:pt idx="3">
                  <c:v>0.617287246999098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3621768"/>
        <c:axId val="-2123618392"/>
      </c:barChart>
      <c:catAx>
        <c:axId val="-2123621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618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361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62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0.00823764862131918</c:v>
                </c:pt>
                <c:pt idx="1">
                  <c:v>0.00823764862131918</c:v>
                </c:pt>
                <c:pt idx="2">
                  <c:v>0.0159907296766784</c:v>
                </c:pt>
                <c:pt idx="3">
                  <c:v>0.0159907296766784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0.0371417129641396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0.0191428571428571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0.171762473721748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0.015038853530865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0.024236000457614</c:v>
                </c:pt>
                <c:pt idx="3">
                  <c:v>0.0119371345537502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0.0176990740031357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0.00178473995845067</c:v>
                </c:pt>
                <c:pt idx="1">
                  <c:v>0.00178473995845067</c:v>
                </c:pt>
                <c:pt idx="2">
                  <c:v>0.00178473995845067</c:v>
                </c:pt>
                <c:pt idx="3">
                  <c:v>0.00178473995845067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0.0134235911706317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0.00137976048835204</c:v>
                </c:pt>
                <c:pt idx="1">
                  <c:v>0.000828043951697162</c:v>
                </c:pt>
                <c:pt idx="2">
                  <c:v>0.0011039022200246</c:v>
                </c:pt>
                <c:pt idx="3">
                  <c:v>0.00137976048835204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0.0239850900376333</c:v>
                </c:pt>
                <c:pt idx="3">
                  <c:v>0.0239850900376333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0.229303278525707</c:v>
                </c:pt>
                <c:pt idx="1">
                  <c:v>0.229303278525707</c:v>
                </c:pt>
                <c:pt idx="2">
                  <c:v>0.229303278525707</c:v>
                </c:pt>
                <c:pt idx="3">
                  <c:v>0.229303278525707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0.408512219474158</c:v>
                </c:pt>
                <c:pt idx="1">
                  <c:v>0.634450759367286</c:v>
                </c:pt>
                <c:pt idx="2">
                  <c:v>0.595899803551488</c:v>
                </c:pt>
                <c:pt idx="3">
                  <c:v>0.579483050651511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3513016"/>
        <c:axId val="-2123509640"/>
      </c:barChart>
      <c:catAx>
        <c:axId val="-2123513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5096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350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51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0.0121532893285774</c:v>
                </c:pt>
                <c:pt idx="1">
                  <c:v>0.0121532893285774</c:v>
                </c:pt>
                <c:pt idx="2">
                  <c:v>0.0235916792848854</c:v>
                </c:pt>
                <c:pt idx="3">
                  <c:v>0.0235916792848854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0.0124419689023305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0.0698208884836624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0.0415829218180124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0.206629952976601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0.0309224340864615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0.0333759553191537</c:v>
                </c:pt>
                <c:pt idx="3">
                  <c:v>0.0164389033661503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0.0335909863966442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0.00405926073105921</c:v>
                </c:pt>
                <c:pt idx="1">
                  <c:v>0.00405926073105921</c:v>
                </c:pt>
                <c:pt idx="2">
                  <c:v>0.00405926073105921</c:v>
                </c:pt>
                <c:pt idx="3">
                  <c:v>0.00405926073105921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0.00779732916129327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0.00156049239947402</c:v>
                </c:pt>
                <c:pt idx="1">
                  <c:v>0.000936507679385123</c:v>
                </c:pt>
                <c:pt idx="2">
                  <c:v>0.00124850003942957</c:v>
                </c:pt>
                <c:pt idx="3">
                  <c:v>0.00156049239947402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0.0484386430906551</c:v>
                </c:pt>
                <c:pt idx="3">
                  <c:v>0.0484386430906551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0.273093330184169</c:v>
                </c:pt>
                <c:pt idx="1">
                  <c:v>0.273093330184169</c:v>
                </c:pt>
                <c:pt idx="2">
                  <c:v>0.273093330184169</c:v>
                </c:pt>
                <c:pt idx="3">
                  <c:v>0.273093330184169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0.276565913306795</c:v>
                </c:pt>
                <c:pt idx="1">
                  <c:v>0.592555108994978</c:v>
                </c:pt>
                <c:pt idx="2">
                  <c:v>0.532581114665461</c:v>
                </c:pt>
                <c:pt idx="3">
                  <c:v>0.528966876194796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306456"/>
        <c:axId val="2072373992"/>
      </c:barChart>
      <c:catAx>
        <c:axId val="2147306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373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237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30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8.24448188920075E-6</c:v>
                </c:pt>
                <c:pt idx="2">
                  <c:v>8.24448188920075E-6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0.0298862468483527</c:v>
                </c:pt>
                <c:pt idx="2">
                  <c:v>0.0298862468483527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0.00154584035422514</c:v>
                </c:pt>
                <c:pt idx="2">
                  <c:v>0.00154584035422514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0.00647294884325874</c:v>
                </c:pt>
                <c:pt idx="2">
                  <c:v>0.00375020869935019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0.00535891322798049</c:v>
                </c:pt>
                <c:pt idx="2">
                  <c:v>0.00535891322798049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0.000246496034788985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0.000172155960805006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0.000601567703949309</c:v>
                </c:pt>
                <c:pt idx="2">
                  <c:v>-0.000224976539688359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0.00119824461355757</c:v>
                </c:pt>
                <c:pt idx="2">
                  <c:v>0.000366809575578847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0.00161396213254693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0.0518913978270448</c:v>
                </c:pt>
                <c:pt idx="2">
                  <c:v>0.0518913978270448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0.0353646351952361</c:v>
                </c:pt>
                <c:pt idx="2">
                  <c:v>0.035364635195236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0.646728361322244</c:v>
                </c:pt>
                <c:pt idx="2">
                  <c:v>0.646728361322244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5323704"/>
        <c:axId val="-2125320776"/>
      </c:barChart>
      <c:catAx>
        <c:axId val="-212532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32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32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323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7" sqref="Q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2.4759475538160469E-3</v>
      </c>
      <c r="J6" s="24">
        <f t="shared" ref="J6:J13" si="3">IF(I$32&lt;=1+I$131,I6,B6*H6+J$33*(I6-B6*H6))</f>
        <v>2.4759475538160469E-3</v>
      </c>
      <c r="K6" s="22">
        <f t="shared" ref="K6:K31" si="4">B6</f>
        <v>1.2379737769080234E-2</v>
      </c>
      <c r="L6" s="22">
        <f t="shared" ref="L6:L29" si="5">IF(K6="","",K6*H6)</f>
        <v>2.4759475538160469E-3</v>
      </c>
      <c r="M6" s="177">
        <f t="shared" ref="M6:M31" si="6">J6</f>
        <v>2.4759475538160469E-3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9.9037902152641875E-3</v>
      </c>
      <c r="Z6" s="156">
        <f>Poor!Z6</f>
        <v>0.17</v>
      </c>
      <c r="AA6" s="121">
        <f>$M6*Z6*4</f>
        <v>1.6836443365949121E-3</v>
      </c>
      <c r="AB6" s="156">
        <f>Poor!AB6</f>
        <v>0.17</v>
      </c>
      <c r="AC6" s="121">
        <f t="shared" ref="AC6:AC29" si="7">$M6*AB6*4</f>
        <v>1.6836443365949121E-3</v>
      </c>
      <c r="AD6" s="156">
        <f>Poor!AD6</f>
        <v>0.33</v>
      </c>
      <c r="AE6" s="121">
        <f t="shared" ref="AE6:AE29" si="8">$M6*AD6*4</f>
        <v>3.2682507710371819E-3</v>
      </c>
      <c r="AF6" s="122">
        <f>1-SUM(Z6,AB6,AD6)</f>
        <v>0.32999999999999996</v>
      </c>
      <c r="AG6" s="121">
        <f>$M6*AF6*4</f>
        <v>3.2682507710371815E-3</v>
      </c>
      <c r="AH6" s="123">
        <f>SUM(Z6,AB6,AD6,AF6)</f>
        <v>1</v>
      </c>
      <c r="AI6" s="183">
        <f>SUM(AA6,AC6,AE6,AG6)/4</f>
        <v>2.4759475538160469E-3</v>
      </c>
      <c r="AJ6" s="120">
        <f>(AA6+AC6)/2</f>
        <v>1.6836443365949121E-3</v>
      </c>
      <c r="AK6" s="119">
        <f>(AE6+AG6)/2</f>
        <v>3.2682507710371815E-3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4.9608108877423947E-4</v>
      </c>
      <c r="J7" s="24">
        <f t="shared" si="3"/>
        <v>4.9608108877423947E-4</v>
      </c>
      <c r="K7" s="22">
        <f t="shared" si="4"/>
        <v>2.4804054438711974E-3</v>
      </c>
      <c r="L7" s="22">
        <f t="shared" si="5"/>
        <v>4.9608108877423947E-4</v>
      </c>
      <c r="M7" s="177">
        <f t="shared" si="6"/>
        <v>4.9608108877423947E-4</v>
      </c>
      <c r="N7" s="228">
        <v>3</v>
      </c>
      <c r="O7" s="2"/>
      <c r="P7" s="22"/>
      <c r="Q7" s="59" t="s">
        <v>194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875.97038113403744</v>
      </c>
      <c r="T7" s="221">
        <f>IF($B$81=0,0,(SUMIF($N$6:$N$28,$U7,M$6:M$28)+SUMIF($N$91:$N$118,$U7,M$91:M$118))*$I$83*Poor!$B$81/$B$81)</f>
        <v>890.370923648229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1.9843243550969579E-3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1.9843243550969579E-3</v>
      </c>
      <c r="AH7" s="123">
        <f t="shared" ref="AH7:AH30" si="12">SUM(Z7,AB7,AD7,AF7)</f>
        <v>1</v>
      </c>
      <c r="AI7" s="183">
        <f t="shared" ref="AI7:AI30" si="13">SUM(AA7,AC7,AE7,AG7)/4</f>
        <v>4.9608108877423947E-4</v>
      </c>
      <c r="AJ7" s="120">
        <f t="shared" ref="AJ7:AJ31" si="14">(AA7+AC7)/2</f>
        <v>0</v>
      </c>
      <c r="AK7" s="119">
        <f t="shared" ref="AK7:AK31" si="15">(AE7+AG7)/2</f>
        <v>9.9216217754847895E-4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1.8425891665819504E-3</v>
      </c>
      <c r="J8" s="24">
        <f t="shared" si="3"/>
        <v>1.8425891665819504E-3</v>
      </c>
      <c r="K8" s="22">
        <f t="shared" si="4"/>
        <v>9.2129458329097517E-3</v>
      </c>
      <c r="L8" s="22">
        <f t="shared" si="5"/>
        <v>1.8425891665819504E-3</v>
      </c>
      <c r="M8" s="223">
        <f t="shared" si="6"/>
        <v>1.8425891665819504E-3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56.731428571428566</v>
      </c>
      <c r="T8" s="221">
        <f>IF($B$81=0,0,(SUMIF($N$6:$N$28,$U8,M$6:M$28)+SUMIF($N$91:$N$118,$U8,M$91:M$118))*$I$83*Poor!$B$81/$B$81)</f>
        <v>17.329370380205777</v>
      </c>
      <c r="U8" s="222">
        <v>2</v>
      </c>
      <c r="V8" s="56"/>
      <c r="W8" s="115"/>
      <c r="X8" s="118">
        <f>Poor!X8</f>
        <v>1</v>
      </c>
      <c r="Y8" s="183">
        <f t="shared" si="9"/>
        <v>7.3703566663278017E-3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7.3703566663278017E-3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1.8425891665819504E-3</v>
      </c>
      <c r="AJ8" s="120">
        <f t="shared" si="14"/>
        <v>3.6851783331639009E-3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5.1666666666666675E-3</v>
      </c>
      <c r="J9" s="24">
        <f t="shared" si="3"/>
        <v>5.1666666666666675E-3</v>
      </c>
      <c r="K9" s="22">
        <f t="shared" si="4"/>
        <v>2.5833333333333337E-2</v>
      </c>
      <c r="L9" s="22">
        <f t="shared" si="5"/>
        <v>5.1666666666666675E-3</v>
      </c>
      <c r="M9" s="223">
        <f t="shared" si="6"/>
        <v>5.1666666666666675E-3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98.593204391897189</v>
      </c>
      <c r="T9" s="221">
        <f>IF($B$81=0,0,(SUMIF($N$6:$N$28,$U9,M$6:M$28)+SUMIF($N$91:$N$118,$U9,M$91:M$118))*$I$83*Poor!$B$81/$B$81)</f>
        <v>98.593204391897189</v>
      </c>
      <c r="U9" s="222">
        <v>3</v>
      </c>
      <c r="V9" s="56"/>
      <c r="W9" s="115"/>
      <c r="X9" s="118">
        <f>Poor!X9</f>
        <v>1</v>
      </c>
      <c r="Y9" s="183">
        <f t="shared" si="9"/>
        <v>2.066666666666667E-2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2.066666666666667E-2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5.1666666666666675E-3</v>
      </c>
      <c r="AJ9" s="120">
        <f t="shared" si="14"/>
        <v>1.0333333333333335E-2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0.3</v>
      </c>
      <c r="H10" s="24">
        <f t="shared" si="1"/>
        <v>0.3</v>
      </c>
      <c r="I10" s="22">
        <f t="shared" si="2"/>
        <v>2.0293016955549342E-2</v>
      </c>
      <c r="J10" s="24">
        <f t="shared" si="3"/>
        <v>2.0293016955549342E-2</v>
      </c>
      <c r="K10" s="22">
        <f t="shared" si="4"/>
        <v>6.7643389851831145E-2</v>
      </c>
      <c r="L10" s="22">
        <f t="shared" si="5"/>
        <v>2.0293016955549342E-2</v>
      </c>
      <c r="M10" s="223">
        <f t="shared" si="6"/>
        <v>2.0293016955549342E-2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8.1172067822197366E-2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8.1172067822197366E-2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2.0293016955549342E-2</v>
      </c>
      <c r="AJ10" s="120">
        <f t="shared" si="14"/>
        <v>4.0586033911098683E-2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275.49387755102038</v>
      </c>
      <c r="T11" s="221">
        <f>IF($B$81=0,0,(SUMIF($N$6:$N$28,$U11,M$6:M$28)+SUMIF($N$91:$N$118,$U11,M$91:M$118))*$I$83*Poor!$B$81/$B$81)</f>
        <v>275.49387755102038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0.2</v>
      </c>
      <c r="H12" s="24">
        <f t="shared" si="1"/>
        <v>0.2</v>
      </c>
      <c r="I12" s="22">
        <f t="shared" si="2"/>
        <v>4.6324749869113271E-3</v>
      </c>
      <c r="J12" s="24">
        <f t="shared" si="3"/>
        <v>4.6324749869113271E-3</v>
      </c>
      <c r="K12" s="22">
        <f t="shared" si="4"/>
        <v>2.3162374934556636E-2</v>
      </c>
      <c r="L12" s="22">
        <f t="shared" si="5"/>
        <v>4.6324749869113271E-3</v>
      </c>
      <c r="M12" s="223">
        <f t="shared" si="6"/>
        <v>4.6324749869113271E-3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531.01274571141391</v>
      </c>
      <c r="U12" s="222">
        <v>6</v>
      </c>
      <c r="V12" s="56"/>
      <c r="W12" s="117"/>
      <c r="X12" s="118">
        <v>1</v>
      </c>
      <c r="Y12" s="183">
        <f t="shared" si="9"/>
        <v>1.8529899947645308E-2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1.2415032964922357E-2</v>
      </c>
      <c r="AF12" s="122">
        <f>1-SUM(Z12,AB12,AD12)</f>
        <v>0.32999999999999996</v>
      </c>
      <c r="AG12" s="121">
        <f>$M12*AF12*4</f>
        <v>6.1148669827229508E-3</v>
      </c>
      <c r="AH12" s="123">
        <f t="shared" si="12"/>
        <v>1</v>
      </c>
      <c r="AI12" s="183">
        <f t="shared" si="13"/>
        <v>4.6324749869113271E-3</v>
      </c>
      <c r="AJ12" s="120">
        <f t="shared" si="14"/>
        <v>0</v>
      </c>
      <c r="AK12" s="119">
        <f t="shared" si="15"/>
        <v>9.2649499738226542E-3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0.2</v>
      </c>
      <c r="H13" s="24">
        <f t="shared" si="1"/>
        <v>0.2</v>
      </c>
      <c r="I13" s="22">
        <f t="shared" si="2"/>
        <v>1.7806562444404911E-3</v>
      </c>
      <c r="J13" s="24">
        <f t="shared" si="3"/>
        <v>1.7806562444404911E-3</v>
      </c>
      <c r="K13" s="22">
        <f t="shared" si="4"/>
        <v>7.1226249777619644E-3</v>
      </c>
      <c r="L13" s="22">
        <f t="shared" si="5"/>
        <v>1.4245249955523931E-3</v>
      </c>
      <c r="M13" s="224">
        <f t="shared" si="6"/>
        <v>1.7806562444404911E-3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3286.9154265812808</v>
      </c>
      <c r="T13" s="221">
        <f>IF($B$81=0,0,(SUMIF($N$6:$N$28,$U13,M$6:M$28)+SUMIF($N$91:$N$118,$U13,M$91:M$118))*$I$83*Poor!$B$81/$B$81)</f>
        <v>3286.9154265812808</v>
      </c>
      <c r="U13" s="222">
        <v>7</v>
      </c>
      <c r="V13" s="56"/>
      <c r="W13" s="110"/>
      <c r="X13" s="118"/>
      <c r="Y13" s="183">
        <f t="shared" si="9"/>
        <v>7.1226249777619644E-3</v>
      </c>
      <c r="Z13" s="156">
        <f>Poor!Z13</f>
        <v>1</v>
      </c>
      <c r="AA13" s="121">
        <f>$M13*Z13*4</f>
        <v>7.1226249777619644E-3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1.7806562444404911E-3</v>
      </c>
      <c r="AJ13" s="120">
        <f t="shared" si="14"/>
        <v>3.5613124888809822E-3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2.5420741257275014E-3</v>
      </c>
      <c r="J14" s="24">
        <f>IF(I$32&lt;=1+I131,I14,B14*H14+J$33*(I14-B14*H14))</f>
        <v>2.5420741257275014E-3</v>
      </c>
      <c r="K14" s="22">
        <f t="shared" si="4"/>
        <v>1.1820042506417262E-2</v>
      </c>
      <c r="L14" s="22">
        <f t="shared" si="5"/>
        <v>2.3640085012834526E-3</v>
      </c>
      <c r="M14" s="224">
        <f t="shared" si="6"/>
        <v>2.5420741257275014E-3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1.0168296502910006E-2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1.0168296502910006E-2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2.5420741257275014E-3</v>
      </c>
      <c r="AJ14" s="120">
        <f t="shared" si="14"/>
        <v>5.0841482514550028E-3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0.2</v>
      </c>
      <c r="F15" s="22"/>
      <c r="H15" s="24">
        <f t="shared" si="1"/>
        <v>0.2</v>
      </c>
      <c r="I15" s="22">
        <f t="shared" si="2"/>
        <v>6.674753805881008E-4</v>
      </c>
      <c r="J15" s="24">
        <f t="shared" ref="J15:J25" si="17">IF(I$32&lt;=1+I131,I15,B15*H15+J$33*(I15-B15*H15))</f>
        <v>6.674753805881008E-4</v>
      </c>
      <c r="K15" s="22">
        <f t="shared" si="4"/>
        <v>3.278535059852085E-3</v>
      </c>
      <c r="L15" s="22">
        <f t="shared" si="5"/>
        <v>6.5570701197041701E-4</v>
      </c>
      <c r="M15" s="225">
        <f t="shared" si="6"/>
        <v>6.674753805881008E-4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2.6699015223524032E-3</v>
      </c>
      <c r="Z15" s="156">
        <f>Poor!Z15</f>
        <v>0.25</v>
      </c>
      <c r="AA15" s="121">
        <f t="shared" si="16"/>
        <v>6.674753805881008E-4</v>
      </c>
      <c r="AB15" s="156">
        <f>Poor!AB15</f>
        <v>0.25</v>
      </c>
      <c r="AC15" s="121">
        <f t="shared" si="7"/>
        <v>6.674753805881008E-4</v>
      </c>
      <c r="AD15" s="156">
        <f>Poor!AD15</f>
        <v>0.25</v>
      </c>
      <c r="AE15" s="121">
        <f t="shared" si="8"/>
        <v>6.674753805881008E-4</v>
      </c>
      <c r="AF15" s="122">
        <f t="shared" si="10"/>
        <v>0.25</v>
      </c>
      <c r="AG15" s="121">
        <f t="shared" si="11"/>
        <v>6.674753805881008E-4</v>
      </c>
      <c r="AH15" s="123">
        <f t="shared" si="12"/>
        <v>1</v>
      </c>
      <c r="AI15" s="183">
        <f t="shared" si="13"/>
        <v>6.674753805881008E-4</v>
      </c>
      <c r="AJ15" s="120">
        <f t="shared" si="14"/>
        <v>6.674753805881008E-4</v>
      </c>
      <c r="AK15" s="119">
        <f t="shared" si="15"/>
        <v>6.674753805881008E-4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1.2771598978321096E-3</v>
      </c>
      <c r="J16" s="24">
        <f t="shared" si="17"/>
        <v>1.2209484115832769E-3</v>
      </c>
      <c r="K16" s="22">
        <f t="shared" ref="K16:K25" si="21">B16</f>
        <v>5.4562162299540001E-3</v>
      </c>
      <c r="L16" s="22">
        <f t="shared" ref="L16:L25" si="22">IF(K16="","",K16*H16)</f>
        <v>1.0912432459908E-3</v>
      </c>
      <c r="M16" s="225">
        <f t="shared" ref="M16:M25" si="23">J16</f>
        <v>1.2209484115832769E-3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2178.9682561555478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0.2</v>
      </c>
      <c r="F17" s="22"/>
      <c r="H17" s="24">
        <f t="shared" si="19"/>
        <v>0.2</v>
      </c>
      <c r="I17" s="22">
        <f t="shared" si="20"/>
        <v>5.0667925381858844E-4</v>
      </c>
      <c r="J17" s="24">
        <f t="shared" si="17"/>
        <v>5.0667925381858844E-4</v>
      </c>
      <c r="K17" s="22">
        <f t="shared" si="21"/>
        <v>2.5333962690929422E-3</v>
      </c>
      <c r="L17" s="22">
        <f t="shared" si="22"/>
        <v>5.0667925381858844E-4</v>
      </c>
      <c r="M17" s="225">
        <f t="shared" si="23"/>
        <v>5.0667925381858844E-4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7.4345339263476263E-4</v>
      </c>
      <c r="J18" s="24">
        <f t="shared" si="17"/>
        <v>7.423238243549397E-4</v>
      </c>
      <c r="K18" s="22">
        <f t="shared" si="21"/>
        <v>3.6985870129870131E-3</v>
      </c>
      <c r="L18" s="22">
        <f t="shared" si="22"/>
        <v>7.3971740259740266E-4</v>
      </c>
      <c r="M18" s="225">
        <f t="shared" si="23"/>
        <v>7.423238243549397E-4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3.574465977711134E-3</v>
      </c>
      <c r="J19" s="24">
        <f t="shared" si="17"/>
        <v>3.574465977711134E-3</v>
      </c>
      <c r="K19" s="22">
        <f t="shared" si="21"/>
        <v>1.7872329888555669E-2</v>
      </c>
      <c r="L19" s="22">
        <f t="shared" si="22"/>
        <v>3.574465977711134E-3</v>
      </c>
      <c r="M19" s="225">
        <f t="shared" si="23"/>
        <v>3.574465977711134E-3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0.2</v>
      </c>
      <c r="F20" s="22"/>
      <c r="H20" s="24">
        <f t="shared" si="19"/>
        <v>0.2</v>
      </c>
      <c r="I20" s="22">
        <f t="shared" si="20"/>
        <v>5.9091407222914075E-4</v>
      </c>
      <c r="J20" s="24">
        <f t="shared" si="17"/>
        <v>5.9091407222914075E-4</v>
      </c>
      <c r="K20" s="22">
        <f t="shared" si="21"/>
        <v>2.9545703611457037E-3</v>
      </c>
      <c r="L20" s="22">
        <f t="shared" si="22"/>
        <v>5.9091407222914075E-4</v>
      </c>
      <c r="M20" s="225">
        <f t="shared" si="23"/>
        <v>5.9091407222914075E-4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26458.340197615471</v>
      </c>
      <c r="T20" s="221">
        <f>IF($B$81=0,0,(SUMIF($N$6:$N$28,$U20,M$6:M$28)+SUMIF($N$91:$N$118,$U20,M$91:M$118))*$I$83*Poor!$B$81/$B$81)</f>
        <v>26458.340197615471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0.2</v>
      </c>
      <c r="F21" s="22"/>
      <c r="H21" s="24">
        <f t="shared" si="19"/>
        <v>0.2</v>
      </c>
      <c r="I21" s="22">
        <f t="shared" si="20"/>
        <v>1.7727422166874222E-3</v>
      </c>
      <c r="J21" s="24">
        <f t="shared" si="17"/>
        <v>1.7619306345805453E-3</v>
      </c>
      <c r="K21" s="22">
        <f t="shared" si="21"/>
        <v>8.6849172745063156E-3</v>
      </c>
      <c r="L21" s="22">
        <f t="shared" si="22"/>
        <v>1.7369834549012632E-3</v>
      </c>
      <c r="M21" s="225">
        <f t="shared" si="23"/>
        <v>1.7619306345805453E-3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1.0378010383774129E-3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1.0378010383774129E-3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41765.384868119072</v>
      </c>
      <c r="T23" s="179">
        <f>SUM(T7:T22)</f>
        <v>42270.479578476799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0.5</v>
      </c>
      <c r="F24" s="22"/>
      <c r="H24" s="24">
        <f t="shared" si="19"/>
        <v>0.5</v>
      </c>
      <c r="I24" s="22">
        <f t="shared" si="20"/>
        <v>8.4493884540117418E-3</v>
      </c>
      <c r="J24" s="24">
        <f t="shared" si="17"/>
        <v>8.4493884540117418E-3</v>
      </c>
      <c r="K24" s="22">
        <f t="shared" si="21"/>
        <v>1.6898776908023484E-2</v>
      </c>
      <c r="L24" s="22">
        <f t="shared" si="22"/>
        <v>8.4493884540117418E-3</v>
      </c>
      <c r="M24" s="225">
        <f t="shared" si="23"/>
        <v>8.4493884540117418E-3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3.3797553816046967E-2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3.3797553816046967E-2</v>
      </c>
      <c r="AH24" s="123">
        <f t="shared" si="12"/>
        <v>1</v>
      </c>
      <c r="AI24" s="183">
        <f t="shared" si="13"/>
        <v>8.4493884540117418E-3</v>
      </c>
      <c r="AJ24" s="120">
        <f t="shared" si="14"/>
        <v>0</v>
      </c>
      <c r="AK24" s="119">
        <f t="shared" si="15"/>
        <v>1.6898776908023484E-2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0.83668923536337969</v>
      </c>
      <c r="J30" s="230">
        <f>IF(I$32&lt;=1,I30,1-SUM(J6:J29))</f>
        <v>0.60548016392092252</v>
      </c>
      <c r="K30" s="22">
        <f t="shared" si="4"/>
        <v>0.64712844882837317</v>
      </c>
      <c r="L30" s="22">
        <f>IF(L124=L119,0,IF(K30="",0,(L119-L124)/(B119-B124)*K30))</f>
        <v>0.30524915653945656</v>
      </c>
      <c r="M30" s="175">
        <f t="shared" si="6"/>
        <v>0.60548016392092252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2.4219206556836901</v>
      </c>
      <c r="Z30" s="122">
        <f>IF($Y30=0,0,AA30/($Y$30))</f>
        <v>0.22479550730812975</v>
      </c>
      <c r="AA30" s="187">
        <f>IF(AA79*4/$I$83+SUM(AA6:AA29)&lt;1,AA79*4/$I$83,1-SUM(AA6:AA29))</f>
        <v>0.54443688245445332</v>
      </c>
      <c r="AB30" s="122">
        <f>IF($Y30=0,0,AC30/($Y$30))</f>
        <v>0.2687861164081819</v>
      </c>
      <c r="AC30" s="187">
        <f>IF(AC79*4/$I$83+SUM(AC6:AC29)&lt;1,AC79*4/$I$83,1-SUM(AC6:AC29))</f>
        <v>0.65097864728997656</v>
      </c>
      <c r="AD30" s="122">
        <f>IF($Y30=0,0,AE30/($Y$30))</f>
        <v>0.26712606388343912</v>
      </c>
      <c r="AE30" s="187">
        <f>IF(AE79*4/$I$83+SUM(AE6:AE29)&lt;1,AE79*4/$I$83,1-SUM(AE6:AE29))</f>
        <v>0.64695813179078221</v>
      </c>
      <c r="AF30" s="122">
        <f>IF($Y30=0,0,AG30/($Y$30))</f>
        <v>0.25487509078815895</v>
      </c>
      <c r="AG30" s="187">
        <f>IF(AG79*4/$I$83+SUM(AG6:AG29)&lt;1,AG79*4/$I$83,1-SUM(AG6:AG29))</f>
        <v>0.61728724699909798</v>
      </c>
      <c r="AH30" s="123">
        <f t="shared" si="12"/>
        <v>1.0155827783879097</v>
      </c>
      <c r="AI30" s="183">
        <f t="shared" si="13"/>
        <v>0.61491522713357749</v>
      </c>
      <c r="AJ30" s="120">
        <f t="shared" si="14"/>
        <v>0.59770776487221489</v>
      </c>
      <c r="AK30" s="119">
        <f t="shared" si="15"/>
        <v>0.6321226893949401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0.29678265537413107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14430.831407034922</v>
      </c>
      <c r="T31" s="233">
        <f>IF(T25&gt;T$23,T25-T$23,0)</f>
        <v>13925.736696677195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1.2314022137426748</v>
      </c>
      <c r="J32" s="17"/>
      <c r="L32" s="22">
        <f>SUM(L6:L30)</f>
        <v>0.70321734462586893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48504.993039687964</v>
      </c>
      <c r="T32" s="233">
        <f t="shared" si="24"/>
        <v>47999.898329330237</v>
      </c>
      <c r="V32" s="56"/>
      <c r="W32" s="110"/>
      <c r="X32" s="118"/>
      <c r="Y32" s="115">
        <f>SUM(Y6:Y31)</f>
        <v>3.9622597471493801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0.69765222376738834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12185.01960959256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118.84285714285713</v>
      </c>
      <c r="J41" s="38">
        <f t="shared" si="32"/>
        <v>118.84285714285714</v>
      </c>
      <c r="K41" s="40">
        <f t="shared" si="33"/>
        <v>6.2664515607354894E-3</v>
      </c>
      <c r="L41" s="22">
        <f t="shared" si="34"/>
        <v>3.6972064208339386E-3</v>
      </c>
      <c r="M41" s="24">
        <f t="shared" si="35"/>
        <v>3.6972064208339391E-3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118.84285714285714</v>
      </c>
      <c r="AH41" s="123">
        <f t="shared" si="37"/>
        <v>1</v>
      </c>
      <c r="AI41" s="112">
        <f t="shared" si="37"/>
        <v>118.84285714285714</v>
      </c>
      <c r="AJ41" s="148">
        <f t="shared" si="38"/>
        <v>0</v>
      </c>
      <c r="AK41" s="147">
        <f t="shared" si="39"/>
        <v>118.84285714285714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42.142857142857139</v>
      </c>
      <c r="J42" s="38">
        <f t="shared" si="32"/>
        <v>42.142857142857146</v>
      </c>
      <c r="K42" s="40">
        <f t="shared" si="33"/>
        <v>2.2221459435232235E-3</v>
      </c>
      <c r="L42" s="22">
        <f t="shared" si="34"/>
        <v>1.3110661066787017E-3</v>
      </c>
      <c r="M42" s="24">
        <f t="shared" si="35"/>
        <v>1.311066106678702E-3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10.535714285714286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21.071428571428573</v>
      </c>
      <c r="AF42" s="122">
        <f t="shared" si="29"/>
        <v>0.25</v>
      </c>
      <c r="AG42" s="147">
        <f t="shared" si="36"/>
        <v>10.535714285714286</v>
      </c>
      <c r="AH42" s="123">
        <f t="shared" si="37"/>
        <v>1</v>
      </c>
      <c r="AI42" s="112">
        <f t="shared" si="37"/>
        <v>42.142857142857146</v>
      </c>
      <c r="AJ42" s="148">
        <f t="shared" si="38"/>
        <v>10.535714285714286</v>
      </c>
      <c r="AK42" s="147">
        <f t="shared" si="39"/>
        <v>31.607142857142861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7.4664103702380303E-5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3.6212090295654445E-4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2.3643632839087094E-4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9.6000000000000014</v>
      </c>
      <c r="J52" s="38">
        <f t="shared" si="32"/>
        <v>15.163199082680055</v>
      </c>
      <c r="K52" s="40">
        <f t="shared" si="33"/>
        <v>3.1110043209325129E-3</v>
      </c>
      <c r="L52" s="22">
        <f t="shared" si="34"/>
        <v>8.7108120986110354E-4</v>
      </c>
      <c r="M52" s="24">
        <f t="shared" si="35"/>
        <v>4.7172777865377564E-4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3.7907997706700138</v>
      </c>
      <c r="AB52" s="156">
        <f>Poor!AB57</f>
        <v>0.25</v>
      </c>
      <c r="AC52" s="147">
        <f t="shared" si="41"/>
        <v>3.7907997706700138</v>
      </c>
      <c r="AD52" s="156">
        <f>Poor!AD57</f>
        <v>0.25</v>
      </c>
      <c r="AE52" s="147">
        <f t="shared" si="42"/>
        <v>3.7907997706700138</v>
      </c>
      <c r="AF52" s="122">
        <f t="shared" si="29"/>
        <v>0.25</v>
      </c>
      <c r="AG52" s="147">
        <f t="shared" si="36"/>
        <v>3.7907997706700138</v>
      </c>
      <c r="AH52" s="123">
        <f t="shared" si="37"/>
        <v>1</v>
      </c>
      <c r="AI52" s="112">
        <f t="shared" si="37"/>
        <v>15.163199082680055</v>
      </c>
      <c r="AJ52" s="148">
        <f t="shared" si="38"/>
        <v>7.5815995413400277</v>
      </c>
      <c r="AK52" s="147">
        <f t="shared" si="39"/>
        <v>7.5815995413400277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446.04067572102383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1.387634469479763E-2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886.81071428571443</v>
      </c>
      <c r="J55" s="38">
        <f t="shared" si="32"/>
        <v>886.81071428571443</v>
      </c>
      <c r="K55" s="40">
        <f t="shared" si="33"/>
        <v>4.9709404756614506E-2</v>
      </c>
      <c r="L55" s="22">
        <f t="shared" si="34"/>
        <v>2.7588719639921055E-2</v>
      </c>
      <c r="M55" s="24">
        <f t="shared" si="35"/>
        <v>2.7588719639921055E-2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532.80000000000007</v>
      </c>
      <c r="J56" s="38">
        <f t="shared" si="32"/>
        <v>532.80000000000007</v>
      </c>
      <c r="K56" s="40">
        <f t="shared" si="33"/>
        <v>2.9865641480952124E-2</v>
      </c>
      <c r="L56" s="22">
        <f t="shared" si="34"/>
        <v>1.6575431021928429E-2</v>
      </c>
      <c r="M56" s="24">
        <f t="shared" si="35"/>
        <v>1.6575431021928429E-2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1305.0428571428574</v>
      </c>
      <c r="J57" s="38">
        <f t="shared" si="32"/>
        <v>1305.0428571428574</v>
      </c>
      <c r="K57" s="40">
        <f t="shared" si="33"/>
        <v>7.3153044460784522E-2</v>
      </c>
      <c r="L57" s="22">
        <f t="shared" si="34"/>
        <v>4.0599939675735414E-2</v>
      </c>
      <c r="M57" s="24">
        <f t="shared" si="35"/>
        <v>4.0599939675735414E-2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1906.5972241361044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5.9314322025653551E-2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476.6493060340261</v>
      </c>
      <c r="AB59" s="156">
        <f>Poor!AB59</f>
        <v>0.25</v>
      </c>
      <c r="AC59" s="147">
        <f t="shared" si="41"/>
        <v>476.6493060340261</v>
      </c>
      <c r="AD59" s="156">
        <f>Poor!AD59</f>
        <v>0.25</v>
      </c>
      <c r="AE59" s="147">
        <f t="shared" si="42"/>
        <v>476.6493060340261</v>
      </c>
      <c r="AF59" s="122">
        <f t="shared" si="29"/>
        <v>0.25</v>
      </c>
      <c r="AG59" s="147">
        <f t="shared" si="36"/>
        <v>476.6493060340261</v>
      </c>
      <c r="AH59" s="123">
        <f t="shared" ref="AH59:AI64" si="43">SUM(Z59,AB59,AD59,AF59)</f>
        <v>1</v>
      </c>
      <c r="AI59" s="112">
        <f t="shared" si="43"/>
        <v>1906.5972241361044</v>
      </c>
      <c r="AJ59" s="148">
        <f t="shared" si="38"/>
        <v>953.29861206805219</v>
      </c>
      <c r="AK59" s="147">
        <f t="shared" si="39"/>
        <v>953.29861206805219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23151.047672913537</v>
      </c>
      <c r="J61" s="38">
        <f t="shared" si="32"/>
        <v>23151.047672913537</v>
      </c>
      <c r="K61" s="40">
        <f t="shared" si="33"/>
        <v>0.61036448597075088</v>
      </c>
      <c r="L61" s="22">
        <f t="shared" si="34"/>
        <v>0.72023009344548605</v>
      </c>
      <c r="M61" s="24">
        <f t="shared" si="35"/>
        <v>0.72023009344548605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5787.7619182283843</v>
      </c>
      <c r="AB61" s="156">
        <f>Poor!AB61</f>
        <v>0.25</v>
      </c>
      <c r="AC61" s="147">
        <f t="shared" si="41"/>
        <v>5787.7619182283843</v>
      </c>
      <c r="AD61" s="156">
        <f>Poor!AD61</f>
        <v>0.25</v>
      </c>
      <c r="AE61" s="147">
        <f t="shared" si="42"/>
        <v>5787.7619182283843</v>
      </c>
      <c r="AF61" s="122">
        <f t="shared" si="29"/>
        <v>0.25</v>
      </c>
      <c r="AG61" s="147">
        <f t="shared" si="36"/>
        <v>5787.7619182283843</v>
      </c>
      <c r="AH61" s="123">
        <f t="shared" si="43"/>
        <v>1</v>
      </c>
      <c r="AI61" s="112">
        <f t="shared" si="43"/>
        <v>23151.047672913537</v>
      </c>
      <c r="AJ61" s="148">
        <f t="shared" si="38"/>
        <v>11575.523836456769</v>
      </c>
      <c r="AK61" s="147">
        <f t="shared" si="39"/>
        <v>11575.523836456769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34136.744101484968</v>
      </c>
      <c r="J65" s="39">
        <f>SUM(J37:J64)</f>
        <v>33943.530914710493</v>
      </c>
      <c r="K65" s="40">
        <f>SUM(K37:K64)</f>
        <v>0.99999999999999989</v>
      </c>
      <c r="L65" s="22">
        <f>SUM(L37:L64)</f>
        <v>1.0427881544595969</v>
      </c>
      <c r="M65" s="24">
        <f>SUM(M37:M64)</f>
        <v>1.0559847134337068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7663.4984526045091</v>
      </c>
      <c r="AB65" s="137"/>
      <c r="AC65" s="153">
        <f>SUM(AC37:AC64)</f>
        <v>7652.9627383187944</v>
      </c>
      <c r="AD65" s="137"/>
      <c r="AE65" s="153">
        <f>SUM(AE37:AE64)</f>
        <v>7674.0341668902238</v>
      </c>
      <c r="AF65" s="137"/>
      <c r="AG65" s="153">
        <f>SUM(AG37:AG64)</f>
        <v>7782.3413097473658</v>
      </c>
      <c r="AH65" s="137"/>
      <c r="AI65" s="153">
        <f>SUM(AI37:AI64)</f>
        <v>30772.836667560892</v>
      </c>
      <c r="AJ65" s="153">
        <f>SUM(AJ37:AJ64)</f>
        <v>15316.461190923304</v>
      </c>
      <c r="AK65" s="153">
        <f>SUM(AK37:AK64)</f>
        <v>15456.37547663759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0.42542582292049425</v>
      </c>
      <c r="L70" s="22">
        <f t="shared" ref="L70:L74" si="45">(L124*G$37*F$9/F$7)/B$130</f>
        <v>0.59559615208869199</v>
      </c>
      <c r="M70" s="24">
        <f>J70/B$76</f>
        <v>0.59559615208869199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14991.92491620771</v>
      </c>
      <c r="J71" s="51">
        <f t="shared" si="44"/>
        <v>14798.711729433237</v>
      </c>
      <c r="K71" s="40">
        <f t="shared" ref="K71:K72" si="47">B71/B$76</f>
        <v>0.42538095367676371</v>
      </c>
      <c r="L71" s="22">
        <f t="shared" si="45"/>
        <v>0.44719200237090501</v>
      </c>
      <c r="M71" s="24">
        <f t="shared" ref="M71:M72" si="48">J71/B$76</f>
        <v>0.4603885613450146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14991.92491620771</v>
      </c>
      <c r="J74" s="51">
        <f t="shared" si="44"/>
        <v>10849.085624740073</v>
      </c>
      <c r="K74" s="40">
        <f>B74/B$76</f>
        <v>0.2186252804617024</v>
      </c>
      <c r="L74" s="22">
        <f t="shared" si="45"/>
        <v>0.17015640597617906</v>
      </c>
      <c r="M74" s="24">
        <f>J74/B$76</f>
        <v>0.3375155225673318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2438.8257068427824</v>
      </c>
      <c r="AB74" s="156"/>
      <c r="AC74" s="147">
        <f>AC30*$I$83/4</f>
        <v>2916.0835916537185</v>
      </c>
      <c r="AD74" s="156"/>
      <c r="AE74" s="147">
        <f>AE30*$I$83/4</f>
        <v>2898.0735396712184</v>
      </c>
      <c r="AF74" s="156"/>
      <c r="AG74" s="147">
        <f>AG30*$I$83/4</f>
        <v>2765.1616835741365</v>
      </c>
      <c r="AH74" s="155"/>
      <c r="AI74" s="147">
        <f>SUM(AA74,AC74,AE74,AG74)</f>
        <v>11018.144521741857</v>
      </c>
      <c r="AJ74" s="148">
        <f>(AA74+AC74)</f>
        <v>5354.9092984965009</v>
      </c>
      <c r="AK74" s="147">
        <f>(AE74+AG74)</f>
        <v>5663.235223245355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669.44277929633063</v>
      </c>
      <c r="AB75" s="158"/>
      <c r="AC75" s="149">
        <f>AA75+AC65-SUM(AC70,AC74)</f>
        <v>620.11712964209437</v>
      </c>
      <c r="AD75" s="158"/>
      <c r="AE75" s="149">
        <f>AC75+AE65-SUM(AE70,AE74)</f>
        <v>609.8729605417866</v>
      </c>
      <c r="AF75" s="158"/>
      <c r="AG75" s="149">
        <f>IF(SUM(AG6:AG29)+((AG65-AG70-$J$75)*4/I$83)&lt;1,0,AG65-AG70-$J$75-(1-SUM(AG6:AG29))*I$83/4)</f>
        <v>230.97482985391662</v>
      </c>
      <c r="AH75" s="134"/>
      <c r="AI75" s="149">
        <f>AI76-SUM(AI70,AI74)</f>
        <v>609.87296054178296</v>
      </c>
      <c r="AJ75" s="151">
        <f>AJ76-SUM(AJ70,AJ74)</f>
        <v>389.14229978817639</v>
      </c>
      <c r="AK75" s="149">
        <f>AJ75+AK76-SUM(AK70,AK74)</f>
        <v>609.87296054178478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34136.744101484961</v>
      </c>
      <c r="J76" s="51">
        <f t="shared" si="44"/>
        <v>33943.530914710485</v>
      </c>
      <c r="K76" s="40">
        <f>SUM(K70:K75)</f>
        <v>1.8893594673001592</v>
      </c>
      <c r="L76" s="22">
        <f>SUM(L70:L75)</f>
        <v>1.212944560435776</v>
      </c>
      <c r="M76" s="24">
        <f>SUM(M70:M75)</f>
        <v>1.3935002360010385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7663.4984526045091</v>
      </c>
      <c r="AB76" s="137"/>
      <c r="AC76" s="153">
        <f>AC65</f>
        <v>7652.9627383187944</v>
      </c>
      <c r="AD76" s="137"/>
      <c r="AE76" s="153">
        <f>AE65</f>
        <v>7674.0341668902238</v>
      </c>
      <c r="AF76" s="137"/>
      <c r="AG76" s="153">
        <f>AG65</f>
        <v>7782.3413097473658</v>
      </c>
      <c r="AH76" s="137"/>
      <c r="AI76" s="153">
        <f>SUM(AA76,AC76,AE76,AG76)</f>
        <v>30772.836667560892</v>
      </c>
      <c r="AJ76" s="154">
        <f>SUM(AA76,AC76)</f>
        <v>15316.461190923303</v>
      </c>
      <c r="AK76" s="154">
        <f>SUM(AE76,AG76)</f>
        <v>15456.37547663759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16134.64571428572</v>
      </c>
      <c r="J77" s="100">
        <f t="shared" si="44"/>
        <v>12185.01960959256</v>
      </c>
      <c r="K77" s="40"/>
      <c r="L77" s="22">
        <f>-(L131*G$37*F$9/F$7)/B$130</f>
        <v>-0.50194952533858128</v>
      </c>
      <c r="M77" s="24">
        <f>-J77/B$76</f>
        <v>-0.37907648656089854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230.97482985391662</v>
      </c>
      <c r="AB78" s="112"/>
      <c r="AC78" s="112">
        <f>IF(AA75&lt;0,0,AA75)</f>
        <v>669.44277929633063</v>
      </c>
      <c r="AD78" s="112"/>
      <c r="AE78" s="112">
        <f>AC75</f>
        <v>620.11712964209437</v>
      </c>
      <c r="AF78" s="112"/>
      <c r="AG78" s="112">
        <f>AE75</f>
        <v>609.8729605417866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3108.2684861391131</v>
      </c>
      <c r="AB79" s="112"/>
      <c r="AC79" s="112">
        <f>AA79-AA74+AC65-AC70</f>
        <v>3536.2007212958124</v>
      </c>
      <c r="AD79" s="112"/>
      <c r="AE79" s="112">
        <f>AC79-AC74+AE65-AE70</f>
        <v>3507.9465002130055</v>
      </c>
      <c r="AF79" s="112"/>
      <c r="AG79" s="112">
        <f>AE79-AE74+AG65-AG70</f>
        <v>3606.0094739698397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0.3575757575757576</v>
      </c>
      <c r="I95" s="22">
        <f t="shared" si="54"/>
        <v>6.6325398390808523E-3</v>
      </c>
      <c r="J95" s="24">
        <f t="shared" si="55"/>
        <v>6.6325398390808523E-3</v>
      </c>
      <c r="K95" s="22">
        <f t="shared" si="56"/>
        <v>1.8548628363531196E-2</v>
      </c>
      <c r="L95" s="22">
        <f t="shared" si="57"/>
        <v>6.6325398390808523E-3</v>
      </c>
      <c r="M95" s="227">
        <f t="shared" si="49"/>
        <v>6.6325398390808523E-3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0.3575757575757576</v>
      </c>
      <c r="I96" s="22">
        <f t="shared" si="54"/>
        <v>2.3519644819435647E-3</v>
      </c>
      <c r="J96" s="24">
        <f t="shared" si="55"/>
        <v>2.3519644819435647E-3</v>
      </c>
      <c r="K96" s="22">
        <f t="shared" si="56"/>
        <v>6.5775277884862395E-3</v>
      </c>
      <c r="L96" s="22">
        <f t="shared" si="57"/>
        <v>2.3519644819435647E-3</v>
      </c>
      <c r="M96" s="227">
        <f t="shared" si="49"/>
        <v>2.3519644819435647E-3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0.25454545454545457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0.25454545454545457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1.3394238405644706E-4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6.4962056267376821E-4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4.2415088284541568E-4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0.16969696969696968</v>
      </c>
      <c r="I106" s="22">
        <f t="shared" si="54"/>
        <v>5.3576953622578845E-4</v>
      </c>
      <c r="J106" s="24">
        <f>IF(I$32&lt;=1+I132,I106,L106+J$33*(I106-L106))</f>
        <v>8.4624793127362414E-4</v>
      </c>
      <c r="K106" s="22">
        <f t="shared" si="56"/>
        <v>9.2085389038807364E-3</v>
      </c>
      <c r="L106" s="22">
        <f t="shared" si="57"/>
        <v>1.5626611473252157E-3</v>
      </c>
      <c r="M106" s="227">
        <f>(J106)</f>
        <v>8.4624793127362414E-4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2.489322978842606E-2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2.489322978842606E-2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0.33636363636363642</v>
      </c>
      <c r="I109" s="22">
        <f t="shared" si="61"/>
        <v>4.9492308865928883E-2</v>
      </c>
      <c r="J109" s="24">
        <f t="shared" si="62"/>
        <v>4.9492308865928883E-2</v>
      </c>
      <c r="K109" s="22">
        <f t="shared" si="63"/>
        <v>0.14713929662843719</v>
      </c>
      <c r="L109" s="22">
        <f t="shared" si="64"/>
        <v>4.9492308865928883E-2</v>
      </c>
      <c r="M109" s="227">
        <f t="shared" si="65"/>
        <v>4.9492308865928883E-2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0.33636363636363642</v>
      </c>
      <c r="I110" s="22">
        <f t="shared" si="61"/>
        <v>2.9735209260531255E-2</v>
      </c>
      <c r="J110" s="24">
        <f t="shared" si="62"/>
        <v>2.9735209260531255E-2</v>
      </c>
      <c r="K110" s="22">
        <f t="shared" si="63"/>
        <v>8.8401973477255064E-2</v>
      </c>
      <c r="L110" s="22">
        <f t="shared" si="64"/>
        <v>2.9735209260531255E-2</v>
      </c>
      <c r="M110" s="227">
        <f t="shared" si="65"/>
        <v>2.9735209260531255E-2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0.33636363636363642</v>
      </c>
      <c r="I111" s="22">
        <f t="shared" si="61"/>
        <v>7.2833563158979833E-2</v>
      </c>
      <c r="J111" s="24">
        <f t="shared" si="62"/>
        <v>7.2833563158979833E-2</v>
      </c>
      <c r="K111" s="22">
        <f t="shared" si="63"/>
        <v>0.21653221479696702</v>
      </c>
      <c r="L111" s="22">
        <f t="shared" si="64"/>
        <v>7.2833563158979833E-2</v>
      </c>
      <c r="M111" s="227">
        <f t="shared" si="65"/>
        <v>7.2833563158979833E-2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0.10640590734841417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0.10640590734841417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0.7151515151515152</v>
      </c>
      <c r="I115" s="22">
        <f t="shared" si="61"/>
        <v>1.2920443827977084</v>
      </c>
      <c r="J115" s="24">
        <f t="shared" si="62"/>
        <v>1.2920443827977084</v>
      </c>
      <c r="K115" s="22">
        <f t="shared" si="63"/>
        <v>1.8066722301832363</v>
      </c>
      <c r="L115" s="22">
        <f t="shared" si="64"/>
        <v>1.2920443827977084</v>
      </c>
      <c r="M115" s="227">
        <f t="shared" si="65"/>
        <v>1.2920443827977084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1.9051487036990638</v>
      </c>
      <c r="J119" s="24">
        <f>SUM(J91:J118)</f>
        <v>1.8943656058375151</v>
      </c>
      <c r="K119" s="22">
        <f>SUM(K91:K118)</f>
        <v>2.9599891076719906</v>
      </c>
      <c r="L119" s="22">
        <f>SUM(L91:L118)</f>
        <v>1.870691865945324</v>
      </c>
      <c r="M119" s="57">
        <f t="shared" si="49"/>
        <v>1.8943656058375151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9">
        <f>(B124)</f>
        <v>1.2592558019670561</v>
      </c>
      <c r="L124" s="29">
        <f>IF(SUMPRODUCT($B$124:$B124,$H$124:$H124)&lt;L$119,($B124*$H124),L$119)</f>
        <v>1.0684594683356841</v>
      </c>
      <c r="M124" s="239">
        <f t="shared" si="66"/>
        <v>1.0684594683356841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0.83668923536337969</v>
      </c>
      <c r="J125" s="236">
        <f>IF(SUMPRODUCT($B$124:$B125,$H$124:$H125)&lt;J$119,($B125*$H125),IF(SUMPRODUCT($B$124:$B124,$H$124:$H124)&lt;J$119,J$119-SUMPRODUCT($B$124:$B124,$H$124:$H124),0))</f>
        <v>0.82590613750183106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0.80223239760963994</v>
      </c>
      <c r="M125" s="239">
        <f t="shared" si="66"/>
        <v>0.82590613750183106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0.83668923536337969</v>
      </c>
      <c r="J128" s="227">
        <f>(J30)</f>
        <v>0.60548016392092252</v>
      </c>
      <c r="K128" s="29">
        <f>(B128)</f>
        <v>0.64712844882837317</v>
      </c>
      <c r="L128" s="29">
        <f>IF(L124=L119,0,(L119-L124)/(B119-B124)*K128)</f>
        <v>0.30524915653945656</v>
      </c>
      <c r="M128" s="239">
        <f t="shared" si="66"/>
        <v>0.60548016392092252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1.9051487036990638</v>
      </c>
      <c r="J130" s="227">
        <f>(J119)</f>
        <v>1.8943656058375151</v>
      </c>
      <c r="K130" s="29">
        <f>(B130)</f>
        <v>2.9599891076719906</v>
      </c>
      <c r="L130" s="29">
        <f>(L119)</f>
        <v>1.870691865945324</v>
      </c>
      <c r="M130" s="239">
        <f t="shared" si="66"/>
        <v>1.8943656058375151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0.9004637136989857</v>
      </c>
      <c r="J131" s="236">
        <f>IF(SUMPRODUCT($B124:$B125,$H124:$H125)&gt;(J119-J128),SUMPRODUCT($B124:$B125,$H124:$H125)+J128-J119,0)</f>
        <v>0.68003774011807727</v>
      </c>
      <c r="K131" s="29"/>
      <c r="L131" s="29">
        <f>IF(I131&lt;SUM(L126:L127),0,I131-(SUM(L126:L127)))</f>
        <v>0.9004637136989857</v>
      </c>
      <c r="M131" s="236">
        <f>IF(I131&lt;SUM(M126:M127),0,I131-(SUM(M126:M127)))</f>
        <v>0.9004637136989857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6.3819118306351176E-3</v>
      </c>
      <c r="J6" s="24">
        <f t="shared" ref="J6:J13" si="3">IF(I$32&lt;=1+I$131,I6,B6*H6+J$33*(I6-B6*H6))</f>
        <v>6.3819118306351176E-3</v>
      </c>
      <c r="K6" s="22">
        <f t="shared" ref="K6:K31" si="4">B6</f>
        <v>3.1909559153175587E-2</v>
      </c>
      <c r="L6" s="22">
        <f t="shared" ref="L6:L29" si="5">IF(K6="","",K6*H6)</f>
        <v>6.3819118306351176E-3</v>
      </c>
      <c r="M6" s="223">
        <f t="shared" ref="M6:M31" si="6">J6</f>
        <v>6.3819118306351176E-3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2.5527647322540471E-2</v>
      </c>
      <c r="Z6" s="116">
        <v>0.17</v>
      </c>
      <c r="AA6" s="121">
        <f>$M6*Z6*4</f>
        <v>4.3397000448318806E-3</v>
      </c>
      <c r="AB6" s="116">
        <v>0.17</v>
      </c>
      <c r="AC6" s="121">
        <f t="shared" ref="AC6:AC29" si="7">$M6*AB6*4</f>
        <v>4.3397000448318806E-3</v>
      </c>
      <c r="AD6" s="116">
        <v>0.33</v>
      </c>
      <c r="AE6" s="121">
        <f t="shared" ref="AE6:AE29" si="8">$M6*AD6*4</f>
        <v>8.4241236164383556E-3</v>
      </c>
      <c r="AF6" s="122">
        <f>1-SUM(Z6,AB6,AD6)</f>
        <v>0.32999999999999996</v>
      </c>
      <c r="AG6" s="121">
        <f>$M6*AF6*4</f>
        <v>8.4241236164383539E-3</v>
      </c>
      <c r="AH6" s="123">
        <f>SUM(Z6,AB6,AD6,AF6)</f>
        <v>1</v>
      </c>
      <c r="AI6" s="183">
        <f>SUM(AA6,AC6,AE6,AG6)/4</f>
        <v>6.3819118306351176E-3</v>
      </c>
      <c r="AJ6" s="120">
        <f>(AA6+AC6)/2</f>
        <v>4.3397000448318806E-3</v>
      </c>
      <c r="AK6" s="119">
        <f>(AE6+AG6)/2</f>
        <v>8.4241236164383539E-3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0.2</v>
      </c>
      <c r="F7" s="27">
        <v>8800</v>
      </c>
      <c r="H7" s="24">
        <f t="shared" si="1"/>
        <v>0.2</v>
      </c>
      <c r="I7" s="22">
        <f t="shared" si="2"/>
        <v>2.0379086995196585E-3</v>
      </c>
      <c r="J7" s="24">
        <f t="shared" si="3"/>
        <v>2.0379086995196585E-3</v>
      </c>
      <c r="K7" s="22">
        <f t="shared" si="4"/>
        <v>1.0189543497598291E-2</v>
      </c>
      <c r="L7" s="22">
        <f t="shared" si="5"/>
        <v>2.0379086995196585E-3</v>
      </c>
      <c r="M7" s="223">
        <f t="shared" si="6"/>
        <v>2.0379086995196585E-3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1220.6860954174042</v>
      </c>
      <c r="T7" s="221">
        <f>IF($B$81=0,0,(SUMIF($N$6:$N$28,$U7,M$6:M$28)+SUMIF($N$91:$N$118,$U7,M$91:M$118))*$I$83*Poor!$B$81/$B$81)</f>
        <v>1312.7678031239641</v>
      </c>
      <c r="U7" s="222">
        <v>1</v>
      </c>
      <c r="V7" s="56"/>
      <c r="W7" s="115"/>
      <c r="X7" s="124">
        <v>4</v>
      </c>
      <c r="Y7" s="183">
        <f t="shared" ref="Y7:Y29" si="9">M7*4</f>
        <v>8.151634798078634E-3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8.151634798078634E-3</v>
      </c>
      <c r="AH7" s="123">
        <f t="shared" ref="AH7:AH30" si="12">SUM(Z7,AB7,AD7,AF7)</f>
        <v>1</v>
      </c>
      <c r="AI7" s="183">
        <f t="shared" ref="AI7:AI30" si="13">SUM(AA7,AC7,AE7,AG7)/4</f>
        <v>2.0379086995196585E-3</v>
      </c>
      <c r="AJ7" s="120">
        <f t="shared" ref="AJ7:AJ31" si="14">(AA7+AC7)/2</f>
        <v>0</v>
      </c>
      <c r="AK7" s="119">
        <f t="shared" ref="AK7:AK31" si="15">(AE7+AG7)/2</f>
        <v>4.075817399039317E-3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3.6051521637608963E-3</v>
      </c>
      <c r="J8" s="24">
        <f t="shared" si="3"/>
        <v>3.6051521637608963E-3</v>
      </c>
      <c r="K8" s="22">
        <f t="shared" si="4"/>
        <v>1.8025760818804481E-2</v>
      </c>
      <c r="L8" s="22">
        <f t="shared" si="5"/>
        <v>3.6051521637608963E-3</v>
      </c>
      <c r="M8" s="223">
        <f t="shared" si="6"/>
        <v>3.6051521637608963E-3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156.71999999999997</v>
      </c>
      <c r="T8" s="221">
        <f>IF($B$81=0,0,(SUMIF($N$6:$N$28,$U8,M$6:M$28)+SUMIF($N$91:$N$118,$U8,M$91:M$118))*$I$83*Poor!$B$81/$B$81)</f>
        <v>5.7999999999999954</v>
      </c>
      <c r="U8" s="222">
        <v>2</v>
      </c>
      <c r="V8" s="184"/>
      <c r="W8" s="115"/>
      <c r="X8" s="124">
        <v>1</v>
      </c>
      <c r="Y8" s="183">
        <f t="shared" si="9"/>
        <v>1.4420608655043585E-2</v>
      </c>
      <c r="Z8" s="125">
        <f>IF($Y8=0,0,AA8/$Y8)</f>
        <v>0.45523437477587642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6.5647567649663582E-3</v>
      </c>
      <c r="AB8" s="125">
        <f>IF($Y8=0,0,AC8/$Y8)</f>
        <v>0.50306562673973676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7.2545125310179729E-3</v>
      </c>
      <c r="AD8" s="125">
        <f>IF($Y8=0,0,AE8/$Y8)</f>
        <v>4.1699998484386942E-2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6.0133935905925476E-4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3.6051521637608967E-3</v>
      </c>
      <c r="AJ8" s="120">
        <f t="shared" si="14"/>
        <v>6.9096346479921656E-3</v>
      </c>
      <c r="AK8" s="119">
        <f t="shared" si="15"/>
        <v>3.0066967952962738E-4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4.9285714285714289E-3</v>
      </c>
      <c r="J9" s="24">
        <f t="shared" si="3"/>
        <v>4.9285714285714289E-3</v>
      </c>
      <c r="K9" s="22">
        <f t="shared" si="4"/>
        <v>2.4642857142857143E-2</v>
      </c>
      <c r="L9" s="22">
        <f t="shared" si="5"/>
        <v>4.9285714285714289E-3</v>
      </c>
      <c r="M9" s="223">
        <f t="shared" si="6"/>
        <v>4.9285714285714289E-3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246.24604436090095</v>
      </c>
      <c r="T9" s="221">
        <f>IF($B$81=0,0,(SUMIF($N$6:$N$28,$U9,M$6:M$28)+SUMIF($N$91:$N$118,$U9,M$91:M$118))*$I$83*Poor!$B$81/$B$81)</f>
        <v>246.24604436090095</v>
      </c>
      <c r="U9" s="222">
        <v>3</v>
      </c>
      <c r="V9" s="56"/>
      <c r="W9" s="115"/>
      <c r="X9" s="124">
        <v>1</v>
      </c>
      <c r="Y9" s="183">
        <f t="shared" si="9"/>
        <v>1.9714285714285715E-2</v>
      </c>
      <c r="Z9" s="125">
        <f>IF($Y9=0,0,AA9/$Y9)</f>
        <v>0.45523437477587642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8.9746205312958502E-3</v>
      </c>
      <c r="AB9" s="125">
        <f>IF($Y9=0,0,AC9/$Y9)</f>
        <v>0.50306562673973676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9.9175794985833822E-3</v>
      </c>
      <c r="AD9" s="125">
        <f>IF($Y9=0,0,AE9/$Y9)</f>
        <v>4.1699998484386817E-2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8.2208568440648305E-4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4.9285714285714289E-3</v>
      </c>
      <c r="AJ9" s="120">
        <f t="shared" si="14"/>
        <v>9.4461000149396162E-3</v>
      </c>
      <c r="AK9" s="119">
        <f t="shared" si="15"/>
        <v>4.1104284220324153E-4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0.3</v>
      </c>
      <c r="H10" s="24">
        <f t="shared" si="1"/>
        <v>0.3</v>
      </c>
      <c r="I10" s="22">
        <f t="shared" si="2"/>
        <v>3.2589291267123288E-2</v>
      </c>
      <c r="J10" s="24">
        <f t="shared" si="3"/>
        <v>3.2589291267123288E-2</v>
      </c>
      <c r="K10" s="22">
        <f t="shared" si="4"/>
        <v>0.10863097089041096</v>
      </c>
      <c r="L10" s="22">
        <f t="shared" si="5"/>
        <v>3.2589291267123288E-2</v>
      </c>
      <c r="M10" s="223">
        <f t="shared" si="6"/>
        <v>3.2589291267123288E-2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0.33714285714285719</v>
      </c>
      <c r="T10" s="221">
        <f>IF($B$81=0,0,(SUMIF($N$6:$N$28,$U10,M$6:M$28)+SUMIF($N$91:$N$118,$U10,M$91:M$118))*$I$83*Poor!$B$81/$B$81)</f>
        <v>0.33714285714285719</v>
      </c>
      <c r="U10" s="222">
        <v>4</v>
      </c>
      <c r="V10" s="56"/>
      <c r="W10" s="115"/>
      <c r="X10" s="124">
        <v>1</v>
      </c>
      <c r="Y10" s="183">
        <f t="shared" si="9"/>
        <v>0.13035716506849315</v>
      </c>
      <c r="Z10" s="125">
        <f>IF($Y10=0,0,AA10/$Y10)</f>
        <v>0.45523437477587642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5.9343062537511197E-2</v>
      </c>
      <c r="AB10" s="125">
        <f>IF($Y10=0,0,AC10/$Y10)</f>
        <v>0.50306562673973676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6.5578208945196823E-2</v>
      </c>
      <c r="AD10" s="125">
        <f>IF($Y10=0,0,AE10/$Y10)</f>
        <v>4.169999848438681E-2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5.4358935857851259E-3</v>
      </c>
      <c r="AF10" s="122">
        <f t="shared" si="10"/>
        <v>0</v>
      </c>
      <c r="AG10" s="121">
        <f t="shared" si="11"/>
        <v>0</v>
      </c>
      <c r="AH10" s="123">
        <f t="shared" si="12"/>
        <v>0.99999999999999989</v>
      </c>
      <c r="AI10" s="183">
        <f t="shared" si="13"/>
        <v>3.2589291267123288E-2</v>
      </c>
      <c r="AJ10" s="120">
        <f t="shared" si="14"/>
        <v>6.2460635741354006E-2</v>
      </c>
      <c r="AK10" s="119">
        <f t="shared" si="15"/>
        <v>2.717946792892563E-3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1846.9107142857147</v>
      </c>
      <c r="T11" s="221">
        <f>IF($B$81=0,0,(SUMIF($N$6:$N$28,$U11,M$6:M$28)+SUMIF($N$91:$N$118,$U11,M$91:M$118))*$I$83*Poor!$B$81/$B$81)</f>
        <v>1735.569285714286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0.2</v>
      </c>
      <c r="H12" s="24">
        <f t="shared" si="1"/>
        <v>0.2</v>
      </c>
      <c r="I12" s="22">
        <f t="shared" si="2"/>
        <v>8.7702490802348335E-3</v>
      </c>
      <c r="J12" s="24">
        <f t="shared" si="3"/>
        <v>8.7702490802348335E-3</v>
      </c>
      <c r="K12" s="22">
        <f t="shared" si="4"/>
        <v>4.3851245401174167E-2</v>
      </c>
      <c r="L12" s="22">
        <f t="shared" si="5"/>
        <v>8.7702490802348335E-3</v>
      </c>
      <c r="M12" s="223">
        <f t="shared" si="6"/>
        <v>8.7702490802348335E-3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386.87979640947736</v>
      </c>
      <c r="U12" s="222">
        <v>6</v>
      </c>
      <c r="V12" s="56"/>
      <c r="W12" s="117"/>
      <c r="X12" s="118"/>
      <c r="Y12" s="183">
        <f t="shared" si="9"/>
        <v>3.5080996320939334E-2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2.3504267535029356E-2</v>
      </c>
      <c r="AF12" s="122">
        <f>1-SUM(Z12,AB12,AD12)</f>
        <v>0.32999999999999996</v>
      </c>
      <c r="AG12" s="121">
        <f>$M12*AF12*4</f>
        <v>1.1576728785909979E-2</v>
      </c>
      <c r="AH12" s="123">
        <f t="shared" si="12"/>
        <v>1</v>
      </c>
      <c r="AI12" s="183">
        <f t="shared" si="13"/>
        <v>8.7702490802348335E-3</v>
      </c>
      <c r="AJ12" s="120">
        <f t="shared" si="14"/>
        <v>0</v>
      </c>
      <c r="AK12" s="119">
        <f t="shared" si="15"/>
        <v>1.7540498160469667E-2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3789.6470929628144</v>
      </c>
      <c r="T13" s="221">
        <f>IF($B$81=0,0,(SUMIF($N$6:$N$28,$U13,M$6:M$28)+SUMIF($N$91:$N$118,$U13,M$91:M$118))*$I$83*Poor!$B$81/$B$81)</f>
        <v>3789.6470929628144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0.2</v>
      </c>
      <c r="F14" s="22"/>
      <c r="H14" s="24">
        <f t="shared" si="1"/>
        <v>0.2</v>
      </c>
      <c r="I14" s="22">
        <f t="shared" si="2"/>
        <v>1.7881641834193206E-3</v>
      </c>
      <c r="J14" s="24">
        <f>IF(I$32&lt;=1+I131,I14,B14*H14+J$33*(I14-B14*H14))</f>
        <v>1.7881641834193206E-3</v>
      </c>
      <c r="K14" s="22">
        <f t="shared" si="4"/>
        <v>8.3353977939868342E-3</v>
      </c>
      <c r="L14" s="22">
        <f t="shared" si="5"/>
        <v>1.667079558797367E-3</v>
      </c>
      <c r="M14" s="224">
        <f t="shared" si="6"/>
        <v>1.7881641834193206E-3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7.1526567336772824E-3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7.1526567336772824E-3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1.7881641834193206E-3</v>
      </c>
      <c r="AJ14" s="120">
        <f t="shared" si="14"/>
        <v>3.5763283668386412E-3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0.2</v>
      </c>
      <c r="F15" s="22"/>
      <c r="H15" s="24">
        <f t="shared" si="1"/>
        <v>0.2</v>
      </c>
      <c r="I15" s="22">
        <f t="shared" si="2"/>
        <v>5.9327696584237678E-4</v>
      </c>
      <c r="J15" s="24">
        <f>IF(I$32&lt;=1+I131,I15,B15*H15+J$33*(I15-B15*H15))</f>
        <v>5.9327696584237678E-4</v>
      </c>
      <c r="K15" s="22">
        <f t="shared" si="4"/>
        <v>2.7192490882405264E-3</v>
      </c>
      <c r="L15" s="22">
        <f t="shared" si="5"/>
        <v>5.4384981764810526E-4</v>
      </c>
      <c r="M15" s="225">
        <f t="shared" si="6"/>
        <v>5.9327696584237678E-4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2.3731078633695071E-3</v>
      </c>
      <c r="Z15" s="116">
        <v>0.25</v>
      </c>
      <c r="AA15" s="121">
        <f t="shared" si="16"/>
        <v>5.9327696584237678E-4</v>
      </c>
      <c r="AB15" s="116">
        <v>0.25</v>
      </c>
      <c r="AC15" s="121">
        <f t="shared" si="7"/>
        <v>5.9327696584237678E-4</v>
      </c>
      <c r="AD15" s="116">
        <v>0.25</v>
      </c>
      <c r="AE15" s="121">
        <f t="shared" si="8"/>
        <v>5.9327696584237678E-4</v>
      </c>
      <c r="AF15" s="122">
        <f t="shared" si="10"/>
        <v>0.25</v>
      </c>
      <c r="AG15" s="121">
        <f t="shared" si="11"/>
        <v>5.9327696584237678E-4</v>
      </c>
      <c r="AH15" s="123">
        <f t="shared" si="12"/>
        <v>1</v>
      </c>
      <c r="AI15" s="183">
        <f t="shared" si="13"/>
        <v>5.9327696584237678E-4</v>
      </c>
      <c r="AJ15" s="120">
        <f t="shared" si="14"/>
        <v>5.9327696584237678E-4</v>
      </c>
      <c r="AK15" s="119">
        <f t="shared" si="15"/>
        <v>5.9327696584237678E-4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0.2</v>
      </c>
      <c r="F16" s="22"/>
      <c r="H16" s="24">
        <f t="shared" si="1"/>
        <v>0.2</v>
      </c>
      <c r="I16" s="22">
        <f t="shared" si="2"/>
        <v>1.2583538551859102E-3</v>
      </c>
      <c r="J16" s="24">
        <f>IF(I$32&lt;=1+I131,I16,B16*H16+J$33*(I16-B16*H16))</f>
        <v>1.2583538551859102E-3</v>
      </c>
      <c r="K16" s="22">
        <f t="shared" si="4"/>
        <v>5.6982360967799319E-3</v>
      </c>
      <c r="L16" s="22">
        <f t="shared" si="5"/>
        <v>1.1396472193559864E-3</v>
      </c>
      <c r="M16" s="223">
        <f t="shared" si="6"/>
        <v>1.2583538551859102E-3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5.0334154207436407E-3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5.0334154207436407E-3</v>
      </c>
      <c r="AH16" s="123">
        <f t="shared" si="12"/>
        <v>1</v>
      </c>
      <c r="AI16" s="183">
        <f t="shared" si="13"/>
        <v>1.2583538551859102E-3</v>
      </c>
      <c r="AJ16" s="120">
        <f t="shared" si="14"/>
        <v>0</v>
      </c>
      <c r="AK16" s="119">
        <f t="shared" si="15"/>
        <v>2.5167077103718204E-3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0.2</v>
      </c>
      <c r="F17" s="22"/>
      <c r="H17" s="24">
        <f t="shared" si="1"/>
        <v>0.2</v>
      </c>
      <c r="I17" s="22">
        <f t="shared" si="2"/>
        <v>1.6800403753780468E-3</v>
      </c>
      <c r="J17" s="24">
        <f t="shared" ref="J17:J25" si="17">IF(I$32&lt;=1+I131,I17,B17*H17+J$33*(I17-B17*H17))</f>
        <v>1.6800403753780468E-3</v>
      </c>
      <c r="K17" s="22">
        <f t="shared" si="4"/>
        <v>8.4002018768902335E-3</v>
      </c>
      <c r="L17" s="22">
        <f t="shared" si="5"/>
        <v>1.6800403753780468E-3</v>
      </c>
      <c r="M17" s="224">
        <f t="shared" si="6"/>
        <v>1.6800403753780468E-3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6.7201615015121874E-3</v>
      </c>
      <c r="Z17" s="116">
        <v>0.29409999999999997</v>
      </c>
      <c r="AA17" s="121">
        <f t="shared" si="16"/>
        <v>1.9763994975947343E-3</v>
      </c>
      <c r="AB17" s="116">
        <v>0.17649999999999999</v>
      </c>
      <c r="AC17" s="121">
        <f t="shared" si="7"/>
        <v>1.1861085050169011E-3</v>
      </c>
      <c r="AD17" s="116">
        <v>0.23530000000000001</v>
      </c>
      <c r="AE17" s="121">
        <f t="shared" si="8"/>
        <v>1.5812540013058177E-3</v>
      </c>
      <c r="AF17" s="122">
        <f t="shared" si="10"/>
        <v>0.29410000000000003</v>
      </c>
      <c r="AG17" s="121">
        <f t="shared" si="11"/>
        <v>1.9763994975947343E-3</v>
      </c>
      <c r="AH17" s="123">
        <f t="shared" si="12"/>
        <v>1</v>
      </c>
      <c r="AI17" s="183">
        <f t="shared" si="13"/>
        <v>1.6800403753780471E-3</v>
      </c>
      <c r="AJ17" s="120">
        <f t="shared" si="14"/>
        <v>1.5812540013058177E-3</v>
      </c>
      <c r="AK17" s="119">
        <f t="shared" si="15"/>
        <v>1.778826749450276E-3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8.8420466109233255E-4</v>
      </c>
      <c r="J18" s="24">
        <f t="shared" si="17"/>
        <v>8.7965607183205401E-4</v>
      </c>
      <c r="K18" s="22">
        <f t="shared" ref="K18:K20" si="21">B18</f>
        <v>4.3612474648639038E-3</v>
      </c>
      <c r="L18" s="22">
        <f t="shared" ref="L18:L20" si="22">IF(K18="","",K18*H18)</f>
        <v>8.7224949297278083E-4</v>
      </c>
      <c r="M18" s="224">
        <f t="shared" ref="M18:M20" si="23">J18</f>
        <v>8.7965607183205401E-4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3.5186242873282161E-3</v>
      </c>
      <c r="Z18" s="116">
        <v>1.2941</v>
      </c>
      <c r="AA18" s="121">
        <f t="shared" ref="AA18:AA20" si="25">$M18*Z18*4</f>
        <v>4.5534516902314441E-3</v>
      </c>
      <c r="AB18" s="116">
        <v>1.1765000000000001</v>
      </c>
      <c r="AC18" s="121">
        <f t="shared" ref="AC18:AC20" si="26">$M18*AB18*4</f>
        <v>4.1396614740416464E-3</v>
      </c>
      <c r="AD18" s="116">
        <v>1.2353000000000001</v>
      </c>
      <c r="AE18" s="121">
        <f t="shared" ref="AE18:AE20" si="27">$M18*AD18*4</f>
        <v>4.3465565821365452E-3</v>
      </c>
      <c r="AF18" s="122">
        <f t="shared" ref="AF18:AF20" si="28">1-SUM(Z18,AB18,AD18)</f>
        <v>-2.7059000000000002</v>
      </c>
      <c r="AG18" s="121">
        <f t="shared" ref="AG18:AG20" si="29">$M18*AF18*4</f>
        <v>-9.521045459081421E-3</v>
      </c>
      <c r="AH18" s="123">
        <f t="shared" ref="AH18:AH20" si="30">SUM(Z18,AB18,AD18,AF18)</f>
        <v>1</v>
      </c>
      <c r="AI18" s="183">
        <f t="shared" ref="AI18:AI20" si="31">SUM(AA18,AC18,AE18,AG18)/4</f>
        <v>8.7965607183205369E-4</v>
      </c>
      <c r="AJ18" s="120">
        <f t="shared" ref="AJ18:AJ20" si="32">(AA18+AC18)/2</f>
        <v>4.3465565821365452E-3</v>
      </c>
      <c r="AK18" s="119">
        <f t="shared" ref="AK18:AK20" si="33">(AE18+AG18)/2</f>
        <v>-2.5872444384724379E-3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0.2</v>
      </c>
      <c r="F19" s="22"/>
      <c r="H19" s="24">
        <f t="shared" si="19"/>
        <v>0.2</v>
      </c>
      <c r="I19" s="22">
        <f t="shared" si="20"/>
        <v>1.1644753469133608E-2</v>
      </c>
      <c r="J19" s="24">
        <f t="shared" si="17"/>
        <v>9.0769694932832483E-3</v>
      </c>
      <c r="K19" s="22">
        <f t="shared" si="21"/>
        <v>2.4478921010496351E-2</v>
      </c>
      <c r="L19" s="22">
        <f t="shared" si="22"/>
        <v>4.8957842020992707E-3</v>
      </c>
      <c r="M19" s="224">
        <f t="shared" si="23"/>
        <v>9.0769694932832483E-3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3.6307877973132993E-2</v>
      </c>
      <c r="Z19" s="116">
        <v>2.2940999999999998</v>
      </c>
      <c r="AA19" s="121">
        <f t="shared" si="25"/>
        <v>8.329390285816439E-2</v>
      </c>
      <c r="AB19" s="116">
        <v>2.1764999999999999</v>
      </c>
      <c r="AC19" s="121">
        <f t="shared" si="26"/>
        <v>7.9024096408523953E-2</v>
      </c>
      <c r="AD19" s="116">
        <v>2.2353000000000001</v>
      </c>
      <c r="AE19" s="121">
        <f t="shared" si="27"/>
        <v>8.1158999633344178E-2</v>
      </c>
      <c r="AF19" s="122">
        <f t="shared" si="28"/>
        <v>-5.7058999999999997</v>
      </c>
      <c r="AG19" s="121">
        <f t="shared" si="29"/>
        <v>-0.20716912092689954</v>
      </c>
      <c r="AH19" s="123">
        <f t="shared" si="30"/>
        <v>1</v>
      </c>
      <c r="AI19" s="183">
        <f t="shared" si="31"/>
        <v>9.0769694932832379E-3</v>
      </c>
      <c r="AJ19" s="120">
        <f t="shared" si="32"/>
        <v>8.1158999633344164E-2</v>
      </c>
      <c r="AK19" s="119">
        <f t="shared" si="33"/>
        <v>-6.3005060646777689E-2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0.2</v>
      </c>
      <c r="F20" s="22"/>
      <c r="H20" s="24">
        <f t="shared" si="19"/>
        <v>0.2</v>
      </c>
      <c r="I20" s="22">
        <f t="shared" si="20"/>
        <v>1.5405974025974028E-3</v>
      </c>
      <c r="J20" s="24">
        <f t="shared" si="17"/>
        <v>1.5405974025974028E-3</v>
      </c>
      <c r="K20" s="22">
        <f t="shared" si="21"/>
        <v>7.7029870129870131E-3</v>
      </c>
      <c r="L20" s="22">
        <f t="shared" si="22"/>
        <v>1.5405974025974028E-3</v>
      </c>
      <c r="M20" s="224">
        <f t="shared" si="23"/>
        <v>1.5405974025974028E-3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26446.761659711399</v>
      </c>
      <c r="T20" s="221">
        <f>IF($B$81=0,0,(SUMIF($N$6:$N$28,$U20,M$6:M$28)+SUMIF($N$91:$N$118,$U20,M$91:M$118))*$I$83*Poor!$B$81/$B$81)</f>
        <v>26446.761659711399</v>
      </c>
      <c r="U20" s="222">
        <v>14</v>
      </c>
      <c r="V20" s="56"/>
      <c r="W20" s="110"/>
      <c r="X20" s="118"/>
      <c r="Y20" s="183">
        <f t="shared" si="24"/>
        <v>6.1623896103896111E-3</v>
      </c>
      <c r="Z20" s="116">
        <v>3.2940999999999998</v>
      </c>
      <c r="AA20" s="121">
        <f t="shared" si="25"/>
        <v>2.0299527615584418E-2</v>
      </c>
      <c r="AB20" s="116">
        <v>3.1764999999999999</v>
      </c>
      <c r="AC20" s="121">
        <f t="shared" si="26"/>
        <v>1.9574830597402598E-2</v>
      </c>
      <c r="AD20" s="116">
        <v>3.2353000000000001</v>
      </c>
      <c r="AE20" s="121">
        <f t="shared" si="27"/>
        <v>1.9937179106493508E-2</v>
      </c>
      <c r="AF20" s="122">
        <f t="shared" si="28"/>
        <v>-8.7058999999999997</v>
      </c>
      <c r="AG20" s="121">
        <f t="shared" si="29"/>
        <v>-5.3649147709090912E-2</v>
      </c>
      <c r="AH20" s="123">
        <f t="shared" si="30"/>
        <v>1</v>
      </c>
      <c r="AI20" s="183">
        <f t="shared" si="31"/>
        <v>1.5405974025974028E-3</v>
      </c>
      <c r="AJ20" s="120">
        <f t="shared" si="32"/>
        <v>1.9937179106493508E-2</v>
      </c>
      <c r="AK20" s="119">
        <f t="shared" si="33"/>
        <v>-1.6855984301298702E-2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0.2</v>
      </c>
      <c r="F21" s="22"/>
      <c r="H21" s="24">
        <f t="shared" ref="H21:H25" si="35">(E21*F$7/F$9)</f>
        <v>0.2</v>
      </c>
      <c r="I21" s="22">
        <f t="shared" ref="I21:I25" si="36">(D21*H21)</f>
        <v>1.0129955523928125E-3</v>
      </c>
      <c r="J21" s="24">
        <f t="shared" si="17"/>
        <v>1.0014311703225955E-3</v>
      </c>
      <c r="K21" s="22">
        <f t="shared" ref="K21:K25" si="37">B21</f>
        <v>4.9130030243728865E-3</v>
      </c>
      <c r="L21" s="22">
        <f t="shared" ref="L21:L25" si="38">IF(K21="","",K21*H21)</f>
        <v>9.8260060487457743E-4</v>
      </c>
      <c r="M21" s="224">
        <f t="shared" ref="M21:M25" si="39">J21</f>
        <v>1.0014311703225955E-3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4.0057246812903822E-3</v>
      </c>
      <c r="Z21" s="116">
        <v>4.2941000000000003</v>
      </c>
      <c r="AA21" s="121">
        <f t="shared" ref="AA21:AA25" si="41">$M21*Z21*4</f>
        <v>1.7200982353929032E-2</v>
      </c>
      <c r="AB21" s="116">
        <v>4.1764999999999999</v>
      </c>
      <c r="AC21" s="121">
        <f t="shared" ref="AC21:AC25" si="42">$M21*AB21*4</f>
        <v>1.672990913140928E-2</v>
      </c>
      <c r="AD21" s="116">
        <v>4.2352999999999996</v>
      </c>
      <c r="AE21" s="121">
        <f t="shared" ref="AE21:AE25" si="43">$M21*AD21*4</f>
        <v>1.6965445742669154E-2</v>
      </c>
      <c r="AF21" s="122">
        <f t="shared" ref="AF21:AF25" si="44">1-SUM(Z21,AB21,AD21)</f>
        <v>-11.7059</v>
      </c>
      <c r="AG21" s="121">
        <f t="shared" ref="AG21:AG25" si="45">$M21*AF21*4</f>
        <v>-4.6890612546717086E-2</v>
      </c>
      <c r="AH21" s="123">
        <f t="shared" ref="AH21:AH25" si="46">SUM(Z21,AB21,AD21,AF21)</f>
        <v>1</v>
      </c>
      <c r="AI21" s="183">
        <f t="shared" ref="AI21:AI25" si="47">SUM(AA21,AC21,AE21,AG21)/4</f>
        <v>1.0014311703225968E-3</v>
      </c>
      <c r="AJ21" s="120">
        <f t="shared" ref="AJ21:AJ25" si="48">(AA21+AC21)/2</f>
        <v>1.6965445742669158E-2</v>
      </c>
      <c r="AK21" s="119">
        <f t="shared" ref="AK21:AK25" si="49">(AE21+AG21)/2</f>
        <v>-1.4962583402023966E-2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6.1331560146492799E-3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6.1331560146492799E-3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2.453262405859712E-2</v>
      </c>
      <c r="Z22" s="116">
        <v>5.2941000000000003</v>
      </c>
      <c r="AA22" s="121">
        <f t="shared" si="41"/>
        <v>0.12987816502861901</v>
      </c>
      <c r="AB22" s="116">
        <v>5.1764999999999999</v>
      </c>
      <c r="AC22" s="121">
        <f t="shared" si="42"/>
        <v>0.12699312843932797</v>
      </c>
      <c r="AD22" s="116">
        <v>5.2352999999999996</v>
      </c>
      <c r="AE22" s="121">
        <f t="shared" si="43"/>
        <v>0.12843564673397348</v>
      </c>
      <c r="AF22" s="122">
        <f t="shared" si="44"/>
        <v>-14.7059</v>
      </c>
      <c r="AG22" s="121">
        <f t="shared" si="45"/>
        <v>-0.36077431614332339</v>
      </c>
      <c r="AH22" s="123">
        <f t="shared" si="46"/>
        <v>1</v>
      </c>
      <c r="AI22" s="183">
        <f t="shared" si="47"/>
        <v>6.1331560146492686E-3</v>
      </c>
      <c r="AJ22" s="120">
        <f t="shared" si="48"/>
        <v>0.12843564673397351</v>
      </c>
      <c r="AK22" s="119">
        <f t="shared" si="49"/>
        <v>-0.11616933470467496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0.5</v>
      </c>
      <c r="F23" s="22"/>
      <c r="H23" s="24">
        <f t="shared" si="35"/>
        <v>0.5</v>
      </c>
      <c r="I23" s="22">
        <f t="shared" si="36"/>
        <v>4.0557064579256358E-3</v>
      </c>
      <c r="J23" s="24">
        <f t="shared" si="17"/>
        <v>4.0557064579256358E-3</v>
      </c>
      <c r="K23" s="22">
        <f t="shared" si="37"/>
        <v>8.1114129158512717E-3</v>
      </c>
      <c r="L23" s="22">
        <f t="shared" si="38"/>
        <v>4.0557064579256358E-3</v>
      </c>
      <c r="M23" s="224">
        <f t="shared" si="39"/>
        <v>4.0557064579256358E-3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44803.769612159296</v>
      </c>
      <c r="T23" s="179">
        <f>SUM(T7:T22)</f>
        <v>45043.940956300597</v>
      </c>
      <c r="U23" s="56"/>
      <c r="V23" s="56"/>
      <c r="W23" s="110"/>
      <c r="X23" s="118"/>
      <c r="Y23" s="183">
        <f t="shared" si="40"/>
        <v>1.6222825831702543E-2</v>
      </c>
      <c r="Z23" s="116">
        <v>6.2941000000000003</v>
      </c>
      <c r="AA23" s="121">
        <f t="shared" si="41"/>
        <v>0.10210808806731898</v>
      </c>
      <c r="AB23" s="116">
        <v>6.1764999999999999</v>
      </c>
      <c r="AC23" s="121">
        <f t="shared" si="42"/>
        <v>0.10020028374951076</v>
      </c>
      <c r="AD23" s="116">
        <v>6.2352999999999996</v>
      </c>
      <c r="AE23" s="121">
        <f t="shared" si="43"/>
        <v>0.10115418590841486</v>
      </c>
      <c r="AF23" s="122">
        <f t="shared" si="44"/>
        <v>-17.7059</v>
      </c>
      <c r="AG23" s="121">
        <f t="shared" si="45"/>
        <v>-0.28723973189354207</v>
      </c>
      <c r="AH23" s="123">
        <f t="shared" si="46"/>
        <v>1</v>
      </c>
      <c r="AI23" s="183">
        <f t="shared" si="47"/>
        <v>4.0557064579256341E-3</v>
      </c>
      <c r="AJ23" s="120">
        <f t="shared" si="48"/>
        <v>0.10115418590841488</v>
      </c>
      <c r="AK23" s="119">
        <f t="shared" si="49"/>
        <v>-9.304277299256361E-2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0.5</v>
      </c>
      <c r="F24" s="22"/>
      <c r="H24" s="24">
        <f t="shared" si="35"/>
        <v>0.5</v>
      </c>
      <c r="I24" s="22">
        <f t="shared" si="36"/>
        <v>6.7595107632093931E-3</v>
      </c>
      <c r="J24" s="24">
        <f t="shared" si="17"/>
        <v>6.7595107632093931E-3</v>
      </c>
      <c r="K24" s="22">
        <f t="shared" si="37"/>
        <v>1.3519021526418786E-2</v>
      </c>
      <c r="L24" s="22">
        <f t="shared" si="38"/>
        <v>6.7595107632093931E-3</v>
      </c>
      <c r="M24" s="224">
        <f t="shared" si="39"/>
        <v>6.7595107632093931E-3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2.7038043052837572E-2</v>
      </c>
      <c r="Z24" s="116">
        <v>7.2941000000000003</v>
      </c>
      <c r="AA24" s="121">
        <f t="shared" si="41"/>
        <v>0.19721818983170256</v>
      </c>
      <c r="AB24" s="116">
        <v>7.1764999999999999</v>
      </c>
      <c r="AC24" s="121">
        <f t="shared" si="42"/>
        <v>0.19403851596868885</v>
      </c>
      <c r="AD24" s="116">
        <v>7.2352999999999996</v>
      </c>
      <c r="AE24" s="121">
        <f t="shared" si="43"/>
        <v>0.19562835290019567</v>
      </c>
      <c r="AF24" s="122">
        <f t="shared" si="44"/>
        <v>-20.7059</v>
      </c>
      <c r="AG24" s="121">
        <f t="shared" si="45"/>
        <v>-0.55984701564774952</v>
      </c>
      <c r="AH24" s="123">
        <f t="shared" si="46"/>
        <v>1</v>
      </c>
      <c r="AI24" s="183">
        <f t="shared" si="47"/>
        <v>6.7595107632093809E-3</v>
      </c>
      <c r="AJ24" s="120">
        <f t="shared" si="48"/>
        <v>0.1956283529001957</v>
      </c>
      <c r="AK24" s="119">
        <f t="shared" si="49"/>
        <v>-0.18210933137377694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0.9250066842626854</v>
      </c>
      <c r="J30" s="230">
        <f>IF(I$32&lt;=1,I30,1-SUM(J6:J29))</f>
        <v>0.56914382509639128</v>
      </c>
      <c r="K30" s="22">
        <f t="shared" si="4"/>
        <v>0.61940969298167581</v>
      </c>
      <c r="L30" s="22">
        <f>IF(L124=L119,0,IF(K30="",0,(L119-L124)/(B119-B124)*K30))</f>
        <v>0.2790720451014827</v>
      </c>
      <c r="M30" s="175">
        <f t="shared" si="6"/>
        <v>0.56914382509639128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2.2765753003855651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2.1060005802187934E-2</v>
      </c>
      <c r="AE30" s="187">
        <f>IF(AE79*4/$I$83+SUM(AE6:AE29)&lt;1,AE79*4/$I$83,1-SUM(AE6:AE29))</f>
        <v>4.7944689035237742E-2</v>
      </c>
      <c r="AF30" s="122">
        <f>IF($Y30=0,0,AG30/($Y$30))</f>
        <v>0.97893999419781219</v>
      </c>
      <c r="AG30" s="187">
        <f>IF(AG79*4/$I$83+SUM(AG6:AG29)&lt;1,AG79*4/$I$83,1-SUM(AG6:AG29))</f>
        <v>2.2286306113503276</v>
      </c>
      <c r="AH30" s="123">
        <f t="shared" si="12"/>
        <v>1.0000000000000002</v>
      </c>
      <c r="AI30" s="183">
        <f t="shared" si="13"/>
        <v>0.56914382509639139</v>
      </c>
      <c r="AJ30" s="120">
        <f t="shared" si="14"/>
        <v>0</v>
      </c>
      <c r="AK30" s="119">
        <f t="shared" si="15"/>
        <v>1.1382876501927828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0.26828391144919317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11392.446662994727</v>
      </c>
      <c r="T31" s="233">
        <f>IF(T25&gt;T$23,T25-T$23,0)</f>
        <v>11152.275318853426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1.3580776990136094</v>
      </c>
      <c r="J32" s="17"/>
      <c r="L32" s="22">
        <f>SUM(L6:L30)</f>
        <v>0.73171608855080683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45466.608295647726</v>
      </c>
      <c r="T32" s="233">
        <f t="shared" si="50"/>
        <v>45226.436951506425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0.61952946083295657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11152.275318853423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0.33714285714285713</v>
      </c>
      <c r="J38" s="38">
        <f t="shared" si="53"/>
        <v>0.33714285714285719</v>
      </c>
      <c r="K38" s="40">
        <f t="shared" si="54"/>
        <v>3.493424529322354E-5</v>
      </c>
      <c r="L38" s="22">
        <f t="shared" si="55"/>
        <v>8.2444818892007547E-6</v>
      </c>
      <c r="M38" s="24">
        <f t="shared" si="56"/>
        <v>8.2444818892007564E-6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0.33714285714285719</v>
      </c>
      <c r="AH38" s="123">
        <f t="shared" ref="AH38:AI58" si="61">SUM(Z38,AB38,AD38,AF38)</f>
        <v>1</v>
      </c>
      <c r="AI38" s="112">
        <f t="shared" si="61"/>
        <v>0.33714285714285719</v>
      </c>
      <c r="AJ38" s="148">
        <f t="shared" ref="AJ38:AJ64" si="62">(AA38+AC38)</f>
        <v>0</v>
      </c>
      <c r="AK38" s="147">
        <f t="shared" ref="AK38:AK64" si="63">(AE38+AG38)</f>
        <v>0.33714285714285719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1222.1428571428571</v>
      </c>
      <c r="J39" s="38">
        <f t="shared" si="53"/>
        <v>1222.1428571428573</v>
      </c>
      <c r="K39" s="40">
        <f t="shared" si="54"/>
        <v>5.0654655675174139E-2</v>
      </c>
      <c r="L39" s="22">
        <f t="shared" si="55"/>
        <v>2.988624684835274E-2</v>
      </c>
      <c r="M39" s="24">
        <f t="shared" si="56"/>
        <v>2.9886246848352744E-2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0.45523437477587642</v>
      </c>
      <c r="AA39" s="147">
        <f t="shared" ref="AA39:AA64" si="64">$J39*Z39</f>
        <v>556.36143945823187</v>
      </c>
      <c r="AB39" s="122">
        <f>AB8</f>
        <v>0.50306562673973676</v>
      </c>
      <c r="AC39" s="147">
        <f t="shared" ref="AC39:AC64" si="65">$J39*AB39</f>
        <v>614.8180623940641</v>
      </c>
      <c r="AD39" s="122">
        <f>AD8</f>
        <v>4.1699998484386942E-2</v>
      </c>
      <c r="AE39" s="147">
        <f t="shared" ref="AE39:AE64" si="66">$J39*AD39</f>
        <v>50.963355290561481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1222.1428571428573</v>
      </c>
      <c r="AJ39" s="148">
        <f t="shared" si="62"/>
        <v>1171.179501852296</v>
      </c>
      <c r="AK39" s="147">
        <f t="shared" si="63"/>
        <v>50.963355290561481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63.214285714285708</v>
      </c>
      <c r="J40" s="38">
        <f t="shared" si="53"/>
        <v>63.214285714285708</v>
      </c>
      <c r="K40" s="40">
        <f t="shared" si="54"/>
        <v>2.6200683969917656E-3</v>
      </c>
      <c r="L40" s="22">
        <f t="shared" si="55"/>
        <v>1.5458403542251416E-3</v>
      </c>
      <c r="M40" s="24">
        <f t="shared" si="56"/>
        <v>1.5458403542251416E-3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0.45523437477587642</v>
      </c>
      <c r="AA40" s="147">
        <f t="shared" si="64"/>
        <v>28.777315834046469</v>
      </c>
      <c r="AB40" s="122">
        <f>AB9</f>
        <v>0.50306562673973676</v>
      </c>
      <c r="AC40" s="147">
        <f t="shared" si="65"/>
        <v>31.800934261761928</v>
      </c>
      <c r="AD40" s="122">
        <f>AD9</f>
        <v>4.1699998484386817E-2</v>
      </c>
      <c r="AE40" s="147">
        <f t="shared" si="66"/>
        <v>2.6360356184773095</v>
      </c>
      <c r="AF40" s="122">
        <f t="shared" si="57"/>
        <v>0</v>
      </c>
      <c r="AG40" s="147">
        <f t="shared" si="60"/>
        <v>0</v>
      </c>
      <c r="AH40" s="123">
        <f t="shared" si="61"/>
        <v>0.99999999999999989</v>
      </c>
      <c r="AI40" s="112">
        <f t="shared" si="61"/>
        <v>63.214285714285708</v>
      </c>
      <c r="AJ40" s="148">
        <f t="shared" si="62"/>
        <v>60.5782500958084</v>
      </c>
      <c r="AK40" s="147">
        <f t="shared" si="63"/>
        <v>2.6360356184773095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153.35785714285714</v>
      </c>
      <c r="J41" s="38">
        <f t="shared" si="53"/>
        <v>153.35785714285714</v>
      </c>
      <c r="K41" s="40">
        <f t="shared" si="54"/>
        <v>1.0971099734336853E-2</v>
      </c>
      <c r="L41" s="22">
        <f t="shared" si="55"/>
        <v>6.4729488432587433E-3</v>
      </c>
      <c r="M41" s="24">
        <f t="shared" si="56"/>
        <v>3.7502086993501937E-3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153.35785714285714</v>
      </c>
      <c r="AH41" s="123">
        <f t="shared" si="61"/>
        <v>1</v>
      </c>
      <c r="AI41" s="112">
        <f t="shared" si="61"/>
        <v>153.35785714285714</v>
      </c>
      <c r="AJ41" s="148">
        <f t="shared" si="62"/>
        <v>0</v>
      </c>
      <c r="AK41" s="147">
        <f t="shared" si="63"/>
        <v>153.35785714285714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0.5</v>
      </c>
      <c r="F42" s="26">
        <v>1.18</v>
      </c>
      <c r="G42" s="22">
        <f t="shared" si="59"/>
        <v>1.65</v>
      </c>
      <c r="H42" s="24">
        <f t="shared" si="51"/>
        <v>0.59</v>
      </c>
      <c r="I42" s="39">
        <f t="shared" si="52"/>
        <v>219.14285714285714</v>
      </c>
      <c r="J42" s="38">
        <f t="shared" si="53"/>
        <v>219.14285714285717</v>
      </c>
      <c r="K42" s="40">
        <f t="shared" si="54"/>
        <v>9.0829037762381205E-3</v>
      </c>
      <c r="L42" s="22">
        <f t="shared" si="55"/>
        <v>5.3589132279804911E-3</v>
      </c>
      <c r="M42" s="24">
        <f t="shared" si="56"/>
        <v>5.358913227980492E-3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54.785714285714292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109.57142857142858</v>
      </c>
      <c r="AF42" s="122">
        <f t="shared" si="57"/>
        <v>0.25</v>
      </c>
      <c r="AG42" s="147">
        <f t="shared" si="60"/>
        <v>54.785714285714292</v>
      </c>
      <c r="AH42" s="123">
        <f t="shared" si="61"/>
        <v>1</v>
      </c>
      <c r="AI42" s="112">
        <f t="shared" si="61"/>
        <v>219.14285714285717</v>
      </c>
      <c r="AJ42" s="148">
        <f t="shared" si="62"/>
        <v>54.785714285714292</v>
      </c>
      <c r="AK42" s="147">
        <f t="shared" si="63"/>
        <v>164.35714285714289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0.3</v>
      </c>
      <c r="F44" s="26">
        <v>1.4</v>
      </c>
      <c r="G44" s="22">
        <f t="shared" si="59"/>
        <v>1.65</v>
      </c>
      <c r="H44" s="24">
        <f t="shared" si="51"/>
        <v>0.42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0.3</v>
      </c>
      <c r="F45" s="26">
        <v>1.4</v>
      </c>
      <c r="G45" s="22">
        <f t="shared" si="59"/>
        <v>1.65</v>
      </c>
      <c r="H45" s="24">
        <f t="shared" si="51"/>
        <v>0.42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2.464960347889853E-4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1.7215596080500561E-4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-9.2000000000000011</v>
      </c>
      <c r="J50" s="38">
        <f t="shared" ref="J50:J64" si="70">J104*I$83</f>
        <v>-9.1999999999999975</v>
      </c>
      <c r="K50" s="40">
        <f t="shared" ref="K50:K64" si="71">(B50/B$65)</f>
        <v>2.1484560855332476E-3</v>
      </c>
      <c r="L50" s="22">
        <f t="shared" ref="L50:L64" si="72">(K50*H50)</f>
        <v>6.0156770394930923E-4</v>
      </c>
      <c r="M50" s="24">
        <f t="shared" ref="M50:M64" si="73">J50/B$65</f>
        <v>-2.2497653968835954E-4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14.999999999999998</v>
      </c>
      <c r="J52" s="38">
        <f t="shared" si="70"/>
        <v>14.999999999999993</v>
      </c>
      <c r="K52" s="40">
        <f t="shared" si="71"/>
        <v>4.2794450484198842E-3</v>
      </c>
      <c r="L52" s="22">
        <f t="shared" si="72"/>
        <v>1.1982446135575674E-3</v>
      </c>
      <c r="M52" s="24">
        <f t="shared" si="73"/>
        <v>3.6680957557884701E-4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0.2</v>
      </c>
      <c r="F53" s="26">
        <v>1.4</v>
      </c>
      <c r="G53" s="22">
        <f t="shared" si="59"/>
        <v>1.65</v>
      </c>
      <c r="H53" s="24">
        <f t="shared" si="68"/>
        <v>0.27999999999999997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1.6139621325469277E-3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2122.0028571428575</v>
      </c>
      <c r="J55" s="38">
        <f t="shared" si="70"/>
        <v>2122.0028571428575</v>
      </c>
      <c r="K55" s="40">
        <f t="shared" si="71"/>
        <v>9.3498014102783494E-2</v>
      </c>
      <c r="L55" s="22">
        <f t="shared" si="72"/>
        <v>5.1891397827044841E-2</v>
      </c>
      <c r="M55" s="24">
        <f t="shared" si="73"/>
        <v>5.1891397827044841E-2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530.50071428571437</v>
      </c>
      <c r="AB55" s="116">
        <v>0.25</v>
      </c>
      <c r="AC55" s="147">
        <f t="shared" si="65"/>
        <v>530.50071428571437</v>
      </c>
      <c r="AD55" s="116">
        <v>0.25</v>
      </c>
      <c r="AE55" s="147">
        <f t="shared" si="66"/>
        <v>530.50071428571437</v>
      </c>
      <c r="AF55" s="122">
        <f t="shared" si="57"/>
        <v>0.25</v>
      </c>
      <c r="AG55" s="147">
        <f t="shared" si="60"/>
        <v>530.50071428571437</v>
      </c>
      <c r="AH55" s="123">
        <f t="shared" si="61"/>
        <v>1</v>
      </c>
      <c r="AI55" s="112">
        <f t="shared" si="61"/>
        <v>2122.0028571428575</v>
      </c>
      <c r="AJ55" s="148">
        <f t="shared" si="62"/>
        <v>1061.0014285714287</v>
      </c>
      <c r="AK55" s="147">
        <f t="shared" si="63"/>
        <v>1061.0014285714287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8"/>
        <v>0.55500000000000005</v>
      </c>
      <c r="I57" s="39">
        <f t="shared" si="69"/>
        <v>1446.1714285714288</v>
      </c>
      <c r="J57" s="38">
        <f t="shared" si="70"/>
        <v>1446.1714285714286</v>
      </c>
      <c r="K57" s="40">
        <f t="shared" si="71"/>
        <v>6.3720063414839739E-2</v>
      </c>
      <c r="L57" s="22">
        <f t="shared" si="72"/>
        <v>3.5364635195236062E-2</v>
      </c>
      <c r="M57" s="24">
        <f t="shared" si="73"/>
        <v>3.5364635195236055E-2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361.54285714285714</v>
      </c>
      <c r="AB57" s="116">
        <v>0.25</v>
      </c>
      <c r="AC57" s="147">
        <f t="shared" si="65"/>
        <v>361.54285714285714</v>
      </c>
      <c r="AD57" s="116">
        <v>0.25</v>
      </c>
      <c r="AE57" s="147">
        <f t="shared" si="66"/>
        <v>361.54285714285714</v>
      </c>
      <c r="AF57" s="122">
        <f t="shared" si="57"/>
        <v>0.25</v>
      </c>
      <c r="AG57" s="147">
        <f t="shared" si="60"/>
        <v>361.54285714285714</v>
      </c>
      <c r="AH57" s="123">
        <f t="shared" si="61"/>
        <v>1</v>
      </c>
      <c r="AI57" s="112">
        <f t="shared" si="61"/>
        <v>1446.1714285714286</v>
      </c>
      <c r="AJ57" s="148">
        <f t="shared" si="62"/>
        <v>723.08571428571429</v>
      </c>
      <c r="AK57" s="147">
        <f t="shared" si="63"/>
        <v>723.08571428571429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8"/>
        <v>0.70799999999999996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26446.761659711396</v>
      </c>
      <c r="J61" s="38">
        <f t="shared" si="70"/>
        <v>26446.761659711399</v>
      </c>
      <c r="K61" s="40">
        <f t="shared" si="71"/>
        <v>0.54807488247647829</v>
      </c>
      <c r="L61" s="22">
        <f t="shared" si="72"/>
        <v>0.64672836132224432</v>
      </c>
      <c r="M61" s="24">
        <f t="shared" si="73"/>
        <v>0.64672836132224443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6611.6904149278498</v>
      </c>
      <c r="AB61" s="116">
        <v>0.25</v>
      </c>
      <c r="AC61" s="147">
        <f t="shared" si="65"/>
        <v>6611.6904149278498</v>
      </c>
      <c r="AD61" s="116">
        <v>0.25</v>
      </c>
      <c r="AE61" s="147">
        <f t="shared" si="66"/>
        <v>6611.6904149278498</v>
      </c>
      <c r="AF61" s="122">
        <f t="shared" si="57"/>
        <v>0.25</v>
      </c>
      <c r="AG61" s="147">
        <f t="shared" si="60"/>
        <v>6611.6904149278498</v>
      </c>
      <c r="AH61" s="123">
        <f t="shared" si="74"/>
        <v>1</v>
      </c>
      <c r="AI61" s="112">
        <f t="shared" si="74"/>
        <v>26446.761659711399</v>
      </c>
      <c r="AJ61" s="148">
        <f t="shared" si="62"/>
        <v>13223.3808298557</v>
      </c>
      <c r="AK61" s="147">
        <f t="shared" si="63"/>
        <v>13223.3808298557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40821.976659711392</v>
      </c>
      <c r="J65" s="39">
        <f>SUM(J37:J64)</f>
        <v>40821.976659711399</v>
      </c>
      <c r="K65" s="40">
        <f>SUM(K37:K64)</f>
        <v>1</v>
      </c>
      <c r="L65" s="22">
        <f>SUM(L37:L64)</f>
        <v>0.99433714993043565</v>
      </c>
      <c r="M65" s="24">
        <f>SUM(M37:M64)</f>
        <v>0.99825946218922301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10364.098455934416</v>
      </c>
      <c r="AB65" s="137"/>
      <c r="AC65" s="153">
        <f>SUM(AC37:AC64)</f>
        <v>10370.79298301225</v>
      </c>
      <c r="AD65" s="137"/>
      <c r="AE65" s="153">
        <f>SUM(AE37:AE64)</f>
        <v>9887.3448058368904</v>
      </c>
      <c r="AF65" s="137"/>
      <c r="AG65" s="153">
        <f>SUM(AG37:AG64)</f>
        <v>9932.654700642137</v>
      </c>
      <c r="AH65" s="137"/>
      <c r="AI65" s="153">
        <f>SUM(AI37:AI64)</f>
        <v>40554.890945425686</v>
      </c>
      <c r="AJ65" s="153">
        <f>SUM(AJ37:AJ64)</f>
        <v>20734.891438946663</v>
      </c>
      <c r="AK65" s="153">
        <f>SUM(AK37:AK64)</f>
        <v>19819.999506479024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21879.79335460256</v>
      </c>
      <c r="J70" s="51">
        <f t="shared" ref="J70:J77" si="75">J124*I$83</f>
        <v>21879.79335460256</v>
      </c>
      <c r="K70" s="40">
        <f>B70/B$76</f>
        <v>0.38217703400736408</v>
      </c>
      <c r="L70" s="22">
        <f t="shared" ref="L70:L75" si="76">(L124*G$37*F$9/F$7)/B$130</f>
        <v>0.53504784761030977</v>
      </c>
      <c r="M70" s="24">
        <f>J70/B$76</f>
        <v>0.53504784761030977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5469.9483386506399</v>
      </c>
      <c r="AB70" s="116">
        <v>0.25</v>
      </c>
      <c r="AC70" s="147">
        <f>$J70*AB70</f>
        <v>5469.9483386506399</v>
      </c>
      <c r="AD70" s="116">
        <v>0.25</v>
      </c>
      <c r="AE70" s="147">
        <f>$J70*AD70</f>
        <v>5469.9483386506399</v>
      </c>
      <c r="AF70" s="122">
        <f>1-SUM(Z70,AB70,AD70)</f>
        <v>0.25</v>
      </c>
      <c r="AG70" s="147">
        <f>$J70*AF70</f>
        <v>5469.9483386506399</v>
      </c>
      <c r="AH70" s="155">
        <f>SUM(Z70,AB70,AD70,AF70)</f>
        <v>1</v>
      </c>
      <c r="AI70" s="147">
        <f>SUM(AA70,AC70,AE70,AG70)</f>
        <v>21879.79335460256</v>
      </c>
      <c r="AJ70" s="148">
        <f>(AA70+AC70)</f>
        <v>10939.89667730128</v>
      </c>
      <c r="AK70" s="147">
        <f>(AE70+AG70)</f>
        <v>10939.89667730128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18439.595102040854</v>
      </c>
      <c r="J71" s="51">
        <f t="shared" si="75"/>
        <v>18439.595102040854</v>
      </c>
      <c r="K71" s="40">
        <f t="shared" ref="K71:K72" si="78">B71/B$76</f>
        <v>0.38213672617092626</v>
      </c>
      <c r="L71" s="22">
        <f t="shared" si="76"/>
        <v>0.450921336881693</v>
      </c>
      <c r="M71" s="24">
        <f t="shared" ref="M71:M72" si="79">J71/B$76</f>
        <v>0.450921336881693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18942.183305108843</v>
      </c>
      <c r="J74" s="51">
        <f t="shared" si="75"/>
        <v>11654.863521921414</v>
      </c>
      <c r="K74" s="40">
        <f>B74/B$76</f>
        <v>0.18798734850327262</v>
      </c>
      <c r="L74" s="22">
        <f t="shared" si="76"/>
        <v>0.1397497064557286</v>
      </c>
      <c r="M74" s="24">
        <f>J74/B$76</f>
        <v>0.28500770279369214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245.45149339537346</v>
      </c>
      <c r="AF74" s="156"/>
      <c r="AG74" s="147">
        <f>AG30*$I$83/4</f>
        <v>11409.412028526041</v>
      </c>
      <c r="AH74" s="155"/>
      <c r="AI74" s="147">
        <f>SUM(AA74,AC74,AE74,AG74)</f>
        <v>11654.863521921416</v>
      </c>
      <c r="AJ74" s="148">
        <f>(AA74+AC74)</f>
        <v>0</v>
      </c>
      <c r="AK74" s="147">
        <f>(AE74+AG74)</f>
        <v>11654.863521921416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4894.1501172837761</v>
      </c>
      <c r="AB75" s="158"/>
      <c r="AC75" s="149">
        <f>AA75+AC65-SUM(AC70,AC74)</f>
        <v>9794.9947616453865</v>
      </c>
      <c r="AD75" s="158"/>
      <c r="AE75" s="149">
        <f>AC75+AE65-SUM(AE70,AE74)</f>
        <v>13966.939735436263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7020.2340689017146</v>
      </c>
      <c r="AJ75" s="151">
        <f>AJ76-SUM(AJ70,AJ74)</f>
        <v>9794.9947616453865</v>
      </c>
      <c r="AK75" s="149">
        <f>AJ75+AK76-SUM(AK70,AK74)</f>
        <v>7020.2340689017183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40821.976659711399</v>
      </c>
      <c r="J76" s="51">
        <f t="shared" si="75"/>
        <v>40821.976659711399</v>
      </c>
      <c r="K76" s="40">
        <f>SUM(K70:K75)</f>
        <v>1.7092698103325998</v>
      </c>
      <c r="L76" s="22">
        <f>SUM(L70:L75)</f>
        <v>1.1257188909477314</v>
      </c>
      <c r="M76" s="24">
        <f>SUM(M70:M75)</f>
        <v>1.2709768872856948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10364.098455934416</v>
      </c>
      <c r="AB76" s="137"/>
      <c r="AC76" s="153">
        <f>AC65</f>
        <v>10370.79298301225</v>
      </c>
      <c r="AD76" s="137"/>
      <c r="AE76" s="153">
        <f>AE65</f>
        <v>9887.3448058368904</v>
      </c>
      <c r="AF76" s="137"/>
      <c r="AG76" s="153">
        <f>AG65</f>
        <v>9932.654700642137</v>
      </c>
      <c r="AH76" s="137"/>
      <c r="AI76" s="153">
        <f>SUM(AA76,AC76,AE76,AG76)</f>
        <v>40554.890945425694</v>
      </c>
      <c r="AJ76" s="154">
        <f>SUM(AA76,AC76)</f>
        <v>20734.891438946666</v>
      </c>
      <c r="AK76" s="154">
        <f>SUM(AE76,AG76)</f>
        <v>19819.999506479027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18439.595102040854</v>
      </c>
      <c r="J77" s="100">
        <f t="shared" si="75"/>
        <v>11152.275318853423</v>
      </c>
      <c r="K77" s="40"/>
      <c r="L77" s="22">
        <f>-(L131*G$37*F$9/F$7)/B$130</f>
        <v>-0.450921336881693</v>
      </c>
      <c r="M77" s="24">
        <f>-J77/B$76</f>
        <v>-0.27271742509647179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1.1367511391966291E-12</v>
      </c>
      <c r="AH77" s="110"/>
      <c r="AI77" s="154">
        <f>SUM(AA77,AC77,AE77,AG77)</f>
        <v>1.1367511391966291E-12</v>
      </c>
      <c r="AJ77" s="153">
        <f>SUM(AA77,AC77)</f>
        <v>0</v>
      </c>
      <c r="AK77" s="160">
        <f>SUM(AE77,AG77)</f>
        <v>1.1367511391966291E-12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4894.1501172837761</v>
      </c>
      <c r="AD78" s="112"/>
      <c r="AE78" s="112">
        <f>AC75</f>
        <v>9794.9947616453865</v>
      </c>
      <c r="AF78" s="112"/>
      <c r="AG78" s="112">
        <f>AE75</f>
        <v>13966.939735436263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4894.1501172837761</v>
      </c>
      <c r="AB79" s="112"/>
      <c r="AC79" s="112">
        <f>AA79-AA74+AC65-AC70</f>
        <v>9794.9947616453865</v>
      </c>
      <c r="AD79" s="112"/>
      <c r="AE79" s="112">
        <f>AC79-AC74+AE65-AE70</f>
        <v>14212.391228831635</v>
      </c>
      <c r="AF79" s="112"/>
      <c r="AG79" s="112">
        <f>AE79-AE74+AG65-AG70</f>
        <v>18429.646097427758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0.14303030303030304</v>
      </c>
      <c r="I92" s="22">
        <f t="shared" ref="I92:I118" si="88">(D92*H92)</f>
        <v>1.6463751373604955E-5</v>
      </c>
      <c r="J92" s="24">
        <f t="shared" ref="J92:J118" si="89">IF(I$32&lt;=1+I$131,I92,L92+J$33*(I92-L92))</f>
        <v>1.6463751373604955E-5</v>
      </c>
      <c r="K92" s="22">
        <f t="shared" ref="K92:K118" si="90">IF(B92="",0,B92)</f>
        <v>1.151067362985092E-4</v>
      </c>
      <c r="L92" s="22">
        <f t="shared" ref="L92:L118" si="91">(K92*H92)</f>
        <v>1.6463751373604955E-5</v>
      </c>
      <c r="M92" s="226">
        <f t="shared" ref="M92:M118" si="92">(J92)</f>
        <v>1.6463751373604955E-5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0.3575757575757576</v>
      </c>
      <c r="I93" s="22">
        <f t="shared" si="88"/>
        <v>5.9681098729317962E-2</v>
      </c>
      <c r="J93" s="24">
        <f t="shared" si="89"/>
        <v>5.9681098729317962E-2</v>
      </c>
      <c r="K93" s="22">
        <f t="shared" si="90"/>
        <v>0.16690476763283835</v>
      </c>
      <c r="L93" s="22">
        <f t="shared" si="91"/>
        <v>5.9681098729317962E-2</v>
      </c>
      <c r="M93" s="226">
        <f t="shared" si="92"/>
        <v>5.9681098729317962E-2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0.3575757575757576</v>
      </c>
      <c r="I94" s="22">
        <f t="shared" si="88"/>
        <v>3.0869533825509284E-3</v>
      </c>
      <c r="J94" s="24">
        <f t="shared" si="89"/>
        <v>3.0869533825509284E-3</v>
      </c>
      <c r="K94" s="22">
        <f t="shared" si="90"/>
        <v>8.6330052223881886E-3</v>
      </c>
      <c r="L94" s="22">
        <f t="shared" si="91"/>
        <v>3.0869533825509284E-3</v>
      </c>
      <c r="M94" s="226">
        <f t="shared" si="92"/>
        <v>3.0869533825509284E-3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0.3575757575757576</v>
      </c>
      <c r="I95" s="22">
        <f t="shared" si="88"/>
        <v>7.4889489060685531E-3</v>
      </c>
      <c r="J95" s="24">
        <f t="shared" si="89"/>
        <v>7.4889489060685531E-3</v>
      </c>
      <c r="K95" s="22">
        <f t="shared" si="90"/>
        <v>3.6149270534546814E-2</v>
      </c>
      <c r="L95" s="22">
        <f t="shared" si="91"/>
        <v>1.292610279720159E-2</v>
      </c>
      <c r="M95" s="226">
        <f t="shared" si="92"/>
        <v>7.4889489060685531E-3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0.3575757575757576</v>
      </c>
      <c r="I96" s="22">
        <f t="shared" si="88"/>
        <v>1.070143839284322E-2</v>
      </c>
      <c r="J96" s="24">
        <f t="shared" si="89"/>
        <v>1.070143839284322E-2</v>
      </c>
      <c r="K96" s="22">
        <f t="shared" si="90"/>
        <v>2.9927751437612393E-2</v>
      </c>
      <c r="L96" s="22">
        <f t="shared" si="91"/>
        <v>1.070143839284322E-2</v>
      </c>
      <c r="M96" s="226">
        <f t="shared" si="92"/>
        <v>1.070143839284322E-2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0.25454545454545457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0.25454545454545457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4.9223826140744288E-4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3.4378545241154745E-4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0.16969696969696968</v>
      </c>
      <c r="I104" s="22">
        <f t="shared" si="88"/>
        <v>-4.4926507985599943E-4</v>
      </c>
      <c r="J104" s="24">
        <f t="shared" si="89"/>
        <v>-4.4926507985599943E-4</v>
      </c>
      <c r="K104" s="22">
        <f t="shared" si="90"/>
        <v>7.079064282358315E-3</v>
      </c>
      <c r="L104" s="22">
        <f t="shared" si="91"/>
        <v>1.2012957570062593E-3</v>
      </c>
      <c r="M104" s="226">
        <f t="shared" si="92"/>
        <v>-4.4926507985599943E-4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0.16969696969696968</v>
      </c>
      <c r="I106" s="22">
        <f t="shared" si="88"/>
        <v>7.3249741280869459E-4</v>
      </c>
      <c r="J106" s="24">
        <f t="shared" si="89"/>
        <v>7.3249741280869459E-4</v>
      </c>
      <c r="K106" s="22">
        <f t="shared" si="90"/>
        <v>1.4100575196567376E-2</v>
      </c>
      <c r="L106" s="22">
        <f t="shared" si="91"/>
        <v>2.3928248818417363E-3</v>
      </c>
      <c r="M106" s="226">
        <f t="shared" si="92"/>
        <v>7.3249741280869459E-4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0.16969696969696968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3.2229886163582574E-3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0.33636363636363642</v>
      </c>
      <c r="I109" s="22">
        <f t="shared" si="88"/>
        <v>0.10362410685532011</v>
      </c>
      <c r="J109" s="24">
        <f t="shared" si="89"/>
        <v>0.10362410685532011</v>
      </c>
      <c r="K109" s="22">
        <f t="shared" si="90"/>
        <v>0.30807166902933003</v>
      </c>
      <c r="L109" s="22">
        <f t="shared" si="91"/>
        <v>0.10362410685532011</v>
      </c>
      <c r="M109" s="226">
        <f t="shared" si="92"/>
        <v>0.10362410685532011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0.33636363636363642</v>
      </c>
      <c r="I111" s="22">
        <f t="shared" si="88"/>
        <v>7.0621121993761721E-2</v>
      </c>
      <c r="J111" s="24">
        <f t="shared" si="89"/>
        <v>7.0621121993761721E-2</v>
      </c>
      <c r="K111" s="22">
        <f t="shared" si="90"/>
        <v>0.20995468700848077</v>
      </c>
      <c r="L111" s="22">
        <f t="shared" si="91"/>
        <v>7.0621121993761721E-2</v>
      </c>
      <c r="M111" s="226">
        <f t="shared" si="92"/>
        <v>7.0621121993761721E-2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0.42909090909090908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0.7151515151515152</v>
      </c>
      <c r="I115" s="22">
        <f t="shared" si="88"/>
        <v>1.2914789661937858</v>
      </c>
      <c r="J115" s="24">
        <f t="shared" si="89"/>
        <v>1.2914789661937858</v>
      </c>
      <c r="K115" s="22">
        <f t="shared" si="90"/>
        <v>1.8058816052709714</v>
      </c>
      <c r="L115" s="22">
        <f t="shared" si="91"/>
        <v>1.2914789661937858</v>
      </c>
      <c r="M115" s="226">
        <f t="shared" si="92"/>
        <v>1.2914789661937858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1.9934661525983688</v>
      </c>
      <c r="J119" s="24">
        <f>SUM(J91:J118)</f>
        <v>1.9934661525983688</v>
      </c>
      <c r="K119" s="22">
        <f>SUM(K91:K118)</f>
        <v>3.2949541440598207</v>
      </c>
      <c r="L119" s="22">
        <f>SUM(L91:L118)</f>
        <v>1.985633522882376</v>
      </c>
      <c r="M119" s="57">
        <f t="shared" si="80"/>
        <v>1.9934661525983688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1.0684594683356834</v>
      </c>
      <c r="J124" s="236">
        <f>IF(SUMPRODUCT($B$124:$B124,$H$124:$H124)&lt;J$119,($B124*$H124),J$119)</f>
        <v>1.0684594683356834</v>
      </c>
      <c r="K124" s="29">
        <f>(B124)</f>
        <v>1.2592558019670554</v>
      </c>
      <c r="L124" s="29">
        <f>IF(SUMPRODUCT($B$124:$B124,$H$124:$H124)&lt;L$119,($B124*$H124),L$119)</f>
        <v>1.0684594683356834</v>
      </c>
      <c r="M124" s="239">
        <f t="shared" si="93"/>
        <v>1.0684594683356834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0.90046371369898726</v>
      </c>
      <c r="J125" s="236">
        <f>IF(SUMPRODUCT($B$124:$B125,$H$124:$H125)&lt;J$119,($B125*$H125),IF(SUMPRODUCT($B$124:$B124,$H$124:$H124)&lt;J$119,J$119-SUMPRODUCT($B$124:$B124,$H$124:$H124),0))</f>
        <v>0.90046371369898726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0.90046371369898726</v>
      </c>
      <c r="M125" s="239">
        <f t="shared" si="93"/>
        <v>0.90046371369898726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0.9250066842626854</v>
      </c>
      <c r="J128" s="227">
        <f>(J30)</f>
        <v>0.56914382509639128</v>
      </c>
      <c r="K128" s="29">
        <f>(B128)</f>
        <v>0.61940969298167581</v>
      </c>
      <c r="L128" s="29">
        <f>IF(L124=L119,0,(L119-L124)/(B119-B124)*K128)</f>
        <v>0.2790720451014827</v>
      </c>
      <c r="M128" s="239">
        <f t="shared" si="93"/>
        <v>0.56914382509639128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1.9934661525983688</v>
      </c>
      <c r="J130" s="227">
        <f>(J119)</f>
        <v>1.9934661525983688</v>
      </c>
      <c r="K130" s="29">
        <f>(B130)</f>
        <v>3.2949541440598207</v>
      </c>
      <c r="L130" s="29">
        <f>(L119)</f>
        <v>1.985633522882376</v>
      </c>
      <c r="M130" s="239">
        <f t="shared" si="93"/>
        <v>1.9934661525983688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0.90046371369898726</v>
      </c>
      <c r="J131" s="236">
        <f>IF(SUMPRODUCT($B124:$B125,$H124:$H125)&gt;(J119-J128),SUMPRODUCT($B124:$B125,$H124:$H125)+J128-J119,0)</f>
        <v>0.54460085453269302</v>
      </c>
      <c r="K131" s="29"/>
      <c r="L131" s="29">
        <f>IF(I131&lt;SUM(L126:L127),0,I131-(SUM(L126:L127)))</f>
        <v>0.90046371369898726</v>
      </c>
      <c r="M131" s="236">
        <f>IF(I131&lt;SUM(M126:M127),0,I131-(SUM(M126:M127)))</f>
        <v>0.90046371369898726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1.1809292014130682E-2</v>
      </c>
      <c r="J6" s="24">
        <f t="shared" ref="J6:J13" si="3">IF(I$32&lt;=1+I$131,I6,B6*H6+J$33*(I6-B6*H6))</f>
        <v>1.2114189148998793E-2</v>
      </c>
      <c r="K6" s="22">
        <f t="shared" ref="K6:K31" si="4">B6</f>
        <v>6.1429979017460022E-2</v>
      </c>
      <c r="L6" s="22">
        <f t="shared" ref="L6:L29" si="5">IF(K6="","",K6*H6)</f>
        <v>1.2285995803492005E-2</v>
      </c>
      <c r="M6" s="223">
        <f t="shared" ref="M6:M31" si="6">J6</f>
        <v>1.2114189148998793E-2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4.8456756595995173E-2</v>
      </c>
      <c r="Z6" s="156">
        <f>Poor!Z6</f>
        <v>0.17</v>
      </c>
      <c r="AA6" s="121">
        <f>$M6*Z6*4</f>
        <v>8.2376486213191803E-3</v>
      </c>
      <c r="AB6" s="156">
        <f>Poor!AB6</f>
        <v>0.17</v>
      </c>
      <c r="AC6" s="121">
        <f t="shared" ref="AC6:AC29" si="7">$M6*AB6*4</f>
        <v>8.2376486213191803E-3</v>
      </c>
      <c r="AD6" s="156">
        <f>Poor!AD6</f>
        <v>0.33</v>
      </c>
      <c r="AE6" s="121">
        <f t="shared" ref="AE6:AE29" si="8">$M6*AD6*4</f>
        <v>1.5990729676678406E-2</v>
      </c>
      <c r="AF6" s="122">
        <f>1-SUM(Z6,AB6,AD6)</f>
        <v>0.32999999999999996</v>
      </c>
      <c r="AG6" s="121">
        <f>$M6*AF6*4</f>
        <v>1.5990729676678406E-2</v>
      </c>
      <c r="AH6" s="123">
        <f>SUM(Z6,AB6,AD6,AF6)</f>
        <v>1</v>
      </c>
      <c r="AI6" s="183">
        <f>SUM(AA6,AC6,AE6,AG6)/4</f>
        <v>1.2114189148998793E-2</v>
      </c>
      <c r="AJ6" s="120">
        <f>(AA6+AC6)/2</f>
        <v>8.2376486213191803E-3</v>
      </c>
      <c r="AK6" s="119">
        <f>(AE6+AG6)/2</f>
        <v>1.5990729676678406E-2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3">
        <f t="shared" si="6"/>
        <v>3.7540423412204225E-3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1575.0248874446436</v>
      </c>
      <c r="T7" s="221">
        <f>IF($B$81=0,0,(SUMIF($N$6:$N$28,$U7,M$6:M$28)+SUMIF($N$91:$N$118,$U7,M$91:M$118))*$I$83*Poor!$B$81/$B$81)</f>
        <v>1750.2078955802847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9.285428241034897E-3</v>
      </c>
      <c r="J8" s="24">
        <f t="shared" si="3"/>
        <v>9.285428241034897E-3</v>
      </c>
      <c r="K8" s="22">
        <f t="shared" si="4"/>
        <v>4.6427141205174487E-2</v>
      </c>
      <c r="L8" s="22">
        <f t="shared" si="5"/>
        <v>9.285428241034897E-3</v>
      </c>
      <c r="M8" s="223">
        <f t="shared" si="6"/>
        <v>9.285428241034897E-3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1436.32</v>
      </c>
      <c r="T8" s="221">
        <f>IF($B$81=0,0,(SUMIF($N$6:$N$28,$U8,M$6:M$28)+SUMIF($N$91:$N$118,$U8,M$91:M$118))*$I$83*Poor!$B$81/$B$81)</f>
        <v>1030.9853514599313</v>
      </c>
      <c r="U8" s="222">
        <v>2</v>
      </c>
      <c r="V8" s="56"/>
      <c r="W8" s="115"/>
      <c r="X8" s="118">
        <f>Poor!X8</f>
        <v>1</v>
      </c>
      <c r="Y8" s="183">
        <f t="shared" si="9"/>
        <v>3.7141712964139588E-2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3.7141712964139588E-2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9.285428241034897E-3</v>
      </c>
      <c r="AJ8" s="120">
        <f t="shared" si="14"/>
        <v>1.8570856482069794E-2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4.7857142857142864E-3</v>
      </c>
      <c r="J9" s="24">
        <f t="shared" si="3"/>
        <v>4.7857142857142864E-3</v>
      </c>
      <c r="K9" s="22">
        <f t="shared" si="4"/>
        <v>2.3928571428571431E-2</v>
      </c>
      <c r="L9" s="22">
        <f t="shared" si="5"/>
        <v>4.7857142857142864E-3</v>
      </c>
      <c r="M9" s="223">
        <f t="shared" si="6"/>
        <v>4.7857142857142864E-3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518.61206489397262</v>
      </c>
      <c r="T9" s="221">
        <f>IF($B$81=0,0,(SUMIF($N$6:$N$28,$U9,M$6:M$28)+SUMIF($N$91:$N$118,$U9,M$91:M$118))*$I$83*Poor!$B$81/$B$81)</f>
        <v>515.09382746086476</v>
      </c>
      <c r="U9" s="222">
        <v>3</v>
      </c>
      <c r="V9" s="56"/>
      <c r="W9" s="115"/>
      <c r="X9" s="118">
        <f>Poor!X9</f>
        <v>1</v>
      </c>
      <c r="Y9" s="183">
        <f t="shared" si="9"/>
        <v>1.9142857142857145E-2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1.9142857142857145E-2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4.7857142857142864E-3</v>
      </c>
      <c r="AJ9" s="120">
        <f t="shared" si="14"/>
        <v>9.5714285714285727E-3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0.3</v>
      </c>
      <c r="H10" s="24">
        <f t="shared" si="1"/>
        <v>0.3</v>
      </c>
      <c r="I10" s="22">
        <f t="shared" si="2"/>
        <v>4.9321414046687162E-2</v>
      </c>
      <c r="J10" s="24">
        <f t="shared" si="3"/>
        <v>4.2940618430436922E-2</v>
      </c>
      <c r="K10" s="22">
        <f t="shared" si="4"/>
        <v>0.13115033464495388</v>
      </c>
      <c r="L10" s="22">
        <f t="shared" si="5"/>
        <v>3.9345100393486161E-2</v>
      </c>
      <c r="M10" s="223">
        <f t="shared" si="6"/>
        <v>4.2940618430436922E-2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213.65224489795921</v>
      </c>
      <c r="T10" s="221">
        <f>IF($B$81=0,0,(SUMIF($N$6:$N$28,$U10,M$6:M$28)+SUMIF($N$91:$N$118,$U10,M$91:M$118))*$I$83*Poor!$B$81/$B$81)</f>
        <v>241.42553192905308</v>
      </c>
      <c r="U10" s="222">
        <v>4</v>
      </c>
      <c r="V10" s="56"/>
      <c r="W10" s="115"/>
      <c r="X10" s="118">
        <f>Poor!X10</f>
        <v>1</v>
      </c>
      <c r="Y10" s="183">
        <f t="shared" si="9"/>
        <v>0.17176247372174769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0.17176247372174769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4.2940618430436922E-2</v>
      </c>
      <c r="AJ10" s="120">
        <f t="shared" si="14"/>
        <v>8.5881236860873844E-2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0.3</v>
      </c>
      <c r="H11" s="24">
        <f t="shared" si="1"/>
        <v>0.3</v>
      </c>
      <c r="I11" s="22">
        <f t="shared" si="2"/>
        <v>5.5717415559000697E-3</v>
      </c>
      <c r="J11" s="24">
        <f t="shared" si="3"/>
        <v>3.7597133827162559E-3</v>
      </c>
      <c r="K11" s="22">
        <f t="shared" si="4"/>
        <v>9.1288420972374003E-3</v>
      </c>
      <c r="L11" s="22">
        <f t="shared" si="5"/>
        <v>2.7386526291712202E-3</v>
      </c>
      <c r="M11" s="223">
        <f t="shared" si="6"/>
        <v>3.7597133827162559E-3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7489.7730612244895</v>
      </c>
      <c r="T11" s="221">
        <f>IF($B$81=0,0,(SUMIF($N$6:$N$28,$U11,M$6:M$28)+SUMIF($N$91:$N$118,$U11,M$91:M$118))*$I$83*Poor!$B$81/$B$81)</f>
        <v>6916.7754331642336</v>
      </c>
      <c r="U11" s="222">
        <v>5</v>
      </c>
      <c r="V11" s="56"/>
      <c r="W11" s="115"/>
      <c r="X11" s="118">
        <f>Poor!X11</f>
        <v>1</v>
      </c>
      <c r="Y11" s="183">
        <f t="shared" si="9"/>
        <v>1.5038853530865023E-2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1.5038853530865023E-2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3.7597133827162559E-3</v>
      </c>
      <c r="AJ11" s="120">
        <f t="shared" si="14"/>
        <v>7.5194267654325117E-3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0.2</v>
      </c>
      <c r="H12" s="24">
        <f t="shared" si="1"/>
        <v>0.2</v>
      </c>
      <c r="I12" s="22">
        <f t="shared" si="2"/>
        <v>8.1621029058759256E-3</v>
      </c>
      <c r="J12" s="24">
        <f t="shared" si="3"/>
        <v>9.043283752841037E-3</v>
      </c>
      <c r="K12" s="22">
        <f t="shared" si="4"/>
        <v>4.7699104168678681E-2</v>
      </c>
      <c r="L12" s="22">
        <f t="shared" si="5"/>
        <v>9.5398208337357376E-3</v>
      </c>
      <c r="M12" s="223">
        <f t="shared" si="6"/>
        <v>9.043283752841037E-3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47.387690016521567</v>
      </c>
      <c r="U12" s="222">
        <v>6</v>
      </c>
      <c r="V12" s="56"/>
      <c r="W12" s="117"/>
      <c r="X12" s="118"/>
      <c r="Y12" s="183">
        <f t="shared" si="9"/>
        <v>3.6173135011364148E-2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2.4236000457613982E-2</v>
      </c>
      <c r="AF12" s="122">
        <f>1-SUM(Z12,AB12,AD12)</f>
        <v>0.32999999999999996</v>
      </c>
      <c r="AG12" s="121">
        <f>$M12*AF12*4</f>
        <v>1.1937134553750168E-2</v>
      </c>
      <c r="AH12" s="123">
        <f t="shared" si="12"/>
        <v>1</v>
      </c>
      <c r="AI12" s="183">
        <f t="shared" si="13"/>
        <v>9.043283752841037E-3</v>
      </c>
      <c r="AJ12" s="120">
        <f t="shared" si="14"/>
        <v>0</v>
      </c>
      <c r="AK12" s="119">
        <f t="shared" si="15"/>
        <v>1.8086567505682074E-2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3276.4770045216587</v>
      </c>
      <c r="T13" s="221">
        <f>IF($B$81=0,0,(SUMIF($N$6:$N$28,$U13,M$6:M$28)+SUMIF($N$91:$N$118,$U13,M$91:M$118))*$I$83*Poor!$B$81/$B$81)</f>
        <v>3229.0119033613996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0.2</v>
      </c>
      <c r="F14" s="22"/>
      <c r="H14" s="24">
        <f t="shared" si="1"/>
        <v>0.2</v>
      </c>
      <c r="I14" s="22">
        <f t="shared" si="2"/>
        <v>5.3042859938495952E-3</v>
      </c>
      <c r="J14" s="24">
        <f>IF(I$32&lt;=1+I131,I14,B14*H14+J$33*(I14-B14*H14))</f>
        <v>4.4247685007839169E-3</v>
      </c>
      <c r="K14" s="22">
        <f t="shared" si="4"/>
        <v>1.96458435204717E-2</v>
      </c>
      <c r="L14" s="22">
        <f t="shared" si="5"/>
        <v>3.9291687040943404E-3</v>
      </c>
      <c r="M14" s="224">
        <f t="shared" si="6"/>
        <v>4.4247685007839169E-3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25175.902040816323</v>
      </c>
      <c r="T14" s="221">
        <f>IF($B$81=0,0,(SUMIF($N$6:$N$28,$U14,M$6:M$28)+SUMIF($N$91:$N$118,$U14,M$91:M$118))*$I$83*Poor!$B$81/$B$81)</f>
        <v>25175.902040816323</v>
      </c>
      <c r="U14" s="222">
        <v>8</v>
      </c>
      <c r="V14" s="56"/>
      <c r="W14" s="110"/>
      <c r="X14" s="118"/>
      <c r="Y14" s="183">
        <f>M14*4</f>
        <v>1.7699074003135667E-2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1.7699074003135667E-2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4.4247685007839169E-3</v>
      </c>
      <c r="AJ14" s="120">
        <f t="shared" si="14"/>
        <v>8.8495370015678337E-3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0.2</v>
      </c>
      <c r="F15" s="22"/>
      <c r="H15" s="24">
        <f t="shared" si="1"/>
        <v>0.2</v>
      </c>
      <c r="I15" s="22">
        <f t="shared" si="2"/>
        <v>2.0205254804686501E-3</v>
      </c>
      <c r="J15" s="24">
        <f>IF(I$32&lt;=1+I131,I15,B15*H15+J$33*(I15-B15*H15))</f>
        <v>1.7847399584506687E-3</v>
      </c>
      <c r="K15" s="22">
        <f t="shared" si="4"/>
        <v>8.2593852237781758E-3</v>
      </c>
      <c r="L15" s="22">
        <f t="shared" si="5"/>
        <v>1.6518770447556353E-3</v>
      </c>
      <c r="M15" s="225">
        <f t="shared" si="6"/>
        <v>1.7847399584506687E-3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7.1389598338026748E-3</v>
      </c>
      <c r="Z15" s="156">
        <f>Poor!Z15</f>
        <v>0.25</v>
      </c>
      <c r="AA15" s="121">
        <f t="shared" si="16"/>
        <v>1.7847399584506687E-3</v>
      </c>
      <c r="AB15" s="156">
        <f>Poor!AB15</f>
        <v>0.25</v>
      </c>
      <c r="AC15" s="121">
        <f t="shared" si="7"/>
        <v>1.7847399584506687E-3</v>
      </c>
      <c r="AD15" s="156">
        <f>Poor!AD15</f>
        <v>0.25</v>
      </c>
      <c r="AE15" s="121">
        <f t="shared" si="8"/>
        <v>1.7847399584506687E-3</v>
      </c>
      <c r="AF15" s="122">
        <f t="shared" si="10"/>
        <v>0.25</v>
      </c>
      <c r="AG15" s="121">
        <f t="shared" si="11"/>
        <v>1.7847399584506687E-3</v>
      </c>
      <c r="AH15" s="123">
        <f t="shared" si="12"/>
        <v>1</v>
      </c>
      <c r="AI15" s="183">
        <f t="shared" si="13"/>
        <v>1.7847399584506687E-3</v>
      </c>
      <c r="AJ15" s="120">
        <f t="shared" si="14"/>
        <v>1.7847399584506687E-3</v>
      </c>
      <c r="AK15" s="119">
        <f t="shared" si="15"/>
        <v>1.7847399584506687E-3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0.2</v>
      </c>
      <c r="F16" s="22"/>
      <c r="H16" s="24">
        <f t="shared" si="1"/>
        <v>0.2</v>
      </c>
      <c r="I16" s="22">
        <f t="shared" si="2"/>
        <v>3.9862735728546294E-3</v>
      </c>
      <c r="J16" s="24">
        <f>IF(I$32&lt;=1+I131,I16,B16*H16+J$33*(I16-B16*H16))</f>
        <v>3.3558977926579229E-3</v>
      </c>
      <c r="K16" s="22">
        <f t="shared" si="4"/>
        <v>1.500343498501933E-2</v>
      </c>
      <c r="L16" s="22">
        <f t="shared" si="5"/>
        <v>3.000686997003866E-3</v>
      </c>
      <c r="M16" s="223">
        <f t="shared" si="6"/>
        <v>3.3558977926579229E-3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7694.3391428883251</v>
      </c>
      <c r="U16" s="222">
        <v>10</v>
      </c>
      <c r="V16" s="56"/>
      <c r="W16" s="110"/>
      <c r="X16" s="118"/>
      <c r="Y16" s="183">
        <f t="shared" si="9"/>
        <v>1.3423591170631691E-2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1.3423591170631691E-2</v>
      </c>
      <c r="AH16" s="123">
        <f t="shared" si="12"/>
        <v>1</v>
      </c>
      <c r="AI16" s="183">
        <f t="shared" si="13"/>
        <v>3.3558977926579229E-3</v>
      </c>
      <c r="AJ16" s="120">
        <f t="shared" si="14"/>
        <v>0</v>
      </c>
      <c r="AK16" s="119">
        <f t="shared" si="15"/>
        <v>6.7117955853158457E-3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0.2</v>
      </c>
      <c r="F17" s="22"/>
      <c r="H17" s="24">
        <f t="shared" si="1"/>
        <v>0.2</v>
      </c>
      <c r="I17" s="22">
        <f t="shared" si="2"/>
        <v>1.3260013317406665E-3</v>
      </c>
      <c r="J17" s="24">
        <f t="shared" ref="J17:J25" si="17">IF(I$32&lt;=1+I131,I17,B17*H17+J$33*(I17-B17*H17))</f>
        <v>1.1728667871064619E-3</v>
      </c>
      <c r="K17" s="22">
        <f t="shared" si="4"/>
        <v>5.4328845909472137E-3</v>
      </c>
      <c r="L17" s="22">
        <f t="shared" si="5"/>
        <v>1.0865769181894428E-3</v>
      </c>
      <c r="M17" s="224">
        <f t="shared" si="6"/>
        <v>1.1728667871064619E-3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4.6914671484258475E-3</v>
      </c>
      <c r="Z17" s="156">
        <f>Poor!Z17</f>
        <v>0.29409999999999997</v>
      </c>
      <c r="AA17" s="121">
        <f t="shared" si="16"/>
        <v>1.3797604883520416E-3</v>
      </c>
      <c r="AB17" s="156">
        <f>Poor!AB17</f>
        <v>0.17649999999999999</v>
      </c>
      <c r="AC17" s="121">
        <f t="shared" si="7"/>
        <v>8.2804395169716204E-4</v>
      </c>
      <c r="AD17" s="156">
        <f>Poor!AD17</f>
        <v>0.23530000000000001</v>
      </c>
      <c r="AE17" s="121">
        <f t="shared" si="8"/>
        <v>1.103902220024602E-3</v>
      </c>
      <c r="AF17" s="122">
        <f t="shared" si="10"/>
        <v>0.29410000000000003</v>
      </c>
      <c r="AG17" s="121">
        <f t="shared" si="11"/>
        <v>1.3797604883520418E-3</v>
      </c>
      <c r="AH17" s="123">
        <f t="shared" si="12"/>
        <v>1</v>
      </c>
      <c r="AI17" s="183">
        <f t="shared" si="13"/>
        <v>1.1728667871064619E-3</v>
      </c>
      <c r="AJ17" s="120">
        <f t="shared" si="14"/>
        <v>1.1039022200246018E-3</v>
      </c>
      <c r="AK17" s="119">
        <f t="shared" si="15"/>
        <v>1.241831354188322E-3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1.1105484789183423E-3</v>
      </c>
      <c r="J18" s="24">
        <f t="shared" si="17"/>
        <v>9.6785112800318427E-4</v>
      </c>
      <c r="K18" s="22">
        <f t="shared" ref="K18:K25" si="21">B18</f>
        <v>4.4372125956235551E-3</v>
      </c>
      <c r="L18" s="22">
        <f t="shared" ref="L18:L25" si="22">IF(K18="","",K18*H18)</f>
        <v>8.8744251912471111E-4</v>
      </c>
      <c r="M18" s="224">
        <f t="shared" ref="M18:M25" si="23">J18</f>
        <v>9.6785112800318427E-4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0.2</v>
      </c>
      <c r="F19" s="22"/>
      <c r="H19" s="24">
        <f t="shared" si="19"/>
        <v>0.2</v>
      </c>
      <c r="I19" s="22">
        <f t="shared" si="20"/>
        <v>1.5093702174244543E-2</v>
      </c>
      <c r="J19" s="24">
        <f t="shared" si="17"/>
        <v>9.2674508712459434E-3</v>
      </c>
      <c r="K19" s="22">
        <f t="shared" si="21"/>
        <v>2.9922066574325872E-2</v>
      </c>
      <c r="L19" s="22">
        <f t="shared" si="22"/>
        <v>5.9844133148651748E-3</v>
      </c>
      <c r="M19" s="224">
        <f t="shared" si="23"/>
        <v>9.2674508712459434E-3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3.9675659135385167E-3</v>
      </c>
      <c r="J20" s="24">
        <f t="shared" si="17"/>
        <v>3.9675659135385167E-3</v>
      </c>
      <c r="K20" s="22">
        <f t="shared" si="21"/>
        <v>1.9837829567692582E-2</v>
      </c>
      <c r="L20" s="22">
        <f t="shared" si="22"/>
        <v>3.9675659135385167E-3</v>
      </c>
      <c r="M20" s="224">
        <f t="shared" si="23"/>
        <v>3.9675659135385167E-3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18785.952030399749</v>
      </c>
      <c r="T20" s="221">
        <f>IF($B$81=0,0,(SUMIF($N$6:$N$28,$U20,M$6:M$28)+SUMIF($N$91:$N$118,$U20,M$91:M$118))*$I$83*Poor!$B$81/$B$81)</f>
        <v>18785.952030399749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0.2</v>
      </c>
      <c r="F21" s="22"/>
      <c r="H21" s="24">
        <f t="shared" si="19"/>
        <v>0.2</v>
      </c>
      <c r="I21" s="22">
        <f t="shared" si="20"/>
        <v>0</v>
      </c>
      <c r="J21" s="24">
        <f t="shared" si="17"/>
        <v>-2.2871108345160131E-6</v>
      </c>
      <c r="K21" s="22">
        <f t="shared" si="21"/>
        <v>-1.7879380893079521E-5</v>
      </c>
      <c r="L21" s="22">
        <f t="shared" si="22"/>
        <v>-3.5758761786159045E-6</v>
      </c>
      <c r="M21" s="224">
        <f t="shared" si="23"/>
        <v>-2.2871108345160131E-6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2.3140906890721648E-3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2.3140906890721648E-3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0.5</v>
      </c>
      <c r="F23" s="22"/>
      <c r="H23" s="24">
        <f t="shared" si="19"/>
        <v>0.5</v>
      </c>
      <c r="I23" s="22">
        <f t="shared" si="20"/>
        <v>5.4076086105675145E-3</v>
      </c>
      <c r="J23" s="24">
        <f t="shared" si="17"/>
        <v>5.4076086105675145E-3</v>
      </c>
      <c r="K23" s="22">
        <f t="shared" si="21"/>
        <v>1.0815217221135029E-2</v>
      </c>
      <c r="L23" s="22">
        <f t="shared" si="22"/>
        <v>5.4076086105675145E-3</v>
      </c>
      <c r="M23" s="224">
        <f t="shared" si="23"/>
        <v>5.4076086105675145E-3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89666.641056685243</v>
      </c>
      <c r="T23" s="179">
        <f>SUM(T7:T22)</f>
        <v>89361.525422415987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0.5</v>
      </c>
      <c r="F24" s="22"/>
      <c r="H24" s="24">
        <f t="shared" si="19"/>
        <v>0.5</v>
      </c>
      <c r="I24" s="22">
        <f t="shared" si="20"/>
        <v>7.0877348336594913E-3</v>
      </c>
      <c r="J24" s="24">
        <f t="shared" si="17"/>
        <v>1.1201150606512623E-2</v>
      </c>
      <c r="K24" s="22">
        <f t="shared" si="21"/>
        <v>2.7038043052837576E-2</v>
      </c>
      <c r="L24" s="22">
        <f t="shared" si="22"/>
        <v>1.3519021526418788E-2</v>
      </c>
      <c r="M24" s="224">
        <f t="shared" si="23"/>
        <v>1.1201150606512623E-2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1.3376187782748104E-2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1.3376187782748104E-2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5.3504751130992415E-2</v>
      </c>
      <c r="Z27" s="156">
        <f>Poor!Z27</f>
        <v>0.25</v>
      </c>
      <c r="AA27" s="121">
        <f t="shared" si="16"/>
        <v>1.3376187782748104E-2</v>
      </c>
      <c r="AB27" s="156">
        <f>Poor!AB27</f>
        <v>0.25</v>
      </c>
      <c r="AC27" s="121">
        <f t="shared" si="7"/>
        <v>1.3376187782748104E-2</v>
      </c>
      <c r="AD27" s="156">
        <f>Poor!AD27</f>
        <v>0.25</v>
      </c>
      <c r="AE27" s="121">
        <f t="shared" si="8"/>
        <v>1.3376187782748104E-2</v>
      </c>
      <c r="AF27" s="122">
        <f t="shared" si="10"/>
        <v>0.25</v>
      </c>
      <c r="AG27" s="121">
        <f t="shared" si="11"/>
        <v>1.3376187782748104E-2</v>
      </c>
      <c r="AH27" s="123">
        <f t="shared" si="12"/>
        <v>1</v>
      </c>
      <c r="AI27" s="183">
        <f t="shared" si="13"/>
        <v>1.3376187782748104E-2</v>
      </c>
      <c r="AJ27" s="120">
        <f t="shared" si="14"/>
        <v>1.3376187782748104E-2</v>
      </c>
      <c r="AK27" s="119">
        <f t="shared" si="15"/>
        <v>1.3376187782748104E-2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1.1992545018816653E-2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1.1992545018816653E-2</v>
      </c>
      <c r="N28" s="228"/>
      <c r="O28" s="2"/>
      <c r="P28" s="22"/>
      <c r="V28" s="56"/>
      <c r="W28" s="110"/>
      <c r="X28" s="118"/>
      <c r="Y28" s="183">
        <f t="shared" si="9"/>
        <v>4.7970180075266614E-2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2.3985090037633307E-2</v>
      </c>
      <c r="AF28" s="122">
        <f t="shared" si="10"/>
        <v>0.5</v>
      </c>
      <c r="AG28" s="121">
        <f t="shared" si="11"/>
        <v>2.3985090037633307E-2</v>
      </c>
      <c r="AH28" s="123">
        <f t="shared" si="12"/>
        <v>1</v>
      </c>
      <c r="AI28" s="183">
        <f t="shared" si="13"/>
        <v>1.1992545018816653E-2</v>
      </c>
      <c r="AJ28" s="120">
        <f t="shared" si="14"/>
        <v>0</v>
      </c>
      <c r="AK28" s="119">
        <f t="shared" si="15"/>
        <v>2.3985090037633307E-2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0.22930327852570728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0.22930327852570728</v>
      </c>
      <c r="N29" s="228"/>
      <c r="P29" s="22"/>
      <c r="V29" s="56"/>
      <c r="W29" s="110"/>
      <c r="X29" s="118"/>
      <c r="Y29" s="183">
        <f t="shared" si="9"/>
        <v>0.91721311410282913</v>
      </c>
      <c r="Z29" s="156">
        <f>Poor!Z29</f>
        <v>0.25</v>
      </c>
      <c r="AA29" s="121">
        <f t="shared" si="16"/>
        <v>0.22930327852570728</v>
      </c>
      <c r="AB29" s="156">
        <f>Poor!AB29</f>
        <v>0.25</v>
      </c>
      <c r="AC29" s="121">
        <f t="shared" si="7"/>
        <v>0.22930327852570728</v>
      </c>
      <c r="AD29" s="156">
        <f>Poor!AD29</f>
        <v>0.25</v>
      </c>
      <c r="AE29" s="121">
        <f t="shared" si="8"/>
        <v>0.22930327852570728</v>
      </c>
      <c r="AF29" s="122">
        <f t="shared" si="10"/>
        <v>0.25</v>
      </c>
      <c r="AG29" s="121">
        <f t="shared" si="11"/>
        <v>0.22930327852570728</v>
      </c>
      <c r="AH29" s="123">
        <f t="shared" si="12"/>
        <v>1</v>
      </c>
      <c r="AI29" s="183">
        <f t="shared" si="13"/>
        <v>0.22930327852570728</v>
      </c>
      <c r="AJ29" s="120">
        <f t="shared" si="14"/>
        <v>0.22930327852570728</v>
      </c>
      <c r="AK29" s="119">
        <f t="shared" si="15"/>
        <v>0.22930327852570728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3.0314087665870728</v>
      </c>
      <c r="J30" s="230">
        <f>IF(I$32&lt;=1,I30,1-SUM(J6:J29))</f>
        <v>0.51893519398246635</v>
      </c>
      <c r="K30" s="22">
        <f t="shared" si="4"/>
        <v>0.59584818167738329</v>
      </c>
      <c r="L30" s="22">
        <f>IF(L124=L119,0,IF(K30="",0,(L119-L124)/(B119-B124)*K30))</f>
        <v>0.25536209300019441</v>
      </c>
      <c r="M30" s="175">
        <f t="shared" si="6"/>
        <v>0.51893519398246635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2.0757407759298654</v>
      </c>
      <c r="Z30" s="122">
        <f>IF($Y30=0,0,AA30/($Y$30))</f>
        <v>0.19680309998783799</v>
      </c>
      <c r="AA30" s="187">
        <f>IF(AA79*4/$I$84+SUM(AA6:AA29)&lt;1,AA79*4/$I$84,1-SUM(AA6:AA29))</f>
        <v>0.40851221947415772</v>
      </c>
      <c r="AB30" s="122">
        <f>IF($Y30=0,0,AC30/($Y$30))</f>
        <v>0.30565028481606654</v>
      </c>
      <c r="AC30" s="187">
        <f>IF(AC79*4/$I$84+SUM(AC6:AC29)&lt;1,AC79*4/$I$84,1-SUM(AC6:AC29))</f>
        <v>0.63445075936728634</v>
      </c>
      <c r="AD30" s="122">
        <f>IF($Y30=0,0,AE30/($Y$30))</f>
        <v>0.28707814119253117</v>
      </c>
      <c r="AE30" s="187">
        <f>IF(AE79*4/$I$84+SUM(AE6:AE29)&lt;1,AE79*4/$I$84,1-SUM(AE6:AE29))</f>
        <v>0.59589980355148808</v>
      </c>
      <c r="AF30" s="122">
        <f>IF($Y30=0,0,AG30/($Y$30))</f>
        <v>0.27916927651619755</v>
      </c>
      <c r="AG30" s="187">
        <f>IF(AG79*4/$I$84+SUM(AG6:AG29)&lt;1,AG79*4/$I$84,1-SUM(AG6:AG29))</f>
        <v>0.57948305065151107</v>
      </c>
      <c r="AH30" s="123">
        <f t="shared" si="12"/>
        <v>1.0687008025126332</v>
      </c>
      <c r="AI30" s="183">
        <f t="shared" si="13"/>
        <v>0.55458645826111086</v>
      </c>
      <c r="AJ30" s="120">
        <f t="shared" si="14"/>
        <v>0.52148148942072203</v>
      </c>
      <c r="AK30" s="119">
        <f t="shared" si="15"/>
        <v>0.58769142710149957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0.25293164806232149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3.4935886899689632</v>
      </c>
      <c r="J32" s="17"/>
      <c r="L32" s="22">
        <f>SUM(L6:L30)</f>
        <v>0.74706835193767851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603.73685112179373</v>
      </c>
      <c r="T32" s="233">
        <f t="shared" si="24"/>
        <v>908.85248539104941</v>
      </c>
      <c r="V32" s="56"/>
      <c r="W32" s="110"/>
      <c r="X32" s="118"/>
      <c r="Y32" s="115">
        <f>SUM(Y6:Y31)</f>
        <v>3.8573949428854224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0.36040547259629307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202.28571428571428</v>
      </c>
      <c r="J37" s="38">
        <f>J91*I$83</f>
        <v>159.15876900935001</v>
      </c>
      <c r="K37" s="40">
        <f>(B37/B$65)</f>
        <v>6.212870070452437E-3</v>
      </c>
      <c r="L37" s="22">
        <f t="shared" ref="L37" si="28">(K37*H37)</f>
        <v>1.4662373366267751E-3</v>
      </c>
      <c r="M37" s="24">
        <f>J37/B$65</f>
        <v>1.7304573167494263E-3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159.15876900935001</v>
      </c>
      <c r="AH37" s="123">
        <f>SUM(Z37,AB37,AD37,AF37)</f>
        <v>1</v>
      </c>
      <c r="AI37" s="112">
        <f>SUM(AA37,AC37,AE37,AG37)</f>
        <v>159.15876900935001</v>
      </c>
      <c r="AJ37" s="148">
        <f>(AA37+AC37)</f>
        <v>0</v>
      </c>
      <c r="AK37" s="147">
        <f>(AE37+AG37)</f>
        <v>159.15876900935001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52.088571428571427</v>
      </c>
      <c r="J38" s="38">
        <f t="shared" ref="J38:J64" si="32">J92*I$83</f>
        <v>52.088571428571427</v>
      </c>
      <c r="K38" s="40">
        <f t="shared" ref="K38:K64" si="33">(B38/B$65)</f>
        <v>2.3997210647122538E-3</v>
      </c>
      <c r="L38" s="22">
        <f t="shared" ref="L38:L64" si="34">(K38*H38)</f>
        <v>5.6633417127209193E-4</v>
      </c>
      <c r="M38" s="24">
        <f t="shared" ref="M38:M64" si="35">J38/B$65</f>
        <v>5.6633417127209193E-4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52.088571428571427</v>
      </c>
      <c r="AH38" s="123">
        <f t="shared" ref="AH38:AI58" si="37">SUM(Z38,AB38,AD38,AF38)</f>
        <v>1</v>
      </c>
      <c r="AI38" s="112">
        <f t="shared" si="37"/>
        <v>52.088571428571427</v>
      </c>
      <c r="AJ38" s="148">
        <f t="shared" ref="AJ38:AJ64" si="38">(AA38+AC38)</f>
        <v>0</v>
      </c>
      <c r="AK38" s="147">
        <f t="shared" ref="AK38:AK64" si="39">(AE38+AG38)</f>
        <v>52.088571428571427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3666.428571428572</v>
      </c>
      <c r="J39" s="38">
        <f t="shared" si="32"/>
        <v>4502.0131361581289</v>
      </c>
      <c r="K39" s="40">
        <f t="shared" si="33"/>
        <v>9.163983353917346E-2</v>
      </c>
      <c r="L39" s="22">
        <f t="shared" si="34"/>
        <v>5.4067501788112336E-2</v>
      </c>
      <c r="M39" s="24">
        <f t="shared" si="35"/>
        <v>4.8948239673235965E-2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4502.0131361581289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4502.0131361581289</v>
      </c>
      <c r="AJ39" s="148">
        <f t="shared" si="38"/>
        <v>4502.0131361581289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210.71428571428569</v>
      </c>
      <c r="J40" s="38">
        <f t="shared" si="32"/>
        <v>170.28277451769421</v>
      </c>
      <c r="K40" s="40">
        <f t="shared" si="33"/>
        <v>2.7181306558229411E-3</v>
      </c>
      <c r="L40" s="22">
        <f t="shared" si="34"/>
        <v>1.6036970869355352E-3</v>
      </c>
      <c r="M40" s="24">
        <f t="shared" si="35"/>
        <v>1.8514033183005207E-3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170.28277451769421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170.28277451769421</v>
      </c>
      <c r="AJ40" s="148">
        <f t="shared" si="38"/>
        <v>170.28277451769421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1037.9785714285713</v>
      </c>
      <c r="J41" s="38">
        <f t="shared" si="32"/>
        <v>1132.5883076285957</v>
      </c>
      <c r="K41" s="40">
        <f t="shared" si="33"/>
        <v>2.1853770472816447E-2</v>
      </c>
      <c r="L41" s="22">
        <f t="shared" si="34"/>
        <v>1.2893724578961704E-2</v>
      </c>
      <c r="M41" s="24">
        <f t="shared" si="35"/>
        <v>1.2314091997567639E-2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1132.5883076285957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1132.5883076285957</v>
      </c>
      <c r="AJ41" s="148">
        <f t="shared" si="38"/>
        <v>1132.5883076285957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134.85714285714286</v>
      </c>
      <c r="J42" s="38">
        <f t="shared" si="32"/>
        <v>134.85714285714286</v>
      </c>
      <c r="K42" s="40">
        <f t="shared" si="33"/>
        <v>2.4851480281809749E-3</v>
      </c>
      <c r="L42" s="22">
        <f t="shared" si="34"/>
        <v>1.4662373366267751E-3</v>
      </c>
      <c r="M42" s="24">
        <f t="shared" si="35"/>
        <v>1.4662373366267751E-3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33.714285714285715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67.428571428571431</v>
      </c>
      <c r="AF42" s="122">
        <f t="shared" si="29"/>
        <v>0.25</v>
      </c>
      <c r="AG42" s="147">
        <f t="shared" si="36"/>
        <v>33.714285714285715</v>
      </c>
      <c r="AH42" s="123">
        <f t="shared" si="37"/>
        <v>1</v>
      </c>
      <c r="AI42" s="112">
        <f t="shared" si="37"/>
        <v>134.85714285714286</v>
      </c>
      <c r="AJ42" s="148">
        <f t="shared" si="38"/>
        <v>33.714285714285715</v>
      </c>
      <c r="AK42" s="147">
        <f t="shared" si="39"/>
        <v>101.14285714285714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338.55017524533014</v>
      </c>
      <c r="K44" s="40">
        <f t="shared" si="33"/>
        <v>1.3702484940382849E-2</v>
      </c>
      <c r="L44" s="22">
        <f t="shared" si="34"/>
        <v>5.7550436749607961E-3</v>
      </c>
      <c r="M44" s="24">
        <f t="shared" si="35"/>
        <v>3.6808944394742435E-3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84.637543811332534</v>
      </c>
      <c r="AB44" s="156">
        <f>Poor!AB44</f>
        <v>0.25</v>
      </c>
      <c r="AC44" s="147">
        <f t="shared" si="41"/>
        <v>84.637543811332534</v>
      </c>
      <c r="AD44" s="156">
        <f>Poor!AD44</f>
        <v>0.25</v>
      </c>
      <c r="AE44" s="147">
        <f t="shared" si="42"/>
        <v>84.637543811332534</v>
      </c>
      <c r="AF44" s="122">
        <f t="shared" si="29"/>
        <v>0.25</v>
      </c>
      <c r="AG44" s="147">
        <f t="shared" si="36"/>
        <v>84.637543811332534</v>
      </c>
      <c r="AH44" s="123">
        <f t="shared" si="37"/>
        <v>1</v>
      </c>
      <c r="AI44" s="112">
        <f t="shared" si="37"/>
        <v>338.55017524533014</v>
      </c>
      <c r="AJ44" s="148">
        <f t="shared" si="38"/>
        <v>169.27508762266507</v>
      </c>
      <c r="AK44" s="147">
        <f t="shared" si="39"/>
        <v>169.27508762266507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19.149460150466986</v>
      </c>
      <c r="K45" s="40">
        <f t="shared" si="33"/>
        <v>7.7505554128894159E-4</v>
      </c>
      <c r="L45" s="22">
        <f t="shared" si="34"/>
        <v>3.2552332734135544E-4</v>
      </c>
      <c r="M45" s="24">
        <f t="shared" si="35"/>
        <v>2.0820293870977644E-4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4.7873650376167465</v>
      </c>
      <c r="AB45" s="156">
        <f>Poor!AB45</f>
        <v>0.25</v>
      </c>
      <c r="AC45" s="147">
        <f t="shared" si="41"/>
        <v>4.7873650376167465</v>
      </c>
      <c r="AD45" s="156">
        <f>Poor!AD45</f>
        <v>0.25</v>
      </c>
      <c r="AE45" s="147">
        <f t="shared" si="42"/>
        <v>4.7873650376167465</v>
      </c>
      <c r="AF45" s="122">
        <f t="shared" si="29"/>
        <v>0.25</v>
      </c>
      <c r="AG45" s="147">
        <f t="shared" si="36"/>
        <v>4.7873650376167465</v>
      </c>
      <c r="AH45" s="123">
        <f t="shared" si="37"/>
        <v>1</v>
      </c>
      <c r="AI45" s="112">
        <f t="shared" si="37"/>
        <v>19.149460150466986</v>
      </c>
      <c r="AJ45" s="148">
        <f t="shared" si="38"/>
        <v>9.574730075233493</v>
      </c>
      <c r="AK45" s="147">
        <f t="shared" si="39"/>
        <v>9.574730075233493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184.69999999999996</v>
      </c>
      <c r="J46" s="38">
        <f t="shared" si="32"/>
        <v>135.13142412621266</v>
      </c>
      <c r="K46" s="40">
        <f t="shared" si="33"/>
        <v>4.1626229472031323E-3</v>
      </c>
      <c r="L46" s="22">
        <f t="shared" si="34"/>
        <v>1.1655344252168769E-3</v>
      </c>
      <c r="M46" s="24">
        <f t="shared" si="35"/>
        <v>1.4692194659298818E-3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33.782856031553166</v>
      </c>
      <c r="AB46" s="156">
        <f>Poor!AB46</f>
        <v>0.25</v>
      </c>
      <c r="AC46" s="147">
        <f t="shared" si="41"/>
        <v>33.782856031553166</v>
      </c>
      <c r="AD46" s="156">
        <f>Poor!AD46</f>
        <v>0.25</v>
      </c>
      <c r="AE46" s="147">
        <f t="shared" si="42"/>
        <v>33.782856031553166</v>
      </c>
      <c r="AF46" s="122">
        <f t="shared" si="29"/>
        <v>0.25</v>
      </c>
      <c r="AG46" s="147">
        <f t="shared" si="36"/>
        <v>33.782856031553166</v>
      </c>
      <c r="AH46" s="123">
        <f t="shared" si="37"/>
        <v>1</v>
      </c>
      <c r="AI46" s="112">
        <f t="shared" si="37"/>
        <v>135.13142412621266</v>
      </c>
      <c r="AJ46" s="148">
        <f t="shared" si="38"/>
        <v>67.565712063106332</v>
      </c>
      <c r="AK46" s="147">
        <f t="shared" si="39"/>
        <v>67.565712063106332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16</v>
      </c>
      <c r="J47" s="38">
        <f t="shared" si="32"/>
        <v>15.999999999999996</v>
      </c>
      <c r="K47" s="40">
        <f t="shared" si="33"/>
        <v>6.2128700704524372E-4</v>
      </c>
      <c r="L47" s="22">
        <f t="shared" si="34"/>
        <v>1.7396036197266822E-4</v>
      </c>
      <c r="M47" s="24">
        <f t="shared" si="35"/>
        <v>1.739603619726682E-4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3.9999999999999991</v>
      </c>
      <c r="AB47" s="156">
        <f>Poor!AB47</f>
        <v>0.25</v>
      </c>
      <c r="AC47" s="147">
        <f t="shared" si="41"/>
        <v>3.9999999999999991</v>
      </c>
      <c r="AD47" s="156">
        <f>Poor!AD47</f>
        <v>0.25</v>
      </c>
      <c r="AE47" s="147">
        <f t="shared" si="42"/>
        <v>3.9999999999999991</v>
      </c>
      <c r="AF47" s="122">
        <f t="shared" si="29"/>
        <v>0.25</v>
      </c>
      <c r="AG47" s="147">
        <f t="shared" si="36"/>
        <v>3.9999999999999991</v>
      </c>
      <c r="AH47" s="123">
        <f t="shared" si="37"/>
        <v>1</v>
      </c>
      <c r="AI47" s="112">
        <f t="shared" si="37"/>
        <v>15.999999999999996</v>
      </c>
      <c r="AJ47" s="148">
        <f t="shared" si="38"/>
        <v>7.9999999999999982</v>
      </c>
      <c r="AK47" s="147">
        <f t="shared" si="39"/>
        <v>7.9999999999999982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6</v>
      </c>
      <c r="J48" s="38">
        <f t="shared" si="32"/>
        <v>17.768539304228206</v>
      </c>
      <c r="K48" s="40">
        <f t="shared" si="33"/>
        <v>9.4746268574399657E-4</v>
      </c>
      <c r="L48" s="22">
        <f t="shared" si="34"/>
        <v>2.6528955200831903E-4</v>
      </c>
      <c r="M48" s="24">
        <f t="shared" si="35"/>
        <v>1.9318884556807008E-4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4.4421348260570515</v>
      </c>
      <c r="AB48" s="156">
        <f>Poor!AB48</f>
        <v>0.25</v>
      </c>
      <c r="AC48" s="147">
        <f t="shared" si="41"/>
        <v>4.4421348260570515</v>
      </c>
      <c r="AD48" s="156">
        <f>Poor!AD48</f>
        <v>0.25</v>
      </c>
      <c r="AE48" s="147">
        <f t="shared" si="42"/>
        <v>4.4421348260570515</v>
      </c>
      <c r="AF48" s="122">
        <f t="shared" si="29"/>
        <v>0.25</v>
      </c>
      <c r="AG48" s="147">
        <f t="shared" si="36"/>
        <v>4.4421348260570515</v>
      </c>
      <c r="AH48" s="123">
        <f t="shared" si="37"/>
        <v>1</v>
      </c>
      <c r="AI48" s="112">
        <f t="shared" si="37"/>
        <v>17.768539304228206</v>
      </c>
      <c r="AJ48" s="148">
        <f t="shared" si="38"/>
        <v>8.8842696521141029</v>
      </c>
      <c r="AK48" s="147">
        <f t="shared" si="39"/>
        <v>8.8842696521141029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202.16303822176366</v>
      </c>
      <c r="K49" s="40">
        <f t="shared" si="33"/>
        <v>1.227352482417879E-2</v>
      </c>
      <c r="L49" s="22">
        <f t="shared" si="34"/>
        <v>3.4365869507700609E-3</v>
      </c>
      <c r="M49" s="24">
        <f t="shared" si="35"/>
        <v>2.1980222066595233E-3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50.540759555440914</v>
      </c>
      <c r="AB49" s="156">
        <f>Poor!AB49</f>
        <v>0.25</v>
      </c>
      <c r="AC49" s="147">
        <f t="shared" si="41"/>
        <v>50.540759555440914</v>
      </c>
      <c r="AD49" s="156">
        <f>Poor!AD49</f>
        <v>0.25</v>
      </c>
      <c r="AE49" s="147">
        <f t="shared" si="42"/>
        <v>50.540759555440914</v>
      </c>
      <c r="AF49" s="122">
        <f t="shared" si="29"/>
        <v>0.25</v>
      </c>
      <c r="AG49" s="147">
        <f t="shared" si="36"/>
        <v>50.540759555440914</v>
      </c>
      <c r="AH49" s="123">
        <f t="shared" si="37"/>
        <v>1</v>
      </c>
      <c r="AI49" s="112">
        <f t="shared" si="37"/>
        <v>202.16303822176366</v>
      </c>
      <c r="AJ49" s="148">
        <f t="shared" si="38"/>
        <v>101.08151911088183</v>
      </c>
      <c r="AK49" s="147">
        <f t="shared" si="39"/>
        <v>101.08151911088183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32.319999999999993</v>
      </c>
      <c r="J50" s="38">
        <f t="shared" si="32"/>
        <v>47.7470200009774</v>
      </c>
      <c r="K50" s="40">
        <f t="shared" si="33"/>
        <v>2.1915899173520969E-3</v>
      </c>
      <c r="L50" s="22">
        <f t="shared" si="34"/>
        <v>6.1364517685858703E-4</v>
      </c>
      <c r="M50" s="24">
        <f t="shared" si="35"/>
        <v>5.1913055515539119E-4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11.93675500024435</v>
      </c>
      <c r="AB50" s="156">
        <f>Poor!AB55</f>
        <v>0.25</v>
      </c>
      <c r="AC50" s="147">
        <f t="shared" si="41"/>
        <v>11.93675500024435</v>
      </c>
      <c r="AD50" s="156">
        <f>Poor!AD55</f>
        <v>0.25</v>
      </c>
      <c r="AE50" s="147">
        <f t="shared" si="42"/>
        <v>11.93675500024435</v>
      </c>
      <c r="AF50" s="122">
        <f t="shared" si="29"/>
        <v>0.25</v>
      </c>
      <c r="AG50" s="147">
        <f t="shared" si="36"/>
        <v>11.93675500024435</v>
      </c>
      <c r="AH50" s="123">
        <f t="shared" si="37"/>
        <v>1</v>
      </c>
      <c r="AI50" s="112">
        <f t="shared" si="37"/>
        <v>47.7470200009774</v>
      </c>
      <c r="AJ50" s="148">
        <f t="shared" si="38"/>
        <v>23.8735100004887</v>
      </c>
      <c r="AK50" s="147">
        <f t="shared" si="39"/>
        <v>23.8735100004887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38.759428360664636</v>
      </c>
      <c r="K51" s="40">
        <f t="shared" si="33"/>
        <v>2.3531245391838606E-3</v>
      </c>
      <c r="L51" s="22">
        <f t="shared" si="34"/>
        <v>6.5887487097148086E-4</v>
      </c>
      <c r="M51" s="24">
        <f t="shared" si="35"/>
        <v>4.2141276171718268E-4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9.6898570901661589</v>
      </c>
      <c r="AB51" s="156">
        <f>Poor!AB56</f>
        <v>0.25</v>
      </c>
      <c r="AC51" s="147">
        <f t="shared" si="41"/>
        <v>9.6898570901661589</v>
      </c>
      <c r="AD51" s="156">
        <f>Poor!AD56</f>
        <v>0.25</v>
      </c>
      <c r="AE51" s="147">
        <f t="shared" si="42"/>
        <v>9.6898570901661589</v>
      </c>
      <c r="AF51" s="122">
        <f t="shared" si="29"/>
        <v>0.25</v>
      </c>
      <c r="AG51" s="147">
        <f t="shared" si="36"/>
        <v>9.6898570901661589</v>
      </c>
      <c r="AH51" s="123">
        <f t="shared" si="37"/>
        <v>1</v>
      </c>
      <c r="AI51" s="112">
        <f t="shared" si="37"/>
        <v>38.759428360664636</v>
      </c>
      <c r="AJ51" s="148">
        <f t="shared" si="38"/>
        <v>19.379714180332318</v>
      </c>
      <c r="AK51" s="147">
        <f t="shared" si="39"/>
        <v>19.379714180332318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33.679999999999993</v>
      </c>
      <c r="J52" s="38">
        <f t="shared" si="32"/>
        <v>35.675534925499548</v>
      </c>
      <c r="K52" s="40">
        <f t="shared" si="33"/>
        <v>1.4289601162040604E-3</v>
      </c>
      <c r="L52" s="22">
        <f t="shared" si="34"/>
        <v>4.0010883253713687E-4</v>
      </c>
      <c r="M52" s="24">
        <f t="shared" si="35"/>
        <v>3.8788306057552929E-4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8.918883731374887</v>
      </c>
      <c r="AB52" s="156">
        <f>Poor!AB57</f>
        <v>0.25</v>
      </c>
      <c r="AC52" s="147">
        <f t="shared" si="41"/>
        <v>8.918883731374887</v>
      </c>
      <c r="AD52" s="156">
        <f>Poor!AD57</f>
        <v>0.25</v>
      </c>
      <c r="AE52" s="147">
        <f t="shared" si="42"/>
        <v>8.918883731374887</v>
      </c>
      <c r="AF52" s="122">
        <f t="shared" si="29"/>
        <v>0.25</v>
      </c>
      <c r="AG52" s="147">
        <f t="shared" si="36"/>
        <v>8.918883731374887</v>
      </c>
      <c r="AH52" s="123">
        <f t="shared" si="37"/>
        <v>1</v>
      </c>
      <c r="AI52" s="112">
        <f t="shared" si="37"/>
        <v>35.675534925499548</v>
      </c>
      <c r="AJ52" s="148">
        <f t="shared" si="38"/>
        <v>17.837767462749774</v>
      </c>
      <c r="AK52" s="147">
        <f t="shared" si="39"/>
        <v>17.837767462749774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51.167562192296543</v>
      </c>
      <c r="K53" s="40">
        <f t="shared" si="33"/>
        <v>3.1064350352262185E-3</v>
      </c>
      <c r="L53" s="22">
        <f t="shared" si="34"/>
        <v>8.6980180986334112E-4</v>
      </c>
      <c r="M53" s="24">
        <f t="shared" si="35"/>
        <v>5.5632047751443252E-4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196.78714285714287</v>
      </c>
      <c r="J55" s="38">
        <f t="shared" si="32"/>
        <v>196.78714285714287</v>
      </c>
      <c r="K55" s="40">
        <f t="shared" si="33"/>
        <v>3.8550858787157372E-3</v>
      </c>
      <c r="L55" s="22">
        <f t="shared" si="34"/>
        <v>2.1395726626872343E-3</v>
      </c>
      <c r="M55" s="24">
        <f t="shared" si="35"/>
        <v>2.1395726626872343E-3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190.28571428571428</v>
      </c>
      <c r="J56" s="38">
        <f t="shared" si="32"/>
        <v>190.28571428571428</v>
      </c>
      <c r="K56" s="40">
        <f t="shared" si="33"/>
        <v>3.7277220422714621E-3</v>
      </c>
      <c r="L56" s="22">
        <f t="shared" si="34"/>
        <v>2.0688857334606615E-3</v>
      </c>
      <c r="M56" s="24">
        <f t="shared" si="35"/>
        <v>2.0688857334606615E-3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2140.7142857142862</v>
      </c>
      <c r="J57" s="38">
        <f t="shared" si="32"/>
        <v>2140.7142857142858</v>
      </c>
      <c r="K57" s="40">
        <f t="shared" si="33"/>
        <v>4.193687297555395E-2</v>
      </c>
      <c r="L57" s="22">
        <f t="shared" si="34"/>
        <v>2.3274964501432443E-2</v>
      </c>
      <c r="M57" s="24">
        <f t="shared" si="35"/>
        <v>2.3274964501432443E-2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22028.914285714283</v>
      </c>
      <c r="J58" s="38">
        <f t="shared" si="32"/>
        <v>22028.914285714283</v>
      </c>
      <c r="K58" s="40">
        <f t="shared" si="33"/>
        <v>0.33829077533613516</v>
      </c>
      <c r="L58" s="22">
        <f t="shared" si="34"/>
        <v>0.23950986893798368</v>
      </c>
      <c r="M58" s="24">
        <f t="shared" si="35"/>
        <v>0.23950986893798371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5507.2285714285708</v>
      </c>
      <c r="AB58" s="156">
        <f>Poor!AB58</f>
        <v>0.25</v>
      </c>
      <c r="AC58" s="147">
        <f t="shared" si="41"/>
        <v>5507.2285714285708</v>
      </c>
      <c r="AD58" s="156">
        <f>Poor!AD58</f>
        <v>0.25</v>
      </c>
      <c r="AE58" s="147">
        <f t="shared" si="42"/>
        <v>5507.2285714285708</v>
      </c>
      <c r="AF58" s="122">
        <f t="shared" si="29"/>
        <v>0.25</v>
      </c>
      <c r="AG58" s="147">
        <f t="shared" si="36"/>
        <v>5507.2285714285708</v>
      </c>
      <c r="AH58" s="123">
        <f t="shared" si="37"/>
        <v>1</v>
      </c>
      <c r="AI58" s="112">
        <f t="shared" si="37"/>
        <v>22028.914285714283</v>
      </c>
      <c r="AJ58" s="148">
        <f t="shared" si="38"/>
        <v>11014.457142857142</v>
      </c>
      <c r="AK58" s="147">
        <f t="shared" si="39"/>
        <v>11014.457142857142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6732.5467500272844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7.319976685204109E-2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1683.1366875068211</v>
      </c>
      <c r="AB59" s="156">
        <f>Poor!AB59</f>
        <v>0.25</v>
      </c>
      <c r="AC59" s="147">
        <f t="shared" si="41"/>
        <v>1683.1366875068211</v>
      </c>
      <c r="AD59" s="156">
        <f>Poor!AD59</f>
        <v>0.25</v>
      </c>
      <c r="AE59" s="147">
        <f t="shared" si="42"/>
        <v>1683.1366875068211</v>
      </c>
      <c r="AF59" s="122">
        <f t="shared" si="29"/>
        <v>0.25</v>
      </c>
      <c r="AG59" s="147">
        <f t="shared" si="36"/>
        <v>1683.1366875068211</v>
      </c>
      <c r="AH59" s="123">
        <f t="shared" ref="AH59:AI64" si="43">SUM(Z59,AB59,AD59,AF59)</f>
        <v>1</v>
      </c>
      <c r="AI59" s="112">
        <f t="shared" si="43"/>
        <v>6732.5467500272844</v>
      </c>
      <c r="AJ59" s="148">
        <f t="shared" si="38"/>
        <v>3366.2733750136422</v>
      </c>
      <c r="AK59" s="147">
        <f t="shared" si="39"/>
        <v>3366.2733750136422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16437.708026599779</v>
      </c>
      <c r="J61" s="38">
        <f t="shared" si="32"/>
        <v>16437.708026599779</v>
      </c>
      <c r="K61" s="40">
        <f t="shared" si="33"/>
        <v>0.15145707830022945</v>
      </c>
      <c r="L61" s="22">
        <f t="shared" si="34"/>
        <v>0.17871935239427073</v>
      </c>
      <c r="M61" s="24">
        <f t="shared" si="35"/>
        <v>0.17871935239427073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4109.4270066499448</v>
      </c>
      <c r="AB61" s="156">
        <f>Poor!AB61</f>
        <v>0.25</v>
      </c>
      <c r="AC61" s="147">
        <f t="shared" si="41"/>
        <v>4109.4270066499448</v>
      </c>
      <c r="AD61" s="156">
        <f>Poor!AD61</f>
        <v>0.25</v>
      </c>
      <c r="AE61" s="147">
        <f t="shared" si="42"/>
        <v>4109.4270066499448</v>
      </c>
      <c r="AF61" s="122">
        <f t="shared" si="29"/>
        <v>0.25</v>
      </c>
      <c r="AG61" s="147">
        <f t="shared" si="36"/>
        <v>4109.4270066499448</v>
      </c>
      <c r="AH61" s="123">
        <f t="shared" si="43"/>
        <v>1</v>
      </c>
      <c r="AI61" s="112">
        <f t="shared" si="43"/>
        <v>16437.708026599779</v>
      </c>
      <c r="AJ61" s="148">
        <f t="shared" si="38"/>
        <v>8218.8540132998896</v>
      </c>
      <c r="AK61" s="147">
        <f t="shared" si="39"/>
        <v>8218.8540132998896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73462.062312314083</v>
      </c>
      <c r="J65" s="39">
        <f>SUM(J37:J64)</f>
        <v>74134.794232182554</v>
      </c>
      <c r="K65" s="40">
        <f>SUM(K37:K64)</f>
        <v>1</v>
      </c>
      <c r="L65" s="22">
        <f>SUM(L37:L64)</f>
        <v>0.81015376246470849</v>
      </c>
      <c r="M65" s="24">
        <f>SUM(M37:M64)</f>
        <v>0.80603222746248471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22189.811210402109</v>
      </c>
      <c r="AB65" s="137"/>
      <c r="AC65" s="153">
        <f>SUM(AC37:AC64)</f>
        <v>16351.212706383407</v>
      </c>
      <c r="AD65" s="137"/>
      <c r="AE65" s="153">
        <f>SUM(AE37:AE64)</f>
        <v>16418.641277811977</v>
      </c>
      <c r="AF65" s="137"/>
      <c r="AG65" s="153">
        <f>SUM(AG37:AG64)</f>
        <v>16596.174332535615</v>
      </c>
      <c r="AH65" s="137"/>
      <c r="AI65" s="153">
        <f>SUM(AI37:AI64)</f>
        <v>71555.839527133125</v>
      </c>
      <c r="AJ65" s="153">
        <f>SUM(AJ37:AJ64)</f>
        <v>38541.023916785525</v>
      </c>
      <c r="AK65" s="153">
        <f>SUM(AK37:AK64)</f>
        <v>33014.815610347592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29556.969636161935</v>
      </c>
      <c r="K72" s="40">
        <f t="shared" si="47"/>
        <v>0.27471447590519538</v>
      </c>
      <c r="L72" s="22">
        <f t="shared" si="45"/>
        <v>0.32416308156813056</v>
      </c>
      <c r="M72" s="24">
        <f t="shared" si="48"/>
        <v>0.32135882104511843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0.15021166612836381</v>
      </c>
      <c r="L73" s="22">
        <f t="shared" si="45"/>
        <v>5.2665403425996356E-2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54317.243127036811</v>
      </c>
      <c r="J74" s="51">
        <f t="shared" si="44"/>
        <v>9298.35969645765</v>
      </c>
      <c r="K74" s="40">
        <f>B74/B$76</f>
        <v>7.0351799595530243E-2</v>
      </c>
      <c r="L74" s="22">
        <f t="shared" si="45"/>
        <v>4.9748497212455479E-2</v>
      </c>
      <c r="M74" s="24">
        <f>J74/B$76</f>
        <v>0.10109662615924014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3374.0089939660652</v>
      </c>
      <c r="AB74" s="156"/>
      <c r="AC74" s="147">
        <f>AC30*$I$84/4</f>
        <v>5240.0943381553852</v>
      </c>
      <c r="AD74" s="156"/>
      <c r="AE74" s="147">
        <f>AE30*$I$84/4</f>
        <v>4921.691936836959</v>
      </c>
      <c r="AF74" s="156"/>
      <c r="AG74" s="147">
        <f>AG30*$I$84/4</f>
        <v>4786.1016918069818</v>
      </c>
      <c r="AH74" s="155"/>
      <c r="AI74" s="147">
        <f>SUM(AA74,AC74,AE74,AG74)</f>
        <v>18321.896960765393</v>
      </c>
      <c r="AJ74" s="148">
        <f>(AA74+AC74)</f>
        <v>8614.1033321214509</v>
      </c>
      <c r="AK74" s="147">
        <f>(AE74+AG74)</f>
        <v>9707.7936286439399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0.20737705423954864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23243.750607085578</v>
      </c>
      <c r="AB75" s="158"/>
      <c r="AC75" s="149">
        <f>AA75+AC65-SUM(AC70,AC74)</f>
        <v>29568.664178994288</v>
      </c>
      <c r="AD75" s="158"/>
      <c r="AE75" s="149">
        <f>AC75+AE65-SUM(AE70,AE74)</f>
        <v>36279.408723649991</v>
      </c>
      <c r="AF75" s="158"/>
      <c r="AG75" s="149">
        <f>IF(SUM(AG6:AG29)+((AG65-AG70-$J$75)*4/I$83)&lt;1,0,AG65-AG70-$J$75-(1-SUM(AG6:AG29))*I$83/4)</f>
        <v>9214.1531869688497</v>
      </c>
      <c r="AH75" s="134"/>
      <c r="AI75" s="149">
        <f>AI76-SUM(AI70,AI74)</f>
        <v>34089.123381090467</v>
      </c>
      <c r="AJ75" s="151">
        <f>AJ76-SUM(AJ70,AJ74)</f>
        <v>20354.51099202544</v>
      </c>
      <c r="AK75" s="149">
        <f>AJ75+AK76-SUM(AK70,AK74)</f>
        <v>34089.123381090467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73462.062312314054</v>
      </c>
      <c r="J76" s="51">
        <f t="shared" si="44"/>
        <v>74134.794232182554</v>
      </c>
      <c r="K76" s="40">
        <f>SUM(K70:K75)</f>
        <v>1</v>
      </c>
      <c r="L76" s="22">
        <f>SUM(L70:L75)</f>
        <v>0.81015376246470849</v>
      </c>
      <c r="M76" s="24">
        <f>SUM(M70:M75)</f>
        <v>0.80603222746248471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22189.811210402109</v>
      </c>
      <c r="AB76" s="137"/>
      <c r="AC76" s="153">
        <f>AC65</f>
        <v>16351.212706383407</v>
      </c>
      <c r="AD76" s="137"/>
      <c r="AE76" s="153">
        <f>AE65</f>
        <v>16418.641277811977</v>
      </c>
      <c r="AF76" s="137"/>
      <c r="AG76" s="153">
        <f>AG65</f>
        <v>16596.174332535615</v>
      </c>
      <c r="AH76" s="137"/>
      <c r="AI76" s="153">
        <f>SUM(AA76,AC76,AE76,AG76)</f>
        <v>71555.83952713311</v>
      </c>
      <c r="AJ76" s="154">
        <f>SUM(AA76,AC76)</f>
        <v>38541.023916785518</v>
      </c>
      <c r="AK76" s="154">
        <f>SUM(AE76,AG76)</f>
        <v>33014.815610347592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9214.1531869688497</v>
      </c>
      <c r="AB78" s="112"/>
      <c r="AC78" s="112">
        <f>IF(AA75&lt;0,0,AA75)</f>
        <v>23243.750607085578</v>
      </c>
      <c r="AD78" s="112"/>
      <c r="AE78" s="112">
        <f>AC75</f>
        <v>29568.664178994288</v>
      </c>
      <c r="AF78" s="112"/>
      <c r="AG78" s="112">
        <f>AE75</f>
        <v>36279.408723649991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26617.759601051643</v>
      </c>
      <c r="AB79" s="112"/>
      <c r="AC79" s="112">
        <f>AA79-AA74+AC65-AC70</f>
        <v>34808.758517149676</v>
      </c>
      <c r="AD79" s="112"/>
      <c r="AE79" s="112">
        <f>AC79-AC74+AE65-AE70</f>
        <v>41201.100660486954</v>
      </c>
      <c r="AF79" s="112"/>
      <c r="AG79" s="112">
        <f>AE79-AE74+AG65-AG70</f>
        <v>48089.378259866302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0.14303030303030304</v>
      </c>
      <c r="I91" s="22">
        <f t="shared" ref="I91" si="52">(D91*H91)</f>
        <v>1.1289429513329109E-2</v>
      </c>
      <c r="J91" s="24">
        <f>IF(I$32&lt;=1+I$131,I91,L91+J$33*(I91-L91))</f>
        <v>8.8825437352507107E-3</v>
      </c>
      <c r="K91" s="22">
        <f t="shared" ref="K91" si="53">(B91)</f>
        <v>5.2620222307889916E-2</v>
      </c>
      <c r="L91" s="22">
        <f t="shared" ref="L91" si="54">(K91*H91)</f>
        <v>7.5262863422194065E-3</v>
      </c>
      <c r="M91" s="226">
        <f t="shared" si="49"/>
        <v>8.8825437352507107E-3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0.14303030303030304</v>
      </c>
      <c r="I92" s="22">
        <f t="shared" ref="I92:I118" si="58">(D92*H92)</f>
        <v>2.9070280996822458E-3</v>
      </c>
      <c r="J92" s="24">
        <f t="shared" ref="J92:J118" si="59">IF(I$32&lt;=1+I$131,I92,L92+J$33*(I92-L92))</f>
        <v>2.9070280996822458E-3</v>
      </c>
      <c r="K92" s="22">
        <f t="shared" ref="K92:K118" si="60">(B92)</f>
        <v>2.0324560866422481E-2</v>
      </c>
      <c r="L92" s="22">
        <f t="shared" ref="L92:L118" si="61">(K92*H92)</f>
        <v>2.9070280996822458E-3</v>
      </c>
      <c r="M92" s="226">
        <f t="shared" ref="M92:M118" si="62">(J92)</f>
        <v>2.9070280996822458E-3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0.3575757575757576</v>
      </c>
      <c r="I93" s="22">
        <f t="shared" si="58"/>
        <v>0.20462090992909018</v>
      </c>
      <c r="J93" s="24">
        <f t="shared" si="59"/>
        <v>0.25125432187935909</v>
      </c>
      <c r="K93" s="22">
        <f t="shared" si="60"/>
        <v>0.7761482790413764</v>
      </c>
      <c r="L93" s="22">
        <f t="shared" si="61"/>
        <v>0.27753180886934065</v>
      </c>
      <c r="M93" s="226">
        <f t="shared" si="62"/>
        <v>0.25125432187935909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0.3575757575757576</v>
      </c>
      <c r="I94" s="22">
        <f t="shared" si="58"/>
        <v>1.1759822409717824E-2</v>
      </c>
      <c r="J94" s="24">
        <f t="shared" si="59"/>
        <v>9.5033669927693243E-3</v>
      </c>
      <c r="K94" s="22">
        <f t="shared" si="60"/>
        <v>2.3021347259701837E-2</v>
      </c>
      <c r="L94" s="22">
        <f t="shared" si="61"/>
        <v>8.2318756868024756E-3</v>
      </c>
      <c r="M94" s="226">
        <f t="shared" si="62"/>
        <v>9.5033669927693243E-3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0.3575757575757576</v>
      </c>
      <c r="I95" s="22">
        <f t="shared" si="58"/>
        <v>5.7928885190270001E-2</v>
      </c>
      <c r="J95" s="24">
        <f t="shared" si="59"/>
        <v>6.3208990865929487E-2</v>
      </c>
      <c r="K95" s="22">
        <f t="shared" si="60"/>
        <v>0.1850916319680028</v>
      </c>
      <c r="L95" s="22">
        <f t="shared" si="61"/>
        <v>6.6184280521891917E-2</v>
      </c>
      <c r="M95" s="226">
        <f t="shared" si="62"/>
        <v>6.3208990865929487E-2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0.3575757575757576</v>
      </c>
      <c r="I96" s="22">
        <f t="shared" si="58"/>
        <v>7.5262863422194074E-3</v>
      </c>
      <c r="J96" s="24">
        <f t="shared" si="59"/>
        <v>7.5262863422194074E-3</v>
      </c>
      <c r="K96" s="22">
        <f t="shared" si="60"/>
        <v>2.1048088923155968E-2</v>
      </c>
      <c r="L96" s="22">
        <f t="shared" si="61"/>
        <v>7.5262863422194074E-3</v>
      </c>
      <c r="M96" s="226">
        <f t="shared" si="62"/>
        <v>7.5262863422194074E-3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0.25454545454545457</v>
      </c>
      <c r="I98" s="22">
        <f t="shared" si="58"/>
        <v>0</v>
      </c>
      <c r="J98" s="24">
        <f t="shared" si="59"/>
        <v>1.8894257331286447E-2</v>
      </c>
      <c r="K98" s="22">
        <f t="shared" si="60"/>
        <v>0.11605390030005121</v>
      </c>
      <c r="L98" s="22">
        <f t="shared" si="61"/>
        <v>2.9540992803649403E-2</v>
      </c>
      <c r="M98" s="226">
        <f t="shared" si="62"/>
        <v>1.8894257331286447E-2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0.25454545454545457</v>
      </c>
      <c r="I99" s="22">
        <f t="shared" si="58"/>
        <v>0</v>
      </c>
      <c r="J99" s="24">
        <f t="shared" si="59"/>
        <v>1.0687184774781158E-3</v>
      </c>
      <c r="K99" s="22">
        <f t="shared" si="60"/>
        <v>6.5643727329092677E-3</v>
      </c>
      <c r="L99" s="22">
        <f t="shared" si="61"/>
        <v>1.6709312411041775E-3</v>
      </c>
      <c r="M99" s="226">
        <f t="shared" si="62"/>
        <v>1.0687184774781158E-3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0.16969696969696968</v>
      </c>
      <c r="I100" s="22">
        <f t="shared" si="58"/>
        <v>1.0307982639677403E-2</v>
      </c>
      <c r="J100" s="24">
        <f t="shared" si="59"/>
        <v>7.541593795169923E-3</v>
      </c>
      <c r="K100" s="22">
        <f t="shared" si="60"/>
        <v>3.5255548946286241E-2</v>
      </c>
      <c r="L100" s="22">
        <f t="shared" si="61"/>
        <v>5.9827598211879673E-3</v>
      </c>
      <c r="M100" s="226">
        <f t="shared" si="62"/>
        <v>7.541593795169923E-3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0.16969696969696968</v>
      </c>
      <c r="I101" s="22">
        <f t="shared" si="58"/>
        <v>8.9294922704298031E-4</v>
      </c>
      <c r="J101" s="24">
        <f t="shared" si="59"/>
        <v>8.9294922704298031E-4</v>
      </c>
      <c r="K101" s="22">
        <f t="shared" si="60"/>
        <v>5.262022230788992E-3</v>
      </c>
      <c r="L101" s="22">
        <f t="shared" si="61"/>
        <v>8.9294922704298031E-4</v>
      </c>
      <c r="M101" s="226">
        <f t="shared" si="62"/>
        <v>8.9294922704298031E-4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0.16969696969696968</v>
      </c>
      <c r="I102" s="22">
        <f t="shared" si="58"/>
        <v>3.3485596014111766E-4</v>
      </c>
      <c r="J102" s="24">
        <f t="shared" si="59"/>
        <v>9.9165021483708709E-4</v>
      </c>
      <c r="K102" s="22">
        <f t="shared" si="60"/>
        <v>8.0245839019532118E-3</v>
      </c>
      <c r="L102" s="22">
        <f t="shared" si="61"/>
        <v>1.3617475712405448E-3</v>
      </c>
      <c r="M102" s="226">
        <f t="shared" si="62"/>
        <v>9.9165021483708709E-4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1.1282583044799024E-2</v>
      </c>
      <c r="K103" s="22">
        <f t="shared" si="60"/>
        <v>0.10395124916923654</v>
      </c>
      <c r="L103" s="22">
        <f t="shared" si="61"/>
        <v>1.7640211980234077E-2</v>
      </c>
      <c r="M103" s="226">
        <f t="shared" si="62"/>
        <v>1.1282583044799024E-2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0.16969696969696968</v>
      </c>
      <c r="I104" s="22">
        <f t="shared" si="58"/>
        <v>1.80375743862682E-3</v>
      </c>
      <c r="J104" s="24">
        <f t="shared" si="59"/>
        <v>2.6647290377174063E-3</v>
      </c>
      <c r="K104" s="22">
        <f t="shared" si="60"/>
        <v>1.8561783419108167E-2</v>
      </c>
      <c r="L104" s="22">
        <f t="shared" si="61"/>
        <v>3.1498783983941129E-3</v>
      </c>
      <c r="M104" s="226">
        <f t="shared" si="62"/>
        <v>2.6647290377174063E-3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2.1631375997052038E-3</v>
      </c>
      <c r="K105" s="22">
        <f t="shared" si="60"/>
        <v>1.9929909199113305E-2</v>
      </c>
      <c r="L105" s="22">
        <f t="shared" si="61"/>
        <v>3.3820451974252877E-3</v>
      </c>
      <c r="M105" s="226">
        <f t="shared" si="62"/>
        <v>2.1631375997052038E-3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0.16969696969696968</v>
      </c>
      <c r="I106" s="22">
        <f t="shared" si="58"/>
        <v>1.8796581229254734E-3</v>
      </c>
      <c r="J106" s="24">
        <f t="shared" si="59"/>
        <v>1.9910275835043549E-3</v>
      </c>
      <c r="K106" s="22">
        <f t="shared" si="60"/>
        <v>1.2102651130814679E-2</v>
      </c>
      <c r="L106" s="22">
        <f t="shared" si="61"/>
        <v>2.0537832221988544E-3</v>
      </c>
      <c r="M106" s="226">
        <f t="shared" si="62"/>
        <v>1.9910275835043549E-3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2.8556271943303018E-3</v>
      </c>
      <c r="K107" s="22">
        <f t="shared" si="60"/>
        <v>2.6310111153944958E-2</v>
      </c>
      <c r="L107" s="22">
        <f t="shared" si="61"/>
        <v>4.4647461352149012E-3</v>
      </c>
      <c r="M107" s="226">
        <f t="shared" si="62"/>
        <v>2.8556271943303018E-3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0.33636363636363642</v>
      </c>
      <c r="I109" s="22">
        <f t="shared" si="58"/>
        <v>1.0982557944142645E-2</v>
      </c>
      <c r="J109" s="24">
        <f t="shared" si="59"/>
        <v>1.0982557944142645E-2</v>
      </c>
      <c r="K109" s="22">
        <f t="shared" si="60"/>
        <v>3.2650847942045695E-2</v>
      </c>
      <c r="L109" s="22">
        <f t="shared" si="61"/>
        <v>1.0982557944142645E-2</v>
      </c>
      <c r="M109" s="226">
        <f t="shared" si="62"/>
        <v>1.0982557944142645E-2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0.33636363636363642</v>
      </c>
      <c r="I110" s="22">
        <f t="shared" si="58"/>
        <v>1.0619717593046875E-2</v>
      </c>
      <c r="J110" s="24">
        <f t="shared" si="59"/>
        <v>1.0619717593046875E-2</v>
      </c>
      <c r="K110" s="22">
        <f t="shared" si="60"/>
        <v>3.1572133384733948E-2</v>
      </c>
      <c r="L110" s="22">
        <f t="shared" si="61"/>
        <v>1.0619717593046875E-2</v>
      </c>
      <c r="M110" s="226">
        <f t="shared" si="62"/>
        <v>1.0619717593046875E-2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0.33636363636363642</v>
      </c>
      <c r="I111" s="22">
        <f t="shared" si="58"/>
        <v>0.11947182292177735</v>
      </c>
      <c r="J111" s="24">
        <f t="shared" si="59"/>
        <v>0.11947182292177735</v>
      </c>
      <c r="K111" s="22">
        <f t="shared" si="60"/>
        <v>0.35518650057825696</v>
      </c>
      <c r="L111" s="22">
        <f t="shared" si="61"/>
        <v>0.11947182292177735</v>
      </c>
      <c r="M111" s="226">
        <f t="shared" si="62"/>
        <v>0.11947182292177735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0.42909090909090908</v>
      </c>
      <c r="I112" s="22">
        <f t="shared" si="58"/>
        <v>1.2294188740015399</v>
      </c>
      <c r="J112" s="24">
        <f t="shared" si="59"/>
        <v>1.2294188740015399</v>
      </c>
      <c r="K112" s="22">
        <f t="shared" si="60"/>
        <v>2.865171104664606</v>
      </c>
      <c r="L112" s="22">
        <f t="shared" si="61"/>
        <v>1.2294188740015399</v>
      </c>
      <c r="M112" s="226">
        <f t="shared" si="62"/>
        <v>1.2294188740015399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0.37573890102922464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0.37573890102922464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0.7151515151515152</v>
      </c>
      <c r="I115" s="22">
        <f t="shared" si="58"/>
        <v>0.91737741729440436</v>
      </c>
      <c r="J115" s="24">
        <f t="shared" si="59"/>
        <v>0.91737741729440436</v>
      </c>
      <c r="K115" s="22">
        <f t="shared" si="60"/>
        <v>1.282773507233701</v>
      </c>
      <c r="L115" s="22">
        <f t="shared" si="61"/>
        <v>0.91737741729440436</v>
      </c>
      <c r="M115" s="226">
        <f t="shared" si="62"/>
        <v>0.91737741729440436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4.0998682349227566</v>
      </c>
      <c r="J119" s="24">
        <f>SUM(J91:J118)</f>
        <v>4.1374129504136139</v>
      </c>
      <c r="K119" s="22">
        <f>SUM(K91:K118)</f>
        <v>8.4695513846562669</v>
      </c>
      <c r="L119" s="22">
        <f>SUM(L91:L118)</f>
        <v>4.1585690428287618</v>
      </c>
      <c r="M119" s="57">
        <f t="shared" si="49"/>
        <v>4.1374129504136139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1.6495545743964777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65"/>
        <v>1.6495545743964777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0.27033475182432021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3.0314087665870728</v>
      </c>
      <c r="J128" s="227">
        <f>(J30)</f>
        <v>0.51893519398246635</v>
      </c>
      <c r="K128" s="22">
        <f>(B128)</f>
        <v>0.59584818167738329</v>
      </c>
      <c r="L128" s="22">
        <f>IF(L124=L119,0,(L119-L124)/(B119-B124)*K128)</f>
        <v>0.25536209300019441</v>
      </c>
      <c r="M128" s="57">
        <f t="shared" si="63"/>
        <v>0.51893519398246635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1.756390616880507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4.0998682349227566</v>
      </c>
      <c r="J130" s="227">
        <f>(J119)</f>
        <v>4.1374129504136139</v>
      </c>
      <c r="K130" s="22">
        <f>(B130)</f>
        <v>8.4695513846562669</v>
      </c>
      <c r="L130" s="22">
        <f>(L119)</f>
        <v>4.1585690428287618</v>
      </c>
      <c r="M130" s="57">
        <f t="shared" si="63"/>
        <v>4.1374129504136139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1.7015025830911856E-2</v>
      </c>
      <c r="J6" s="24">
        <f t="shared" ref="J6:J13" si="3">IF(I$32&lt;=1+I$131,I6,B6*H6+J$33*(I6-B6*H6))</f>
        <v>1.7872484306731402E-2</v>
      </c>
      <c r="K6" s="22">
        <f t="shared" ref="K6:K31" si="4">B6</f>
        <v>8.9544227179821689E-2</v>
      </c>
      <c r="L6" s="22">
        <f t="shared" ref="L6:L29" si="5">IF(K6="","",K6*H6)</f>
        <v>1.7908845435964337E-2</v>
      </c>
      <c r="M6" s="177">
        <f t="shared" ref="M6:M31" si="6">J6</f>
        <v>1.7872484306731402E-2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7.1489937226925607E-2</v>
      </c>
      <c r="Z6" s="156">
        <f>Poor!Z6</f>
        <v>0.17</v>
      </c>
      <c r="AA6" s="121">
        <f>$M6*Z6*4</f>
        <v>1.2153289328577354E-2</v>
      </c>
      <c r="AB6" s="156">
        <f>Poor!AB6</f>
        <v>0.17</v>
      </c>
      <c r="AC6" s="121">
        <f t="shared" ref="AC6:AC29" si="7">$M6*AB6*4</f>
        <v>1.2153289328577354E-2</v>
      </c>
      <c r="AD6" s="156">
        <f>Poor!AD6</f>
        <v>0.33</v>
      </c>
      <c r="AE6" s="121">
        <f t="shared" ref="AE6:AE29" si="8">$M6*AD6*4</f>
        <v>2.3591679284885453E-2</v>
      </c>
      <c r="AF6" s="122">
        <f>1-SUM(Z6,AB6,AD6)</f>
        <v>0.32999999999999996</v>
      </c>
      <c r="AG6" s="121">
        <f>$M6*AF6*4</f>
        <v>2.3591679284885446E-2</v>
      </c>
      <c r="AH6" s="123">
        <f>SUM(Z6,AB6,AD6,AF6)</f>
        <v>1</v>
      </c>
      <c r="AI6" s="183">
        <f>SUM(AA6,AC6,AE6,AG6)/4</f>
        <v>1.7872484306731402E-2</v>
      </c>
      <c r="AJ6" s="120">
        <f>(AA6+AC6)/2</f>
        <v>1.2153289328577354E-2</v>
      </c>
      <c r="AK6" s="119">
        <f>(AE6+AG6)/2</f>
        <v>2.3591679284885449E-2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3.1104922255826366E-3</v>
      </c>
      <c r="J7" s="24">
        <f t="shared" si="3"/>
        <v>3.1104922255826366E-3</v>
      </c>
      <c r="K7" s="22">
        <f t="shared" si="4"/>
        <v>1.5552461127913182E-2</v>
      </c>
      <c r="L7" s="22">
        <f t="shared" si="5"/>
        <v>3.1104922255826366E-3</v>
      </c>
      <c r="M7" s="177">
        <f t="shared" si="6"/>
        <v>3.1104922255826366E-3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2180.6710099291568</v>
      </c>
      <c r="T7" s="221">
        <f>IF($B$81=0,0,(SUMIF($N$6:$N$28,$U7,M$6:M$28)+SUMIF($N$91:$N$118,$U7,M$91:M$118))*$I$83*Poor!$B$81/$B$81)</f>
        <v>2334.9087261972327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1.2441968902330547E-2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1.2441968902330547E-2</v>
      </c>
      <c r="AH7" s="123">
        <f t="shared" ref="AH7:AH30" si="12">SUM(Z7,AB7,AD7,AF7)</f>
        <v>1</v>
      </c>
      <c r="AI7" s="183">
        <f t="shared" ref="AI7:AI30" si="13">SUM(AA7,AC7,AE7,AG7)/4</f>
        <v>3.1104922255826366E-3</v>
      </c>
      <c r="AJ7" s="120">
        <f t="shared" ref="AJ7:AJ31" si="14">(AA7+AC7)/2</f>
        <v>0</v>
      </c>
      <c r="AK7" s="119">
        <f t="shared" ref="AK7:AK31" si="15">(AE7+AG7)/2</f>
        <v>6.2209844511652733E-3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1.7455222120915614E-2</v>
      </c>
      <c r="J8" s="24">
        <f t="shared" si="3"/>
        <v>1.7455222120915614E-2</v>
      </c>
      <c r="K8" s="22">
        <f t="shared" si="4"/>
        <v>8.7276110604578072E-2</v>
      </c>
      <c r="L8" s="22">
        <f t="shared" si="5"/>
        <v>1.7455222120915614E-2</v>
      </c>
      <c r="M8" s="223">
        <f t="shared" si="6"/>
        <v>1.7455222120915614E-2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6531.5485714285724</v>
      </c>
      <c r="T8" s="221">
        <f>IF($B$81=0,0,(SUMIF($N$6:$N$28,$U8,M$6:M$28)+SUMIF($N$91:$N$118,$U8,M$91:M$118))*$I$83*Poor!$B$81/$B$81)</f>
        <v>6346.7709518225447</v>
      </c>
      <c r="U8" s="222">
        <v>2</v>
      </c>
      <c r="V8" s="56"/>
      <c r="W8" s="115"/>
      <c r="X8" s="118">
        <f>Poor!X8</f>
        <v>1</v>
      </c>
      <c r="Y8" s="183">
        <f t="shared" si="9"/>
        <v>6.9820888483662455E-2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6.9820888483662455E-2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1.7455222120915614E-2</v>
      </c>
      <c r="AJ8" s="120">
        <f t="shared" si="14"/>
        <v>3.4910444241831227E-2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3.5296324592302676E-2</v>
      </c>
      <c r="J9" s="24">
        <f t="shared" si="3"/>
        <v>1.0395730454503095E-2</v>
      </c>
      <c r="K9" s="22">
        <f t="shared" si="4"/>
        <v>4.6699016307893013E-2</v>
      </c>
      <c r="L9" s="22">
        <f t="shared" si="5"/>
        <v>9.3398032615786032E-3</v>
      </c>
      <c r="M9" s="223">
        <f t="shared" si="6"/>
        <v>1.0395730454503095E-2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787.87772713630568</v>
      </c>
      <c r="T9" s="221">
        <f>IF($B$81=0,0,(SUMIF($N$6:$N$28,$U9,M$6:M$28)+SUMIF($N$91:$N$118,$U9,M$91:M$118))*$I$83*Poor!$B$81/$B$81)</f>
        <v>787.13312800331664</v>
      </c>
      <c r="U9" s="222">
        <v>3</v>
      </c>
      <c r="V9" s="56"/>
      <c r="W9" s="115"/>
      <c r="X9" s="118">
        <f>Poor!X9</f>
        <v>1</v>
      </c>
      <c r="Y9" s="183">
        <f t="shared" si="9"/>
        <v>4.1582921818012382E-2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4.1582921818012382E-2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1.0395730454503095E-2</v>
      </c>
      <c r="AJ9" s="120">
        <f t="shared" si="14"/>
        <v>2.0791460909006191E-2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0.3</v>
      </c>
      <c r="H10" s="24">
        <f t="shared" si="1"/>
        <v>0.3</v>
      </c>
      <c r="I10" s="22">
        <f t="shared" si="2"/>
        <v>0.18900523156022062</v>
      </c>
      <c r="J10" s="24">
        <f t="shared" si="3"/>
        <v>5.1657488244150312E-2</v>
      </c>
      <c r="K10" s="22">
        <f t="shared" si="4"/>
        <v>0.15277720223269881</v>
      </c>
      <c r="L10" s="22">
        <f t="shared" si="5"/>
        <v>4.5833160669809643E-2</v>
      </c>
      <c r="M10" s="223">
        <f t="shared" si="6"/>
        <v>5.1657488244150312E-2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387.81061224489798</v>
      </c>
      <c r="T10" s="221">
        <f>IF($B$81=0,0,(SUMIF($N$6:$N$28,$U10,M$6:M$28)+SUMIF($N$91:$N$118,$U10,M$91:M$118))*$I$83*Poor!$B$81/$B$81)</f>
        <v>392.5129589936426</v>
      </c>
      <c r="U10" s="222">
        <v>4</v>
      </c>
      <c r="V10" s="56"/>
      <c r="W10" s="115"/>
      <c r="X10" s="118">
        <f>Poor!X10</f>
        <v>1</v>
      </c>
      <c r="Y10" s="183">
        <f t="shared" si="9"/>
        <v>0.20662995297660125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0.20662995297660125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5.1657488244150312E-2</v>
      </c>
      <c r="AJ10" s="120">
        <f t="shared" si="14"/>
        <v>0.10331497648830062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0.3</v>
      </c>
      <c r="H11" s="24">
        <f t="shared" si="1"/>
        <v>0.3</v>
      </c>
      <c r="I11" s="22">
        <f t="shared" si="2"/>
        <v>7.7306085216153697E-3</v>
      </c>
      <c r="J11" s="24">
        <f t="shared" si="3"/>
        <v>7.7306085216153697E-3</v>
      </c>
      <c r="K11" s="22">
        <f t="shared" si="4"/>
        <v>2.5768695072051234E-2</v>
      </c>
      <c r="L11" s="22">
        <f t="shared" si="5"/>
        <v>7.7306085216153697E-3</v>
      </c>
      <c r="M11" s="223">
        <f t="shared" si="6"/>
        <v>7.7306085216153697E-3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15312.161632653064</v>
      </c>
      <c r="T11" s="221">
        <f>IF($B$81=0,0,(SUMIF($N$6:$N$28,$U11,M$6:M$28)+SUMIF($N$91:$N$118,$U11,M$91:M$118))*$I$83*Poor!$B$81/$B$81)</f>
        <v>15361.939891610817</v>
      </c>
      <c r="U11" s="222">
        <v>5</v>
      </c>
      <c r="V11" s="56"/>
      <c r="W11" s="115"/>
      <c r="X11" s="118">
        <f>Poor!X11</f>
        <v>1</v>
      </c>
      <c r="Y11" s="183">
        <f t="shared" si="9"/>
        <v>3.0922434086461479E-2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3.0922434086461479E-2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7.7306085216153697E-3</v>
      </c>
      <c r="AJ11" s="120">
        <f t="shared" si="14"/>
        <v>1.5461217043230739E-2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0.2</v>
      </c>
      <c r="H12" s="24">
        <f t="shared" si="1"/>
        <v>0.2</v>
      </c>
      <c r="I12" s="22">
        <f t="shared" si="2"/>
        <v>1.1443616867105495E-2</v>
      </c>
      <c r="J12" s="24">
        <f t="shared" si="3"/>
        <v>1.2453714671326013E-2</v>
      </c>
      <c r="K12" s="22">
        <f t="shared" si="4"/>
        <v>6.2482742892723708E-2</v>
      </c>
      <c r="L12" s="22">
        <f t="shared" si="5"/>
        <v>1.2496548578544743E-2</v>
      </c>
      <c r="M12" s="223">
        <f t="shared" si="6"/>
        <v>1.2453714671326013E-2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34.59345705160441</v>
      </c>
      <c r="U12" s="222">
        <v>6</v>
      </c>
      <c r="V12" s="56"/>
      <c r="W12" s="117"/>
      <c r="X12" s="118"/>
      <c r="Y12" s="183">
        <f t="shared" si="9"/>
        <v>4.9814858685304053E-2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3.3375955319153716E-2</v>
      </c>
      <c r="AF12" s="122">
        <f>1-SUM(Z12,AB12,AD12)</f>
        <v>0.32999999999999996</v>
      </c>
      <c r="AG12" s="121">
        <f>$M12*AF12*4</f>
        <v>1.6438903366150337E-2</v>
      </c>
      <c r="AH12" s="123">
        <f t="shared" si="12"/>
        <v>1</v>
      </c>
      <c r="AI12" s="183">
        <f t="shared" si="13"/>
        <v>1.2453714671326013E-2</v>
      </c>
      <c r="AJ12" s="120">
        <f t="shared" si="14"/>
        <v>0</v>
      </c>
      <c r="AK12" s="119">
        <f t="shared" si="15"/>
        <v>2.4907429342652027E-2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0.2</v>
      </c>
      <c r="F14" s="22"/>
      <c r="H14" s="24">
        <f t="shared" si="1"/>
        <v>0.2</v>
      </c>
      <c r="I14" s="22">
        <f t="shared" si="2"/>
        <v>1.5651965949119374E-2</v>
      </c>
      <c r="J14" s="24">
        <f>IF(I$32&lt;=1+I131,I14,B14*H14+J$33*(I14-B14*H14))</f>
        <v>8.3977465991610586E-3</v>
      </c>
      <c r="K14" s="22">
        <f t="shared" si="4"/>
        <v>4.0450631649172744E-2</v>
      </c>
      <c r="L14" s="22">
        <f t="shared" si="5"/>
        <v>8.0901263298345499E-3</v>
      </c>
      <c r="M14" s="224">
        <f t="shared" si="6"/>
        <v>8.3977465991610586E-3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91377.658775510194</v>
      </c>
      <c r="T14" s="221">
        <f>IF($B$81=0,0,(SUMIF($N$6:$N$28,$U14,M$6:M$28)+SUMIF($N$91:$N$118,$U14,M$91:M$118))*$I$83*Poor!$B$81/$B$81)</f>
        <v>91377.658775510194</v>
      </c>
      <c r="U14" s="222">
        <v>8</v>
      </c>
      <c r="V14" s="56"/>
      <c r="W14" s="110"/>
      <c r="X14" s="118"/>
      <c r="Y14" s="183">
        <f>M14*4</f>
        <v>3.3590986396644235E-2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3.3590986396644235E-2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8.3977465991610586E-3</v>
      </c>
      <c r="AJ14" s="120">
        <f t="shared" si="14"/>
        <v>1.6795493198322117E-2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0.2</v>
      </c>
      <c r="F15" s="22"/>
      <c r="H15" s="24">
        <f t="shared" si="1"/>
        <v>0.2</v>
      </c>
      <c r="I15" s="22">
        <f t="shared" si="2"/>
        <v>8.2772048656822635E-3</v>
      </c>
      <c r="J15" s="24">
        <f>IF(I$32&lt;=1+I131,I15,B15*H15+J$33*(I15-B15*H15))</f>
        <v>4.0592607310592074E-3</v>
      </c>
      <c r="K15" s="22">
        <f t="shared" si="4"/>
        <v>1.9401979229674435E-2</v>
      </c>
      <c r="L15" s="22">
        <f t="shared" si="5"/>
        <v>3.8803958459348873E-3</v>
      </c>
      <c r="M15" s="225">
        <f t="shared" si="6"/>
        <v>4.0592607310592074E-3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1.623704292423683E-2</v>
      </c>
      <c r="Z15" s="156">
        <f>Poor!Z15</f>
        <v>0.25</v>
      </c>
      <c r="AA15" s="121">
        <f t="shared" si="16"/>
        <v>4.0592607310592074E-3</v>
      </c>
      <c r="AB15" s="156">
        <f>Poor!AB15</f>
        <v>0.25</v>
      </c>
      <c r="AC15" s="121">
        <f t="shared" si="7"/>
        <v>4.0592607310592074E-3</v>
      </c>
      <c r="AD15" s="156">
        <f>Poor!AD15</f>
        <v>0.25</v>
      </c>
      <c r="AE15" s="121">
        <f t="shared" si="8"/>
        <v>4.0592607310592074E-3</v>
      </c>
      <c r="AF15" s="122">
        <f t="shared" si="10"/>
        <v>0.25</v>
      </c>
      <c r="AG15" s="121">
        <f t="shared" si="11"/>
        <v>4.0592607310592074E-3</v>
      </c>
      <c r="AH15" s="123">
        <f t="shared" si="12"/>
        <v>1</v>
      </c>
      <c r="AI15" s="183">
        <f t="shared" si="13"/>
        <v>4.0592607310592074E-3</v>
      </c>
      <c r="AJ15" s="120">
        <f t="shared" si="14"/>
        <v>4.0592607310592074E-3</v>
      </c>
      <c r="AK15" s="119">
        <f t="shared" si="15"/>
        <v>4.0592607310592074E-3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0.2</v>
      </c>
      <c r="F16" s="22"/>
      <c r="H16" s="24">
        <f t="shared" si="1"/>
        <v>0.2</v>
      </c>
      <c r="I16" s="22">
        <f t="shared" si="2"/>
        <v>3.479807863369508E-3</v>
      </c>
      <c r="J16" s="24">
        <f>IF(I$32&lt;=1+I131,I16,B16*H16+J$33*(I16-B16*H16))</f>
        <v>1.9493322903233171E-3</v>
      </c>
      <c r="K16" s="22">
        <f t="shared" si="4"/>
        <v>9.422156990650141E-3</v>
      </c>
      <c r="L16" s="22">
        <f t="shared" si="5"/>
        <v>1.8844313981300283E-3</v>
      </c>
      <c r="M16" s="223">
        <f t="shared" si="6"/>
        <v>1.9493322903233171E-3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790.04953277588334</v>
      </c>
      <c r="U16" s="222">
        <v>10</v>
      </c>
      <c r="V16" s="56"/>
      <c r="W16" s="110"/>
      <c r="X16" s="118"/>
      <c r="Y16" s="183">
        <f t="shared" si="9"/>
        <v>7.7973291612932682E-3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7.7973291612932682E-3</v>
      </c>
      <c r="AH16" s="123">
        <f t="shared" si="12"/>
        <v>1</v>
      </c>
      <c r="AI16" s="183">
        <f t="shared" si="13"/>
        <v>1.9493322903233171E-3</v>
      </c>
      <c r="AJ16" s="120">
        <f t="shared" si="14"/>
        <v>0</v>
      </c>
      <c r="AK16" s="119">
        <f t="shared" si="15"/>
        <v>3.8986645806466341E-3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0.2</v>
      </c>
      <c r="F17" s="22"/>
      <c r="H17" s="24">
        <f t="shared" si="1"/>
        <v>0.2</v>
      </c>
      <c r="I17" s="22">
        <f t="shared" si="2"/>
        <v>2.2012381782600962E-3</v>
      </c>
      <c r="J17" s="24">
        <f t="shared" ref="J17:J25" si="17">IF(I$32&lt;=1+I131,I17,B17*H17+J$33*(I17-B17*H17))</f>
        <v>1.3264981294406845E-3</v>
      </c>
      <c r="K17" s="22">
        <f t="shared" si="4"/>
        <v>6.4470208148016362E-3</v>
      </c>
      <c r="L17" s="22">
        <f t="shared" si="5"/>
        <v>1.2894041629603274E-3</v>
      </c>
      <c r="M17" s="224">
        <f t="shared" si="6"/>
        <v>1.3264981294406845E-3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5.3059925177627379E-3</v>
      </c>
      <c r="Z17" s="156">
        <f>Poor!Z17</f>
        <v>0.29409999999999997</v>
      </c>
      <c r="AA17" s="121">
        <f t="shared" si="16"/>
        <v>1.560492399474021E-3</v>
      </c>
      <c r="AB17" s="156">
        <f>Poor!AB17</f>
        <v>0.17649999999999999</v>
      </c>
      <c r="AC17" s="121">
        <f t="shared" si="7"/>
        <v>9.3650767938512319E-4</v>
      </c>
      <c r="AD17" s="156">
        <f>Poor!AD17</f>
        <v>0.23530000000000001</v>
      </c>
      <c r="AE17" s="121">
        <f t="shared" si="8"/>
        <v>1.2485000394295723E-3</v>
      </c>
      <c r="AF17" s="122">
        <f t="shared" si="10"/>
        <v>0.29410000000000003</v>
      </c>
      <c r="AG17" s="121">
        <f t="shared" si="11"/>
        <v>1.5604923994740213E-3</v>
      </c>
      <c r="AH17" s="123">
        <f t="shared" si="12"/>
        <v>1</v>
      </c>
      <c r="AI17" s="183">
        <f t="shared" si="13"/>
        <v>1.3264981294406845E-3</v>
      </c>
      <c r="AJ17" s="120">
        <f t="shared" si="14"/>
        <v>1.2485000394295721E-3</v>
      </c>
      <c r="AK17" s="119">
        <f t="shared" si="15"/>
        <v>1.4044962194517969E-3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2.2067756626934706E-3</v>
      </c>
      <c r="J18" s="24">
        <f t="shared" si="17"/>
        <v>1.9302783027123174E-3</v>
      </c>
      <c r="K18" s="22">
        <f t="shared" ref="K18:K25" si="21">B18</f>
        <v>9.5927661892901608E-3</v>
      </c>
      <c r="L18" s="22">
        <f t="shared" ref="L18:L25" si="22">IF(K18="","",K18*H18)</f>
        <v>1.9185532378580322E-3</v>
      </c>
      <c r="M18" s="224">
        <f t="shared" ref="M18:M25" si="23">J18</f>
        <v>1.9302783027123174E-3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1.137865204056218E-2</v>
      </c>
      <c r="J19" s="24">
        <f t="shared" si="17"/>
        <v>8.8828955291447281E-3</v>
      </c>
      <c r="K19" s="22">
        <f t="shared" si="21"/>
        <v>4.3885306102117064E-2</v>
      </c>
      <c r="L19" s="22">
        <f t="shared" si="22"/>
        <v>8.7770612204234131E-3</v>
      </c>
      <c r="M19" s="224">
        <f t="shared" si="23"/>
        <v>8.8828955291447281E-3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0.2</v>
      </c>
      <c r="F20" s="22"/>
      <c r="H20" s="24">
        <f t="shared" si="19"/>
        <v>0.2</v>
      </c>
      <c r="I20" s="22">
        <f t="shared" si="20"/>
        <v>4.3953579078455807E-3</v>
      </c>
      <c r="J20" s="24">
        <f t="shared" si="17"/>
        <v>4.6140098191795641E-3</v>
      </c>
      <c r="K20" s="22">
        <f t="shared" si="21"/>
        <v>2.3116409535669815E-2</v>
      </c>
      <c r="L20" s="22">
        <f t="shared" si="22"/>
        <v>4.6232819071339634E-3</v>
      </c>
      <c r="M20" s="224">
        <f t="shared" si="23"/>
        <v>4.6140098191795641E-3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11722.134887542605</v>
      </c>
      <c r="T20" s="221">
        <f>IF($B$81=0,0,(SUMIF($N$6:$N$28,$U20,M$6:M$28)+SUMIF($N$91:$N$118,$U20,M$91:M$118))*$I$83*Poor!$B$81/$B$81)</f>
        <v>11722.134887542605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0.2</v>
      </c>
      <c r="F21" s="22"/>
      <c r="H21" s="24">
        <f t="shared" si="19"/>
        <v>0.2</v>
      </c>
      <c r="I21" s="22">
        <f t="shared" si="20"/>
        <v>5.6980999822095707E-4</v>
      </c>
      <c r="J21" s="24">
        <f t="shared" si="17"/>
        <v>6.2341011297886207E-4</v>
      </c>
      <c r="K21" s="22">
        <f t="shared" si="21"/>
        <v>3.1284153175591529E-3</v>
      </c>
      <c r="L21" s="22">
        <f t="shared" si="22"/>
        <v>6.2568306351183059E-4</v>
      </c>
      <c r="M21" s="224">
        <f t="shared" si="23"/>
        <v>6.2341011297886207E-4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1.6893078526939291E-3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1.6893078526939291E-3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179429.18686318447</v>
      </c>
      <c r="T23" s="179">
        <f>SUM(T7:T22)</f>
        <v>179459.10730851797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0.5</v>
      </c>
      <c r="F24" s="22"/>
      <c r="H24" s="24">
        <f t="shared" si="19"/>
        <v>0.5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2.9945605876419729E-2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2.9945605876419729E-2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0.11978242350567891</v>
      </c>
      <c r="Z27" s="156">
        <f>Poor!Z27</f>
        <v>0.25</v>
      </c>
      <c r="AA27" s="121">
        <f t="shared" si="16"/>
        <v>2.9945605876419729E-2</v>
      </c>
      <c r="AB27" s="156">
        <f>Poor!AB27</f>
        <v>0.25</v>
      </c>
      <c r="AC27" s="121">
        <f t="shared" si="7"/>
        <v>2.9945605876419729E-2</v>
      </c>
      <c r="AD27" s="156">
        <f>Poor!AD27</f>
        <v>0.25</v>
      </c>
      <c r="AE27" s="121">
        <f t="shared" si="8"/>
        <v>2.9945605876419729E-2</v>
      </c>
      <c r="AF27" s="122">
        <f t="shared" si="10"/>
        <v>0.25</v>
      </c>
      <c r="AG27" s="121">
        <f t="shared" si="11"/>
        <v>2.9945605876419729E-2</v>
      </c>
      <c r="AH27" s="123">
        <f t="shared" si="12"/>
        <v>1</v>
      </c>
      <c r="AI27" s="183">
        <f t="shared" si="13"/>
        <v>2.9945605876419729E-2</v>
      </c>
      <c r="AJ27" s="120">
        <f t="shared" si="14"/>
        <v>2.9945605876419729E-2</v>
      </c>
      <c r="AK27" s="119">
        <f t="shared" si="15"/>
        <v>2.9945605876419729E-2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2.4219321545327535E-2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2.4219321545327535E-2</v>
      </c>
      <c r="N28" s="228"/>
      <c r="O28" s="2"/>
      <c r="P28" s="22"/>
      <c r="V28" s="56"/>
      <c r="W28" s="110"/>
      <c r="X28" s="118"/>
      <c r="Y28" s="183">
        <f t="shared" si="9"/>
        <v>9.687728618131014E-2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4.843864309065507E-2</v>
      </c>
      <c r="AF28" s="122">
        <f t="shared" si="10"/>
        <v>0.5</v>
      </c>
      <c r="AG28" s="121">
        <f t="shared" si="11"/>
        <v>4.843864309065507E-2</v>
      </c>
      <c r="AH28" s="123">
        <f t="shared" si="12"/>
        <v>1</v>
      </c>
      <c r="AI28" s="183">
        <f t="shared" si="13"/>
        <v>2.4219321545327535E-2</v>
      </c>
      <c r="AJ28" s="120">
        <f t="shared" si="14"/>
        <v>0</v>
      </c>
      <c r="AK28" s="119">
        <f t="shared" si="15"/>
        <v>4.843864309065507E-2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0.27309333018416876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0.27309333018416876</v>
      </c>
      <c r="N29" s="228"/>
      <c r="P29" s="22"/>
      <c r="V29" s="56"/>
      <c r="W29" s="110"/>
      <c r="X29" s="118"/>
      <c r="Y29" s="183">
        <f t="shared" si="9"/>
        <v>1.092373320736675</v>
      </c>
      <c r="Z29" s="156">
        <f>Poor!Z29</f>
        <v>0.25</v>
      </c>
      <c r="AA29" s="121">
        <f t="shared" si="16"/>
        <v>0.27309333018416876</v>
      </c>
      <c r="AB29" s="156">
        <f>Poor!AB29</f>
        <v>0.25</v>
      </c>
      <c r="AC29" s="121">
        <f t="shared" si="7"/>
        <v>0.27309333018416876</v>
      </c>
      <c r="AD29" s="156">
        <f>Poor!AD29</f>
        <v>0.25</v>
      </c>
      <c r="AE29" s="121">
        <f t="shared" si="8"/>
        <v>0.27309333018416876</v>
      </c>
      <c r="AF29" s="122">
        <f t="shared" si="10"/>
        <v>0.25</v>
      </c>
      <c r="AG29" s="121">
        <f t="shared" si="11"/>
        <v>0.27309333018416876</v>
      </c>
      <c r="AH29" s="123">
        <f t="shared" si="12"/>
        <v>1</v>
      </c>
      <c r="AI29" s="183">
        <f t="shared" si="13"/>
        <v>0.27309333018416876</v>
      </c>
      <c r="AJ29" s="120">
        <f t="shared" si="14"/>
        <v>0.27309333018416876</v>
      </c>
      <c r="AK29" s="119">
        <f t="shared" si="15"/>
        <v>0.27309333018416876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7.3369381958039099</v>
      </c>
      <c r="J30" s="230">
        <f>IF(I$32&lt;=1,I30,1-SUM(J6:J29))</f>
        <v>0.45728767688283545</v>
      </c>
      <c r="K30" s="22">
        <f t="shared" si="4"/>
        <v>0.57492883275217932</v>
      </c>
      <c r="L30" s="22">
        <f>IF(L124=L119,0,IF(K30="",0,(L119-L124)/(B119-B124)*K30))</f>
        <v>0.24081457564162678</v>
      </c>
      <c r="M30" s="175">
        <f t="shared" si="6"/>
        <v>0.45728767688283545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1.8291507075313418</v>
      </c>
      <c r="Z30" s="122">
        <f>IF($Y30=0,0,AA30/($Y$30))</f>
        <v>0.15119908500052154</v>
      </c>
      <c r="AA30" s="187">
        <f>IF(AA79*4/$I$83+SUM(AA6:AA29)&lt;1,AA79*4/$I$83,1-SUM(AA6:AA29))</f>
        <v>0.27656591330679547</v>
      </c>
      <c r="AB30" s="122">
        <f>IF($Y30=0,0,AC30/($Y$30))</f>
        <v>0.32395094977969413</v>
      </c>
      <c r="AC30" s="187">
        <f>IF(AC79*4/$I$83+SUM(AC6:AC29)&lt;1,AC79*4/$I$83,1-SUM(AC6:AC29))</f>
        <v>0.59255510899497765</v>
      </c>
      <c r="AD30" s="122">
        <f>IF($Y30=0,0,AE30/($Y$30))</f>
        <v>0.29116305861108766</v>
      </c>
      <c r="AE30" s="187">
        <f>IF(AE79*4/$I$83+SUM(AE6:AE29)&lt;1,AE79*4/$I$83,1-SUM(AE6:AE29))</f>
        <v>0.53258111466546054</v>
      </c>
      <c r="AF30" s="122">
        <f>IF($Y30=0,0,AG30/($Y$30))</f>
        <v>0.28918714790248196</v>
      </c>
      <c r="AG30" s="187">
        <f>IF(AG79*4/$I$83+SUM(AG6:AG29)&lt;1,AG79*4/$I$83,1-SUM(AG6:AG29))</f>
        <v>0.52896687619479565</v>
      </c>
      <c r="AH30" s="123">
        <f t="shared" si="12"/>
        <v>1.0555002412937853</v>
      </c>
      <c r="AI30" s="183">
        <f t="shared" si="13"/>
        <v>0.48266725329050736</v>
      </c>
      <c r="AJ30" s="120">
        <f t="shared" si="14"/>
        <v>0.43456051115088656</v>
      </c>
      <c r="AK30" s="119">
        <f t="shared" si="15"/>
        <v>0.53077399543012804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0.21963594267945574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7.9542358042548855</v>
      </c>
      <c r="J32" s="17"/>
      <c r="L32" s="22">
        <f>SUM(L6:L30)</f>
        <v>0.78036405732054426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3.8984816943693126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4.0680612762797982E-2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438.28571428571433</v>
      </c>
      <c r="J37" s="38">
        <f>J91*I$83</f>
        <v>341.25741054800869</v>
      </c>
      <c r="K37" s="40">
        <f t="shared" ref="K37:K52" si="28">(B37/B$65)</f>
        <v>6.8763562108247449E-3</v>
      </c>
      <c r="L37" s="22">
        <f t="shared" ref="L37:L52" si="29">(K37*H37)</f>
        <v>1.6228200657546397E-3</v>
      </c>
      <c r="M37" s="24">
        <f t="shared" ref="M37:M52" si="30">J37/B$65</f>
        <v>1.6426252601582385E-3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341.25741054800869</v>
      </c>
      <c r="AH37" s="123">
        <f>SUM(Z37,AB37,AD37,AF37)</f>
        <v>1</v>
      </c>
      <c r="AI37" s="112">
        <f>SUM(AA37,AC37,AE37,AG37)</f>
        <v>341.25741054800869</v>
      </c>
      <c r="AJ37" s="148">
        <f>(AA37+AC37)</f>
        <v>0</v>
      </c>
      <c r="AK37" s="147">
        <f>(AE37+AG37)</f>
        <v>341.25741054800869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2.1914285714285713</v>
      </c>
      <c r="J38" s="38">
        <f t="shared" ref="J38:J64" si="33">J92*I$83</f>
        <v>2.1914285714285713</v>
      </c>
      <c r="K38" s="40">
        <f t="shared" si="28"/>
        <v>4.4696315370360842E-5</v>
      </c>
      <c r="L38" s="22">
        <f t="shared" si="29"/>
        <v>1.0548330427405159E-5</v>
      </c>
      <c r="M38" s="24">
        <f t="shared" si="30"/>
        <v>1.0548330427405157E-5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2.1914285714285713</v>
      </c>
      <c r="AH38" s="123">
        <f t="shared" ref="AH38:AI58" si="35">SUM(Z38,AB38,AD38,AF38)</f>
        <v>1</v>
      </c>
      <c r="AI38" s="112">
        <f t="shared" si="35"/>
        <v>2.1914285714285713</v>
      </c>
      <c r="AJ38" s="148">
        <f t="shared" ref="AJ38:AJ64" si="36">(AA38+AC38)</f>
        <v>0</v>
      </c>
      <c r="AK38" s="147">
        <f t="shared" ref="AK38:AK64" si="37">(AE38+AG38)</f>
        <v>2.1914285714285713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10957.142857142857</v>
      </c>
      <c r="J39" s="38">
        <f t="shared" si="33"/>
        <v>10411.358648618267</v>
      </c>
      <c r="K39" s="40">
        <f t="shared" si="28"/>
        <v>8.4751090298414974E-2</v>
      </c>
      <c r="L39" s="22">
        <f t="shared" si="29"/>
        <v>5.0003143276064831E-2</v>
      </c>
      <c r="M39" s="24">
        <f t="shared" si="30"/>
        <v>5.0114547494585091E-2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10411.358648618267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10411.358648618267</v>
      </c>
      <c r="AJ39" s="148">
        <f t="shared" si="36"/>
        <v>10411.358648618267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1154.7142857142858</v>
      </c>
      <c r="J40" s="38">
        <f t="shared" si="33"/>
        <v>972.78621620608783</v>
      </c>
      <c r="K40" s="40">
        <f t="shared" si="28"/>
        <v>7.8734278613943331E-3</v>
      </c>
      <c r="L40" s="22">
        <f t="shared" si="29"/>
        <v>4.6453224382226564E-3</v>
      </c>
      <c r="M40" s="24">
        <f t="shared" si="30"/>
        <v>4.6824571777294042E-3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972.78621620608783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972.78621620608783</v>
      </c>
      <c r="AJ40" s="148">
        <f t="shared" si="36"/>
        <v>972.78621620608783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1963.6885714285713</v>
      </c>
      <c r="J41" s="38">
        <f t="shared" si="33"/>
        <v>1664.2753974779685</v>
      </c>
      <c r="K41" s="40">
        <f t="shared" si="28"/>
        <v>1.3474219995111086E-2</v>
      </c>
      <c r="L41" s="22">
        <f t="shared" si="29"/>
        <v>7.9497897971155407E-3</v>
      </c>
      <c r="M41" s="24">
        <f t="shared" si="30"/>
        <v>8.0109053261793132E-3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1664.2753974779685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1664.2753974779685</v>
      </c>
      <c r="AJ41" s="148">
        <f t="shared" si="36"/>
        <v>1664.2753974779685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0.5</v>
      </c>
      <c r="F42" s="75">
        <f>Middle!F42</f>
        <v>1.18</v>
      </c>
      <c r="G42" s="22">
        <f t="shared" si="32"/>
        <v>1.65</v>
      </c>
      <c r="H42" s="24">
        <f t="shared" si="26"/>
        <v>0.59</v>
      </c>
      <c r="I42" s="39">
        <f t="shared" si="27"/>
        <v>50.571428571428562</v>
      </c>
      <c r="J42" s="38">
        <f t="shared" si="33"/>
        <v>50.571428571428569</v>
      </c>
      <c r="K42" s="40">
        <f t="shared" si="28"/>
        <v>4.1258137264948459E-4</v>
      </c>
      <c r="L42" s="22">
        <f t="shared" si="29"/>
        <v>2.4342300986319589E-4</v>
      </c>
      <c r="M42" s="24">
        <f t="shared" si="30"/>
        <v>2.4342300986319594E-4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12.642857142857142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25.285714285714285</v>
      </c>
      <c r="AF42" s="122">
        <f t="shared" si="31"/>
        <v>0.25</v>
      </c>
      <c r="AG42" s="147">
        <f t="shared" si="34"/>
        <v>12.642857142857142</v>
      </c>
      <c r="AH42" s="123">
        <f t="shared" si="35"/>
        <v>1</v>
      </c>
      <c r="AI42" s="112">
        <f t="shared" si="35"/>
        <v>50.571428571428569</v>
      </c>
      <c r="AJ42" s="148">
        <f t="shared" si="36"/>
        <v>12.642857142857142</v>
      </c>
      <c r="AK42" s="147">
        <f t="shared" si="37"/>
        <v>37.928571428571431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0.3</v>
      </c>
      <c r="F44" s="75">
        <f>Middle!F44</f>
        <v>1.4</v>
      </c>
      <c r="G44" s="22">
        <f t="shared" si="32"/>
        <v>1.65</v>
      </c>
      <c r="H44" s="24">
        <f t="shared" si="26"/>
        <v>0.42</v>
      </c>
      <c r="I44" s="39">
        <f t="shared" si="27"/>
        <v>0</v>
      </c>
      <c r="J44" s="38">
        <f t="shared" si="33"/>
        <v>2513.3064728319368</v>
      </c>
      <c r="K44" s="40">
        <f t="shared" si="28"/>
        <v>3.0025437485660975E-2</v>
      </c>
      <c r="L44" s="22">
        <f t="shared" si="29"/>
        <v>1.261068374397761E-2</v>
      </c>
      <c r="M44" s="24">
        <f t="shared" si="30"/>
        <v>1.2097673401914744E-2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628.32661820798421</v>
      </c>
      <c r="AB44" s="156">
        <f>Poor!AB44</f>
        <v>0.25</v>
      </c>
      <c r="AC44" s="147">
        <f t="shared" si="39"/>
        <v>628.32661820798421</v>
      </c>
      <c r="AD44" s="156">
        <f>Poor!AD44</f>
        <v>0.25</v>
      </c>
      <c r="AE44" s="147">
        <f t="shared" si="40"/>
        <v>628.32661820798421</v>
      </c>
      <c r="AF44" s="122">
        <f t="shared" si="31"/>
        <v>0.25</v>
      </c>
      <c r="AG44" s="147">
        <f t="shared" si="34"/>
        <v>628.32661820798421</v>
      </c>
      <c r="AH44" s="123">
        <f t="shared" si="35"/>
        <v>1</v>
      </c>
      <c r="AI44" s="112">
        <f t="shared" si="35"/>
        <v>2513.3064728319368</v>
      </c>
      <c r="AJ44" s="148">
        <f t="shared" si="36"/>
        <v>1256.6532364159684</v>
      </c>
      <c r="AK44" s="147">
        <f t="shared" si="37"/>
        <v>1256.6532364159684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0.3</v>
      </c>
      <c r="F45" s="75">
        <f>Middle!F45</f>
        <v>1.4</v>
      </c>
      <c r="G45" s="22">
        <f t="shared" si="32"/>
        <v>1.65</v>
      </c>
      <c r="H45" s="24">
        <f t="shared" si="26"/>
        <v>0.42</v>
      </c>
      <c r="I45" s="39">
        <f t="shared" si="27"/>
        <v>0</v>
      </c>
      <c r="J45" s="38">
        <f t="shared" si="33"/>
        <v>5.6983571601889791</v>
      </c>
      <c r="K45" s="40">
        <f t="shared" si="28"/>
        <v>6.807592648716497E-5</v>
      </c>
      <c r="L45" s="22">
        <f t="shared" si="29"/>
        <v>2.8591889124609287E-5</v>
      </c>
      <c r="M45" s="24">
        <f t="shared" si="30"/>
        <v>2.7428753554974197E-5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1.4245892900472448</v>
      </c>
      <c r="AB45" s="156">
        <f>Poor!AB45</f>
        <v>0.25</v>
      </c>
      <c r="AC45" s="147">
        <f t="shared" si="39"/>
        <v>1.4245892900472448</v>
      </c>
      <c r="AD45" s="156">
        <f>Poor!AD45</f>
        <v>0.25</v>
      </c>
      <c r="AE45" s="147">
        <f t="shared" si="40"/>
        <v>1.4245892900472448</v>
      </c>
      <c r="AF45" s="122">
        <f t="shared" si="31"/>
        <v>0.25</v>
      </c>
      <c r="AG45" s="147">
        <f t="shared" si="34"/>
        <v>1.4245892900472448</v>
      </c>
      <c r="AH45" s="123">
        <f t="shared" si="35"/>
        <v>1</v>
      </c>
      <c r="AI45" s="112">
        <f t="shared" si="35"/>
        <v>5.6983571601889791</v>
      </c>
      <c r="AJ45" s="148">
        <f t="shared" si="36"/>
        <v>2.8491785800944895</v>
      </c>
      <c r="AK45" s="147">
        <f t="shared" si="37"/>
        <v>2.8491785800944895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553.99999999999989</v>
      </c>
      <c r="J46" s="38">
        <f t="shared" si="33"/>
        <v>501.04556982450629</v>
      </c>
      <c r="K46" s="40">
        <f t="shared" si="28"/>
        <v>8.5748161948984557E-3</v>
      </c>
      <c r="L46" s="22">
        <f t="shared" si="29"/>
        <v>2.4009485345715675E-3</v>
      </c>
      <c r="M46" s="24">
        <f t="shared" si="30"/>
        <v>2.4117574711782766E-3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125.26139245612657</v>
      </c>
      <c r="AB46" s="156">
        <f>Poor!AB46</f>
        <v>0.25</v>
      </c>
      <c r="AC46" s="147">
        <f t="shared" si="39"/>
        <v>125.26139245612657</v>
      </c>
      <c r="AD46" s="156">
        <f>Poor!AD46</f>
        <v>0.25</v>
      </c>
      <c r="AE46" s="147">
        <f t="shared" si="40"/>
        <v>125.26139245612657</v>
      </c>
      <c r="AF46" s="122">
        <f t="shared" si="31"/>
        <v>0.25</v>
      </c>
      <c r="AG46" s="147">
        <f t="shared" si="34"/>
        <v>125.26139245612657</v>
      </c>
      <c r="AH46" s="123">
        <f t="shared" si="35"/>
        <v>1</v>
      </c>
      <c r="AI46" s="112">
        <f t="shared" si="35"/>
        <v>501.04556982450629</v>
      </c>
      <c r="AJ46" s="148">
        <f t="shared" si="36"/>
        <v>250.52278491225314</v>
      </c>
      <c r="AK46" s="147">
        <f t="shared" si="37"/>
        <v>250.52278491225314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532.79999999999995</v>
      </c>
      <c r="J47" s="38">
        <f t="shared" si="33"/>
        <v>537.02100530384371</v>
      </c>
      <c r="K47" s="40">
        <f t="shared" si="28"/>
        <v>9.2349463911376318E-3</v>
      </c>
      <c r="L47" s="22">
        <f t="shared" si="29"/>
        <v>2.5857849895185368E-3</v>
      </c>
      <c r="M47" s="24">
        <f t="shared" si="30"/>
        <v>2.5849234076151034E-3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134.25525132596093</v>
      </c>
      <c r="AB47" s="156">
        <f>Poor!AB47</f>
        <v>0.25</v>
      </c>
      <c r="AC47" s="147">
        <f t="shared" si="39"/>
        <v>134.25525132596093</v>
      </c>
      <c r="AD47" s="156">
        <f>Poor!AD47</f>
        <v>0.25</v>
      </c>
      <c r="AE47" s="147">
        <f t="shared" si="40"/>
        <v>134.25525132596093</v>
      </c>
      <c r="AF47" s="122">
        <f t="shared" si="31"/>
        <v>0.25</v>
      </c>
      <c r="AG47" s="147">
        <f t="shared" si="34"/>
        <v>134.25525132596093</v>
      </c>
      <c r="AH47" s="123">
        <f t="shared" si="35"/>
        <v>1</v>
      </c>
      <c r="AI47" s="112">
        <f t="shared" si="35"/>
        <v>537.02100530384371</v>
      </c>
      <c r="AJ47" s="148">
        <f t="shared" si="36"/>
        <v>268.51050265192185</v>
      </c>
      <c r="AK47" s="147">
        <f t="shared" si="37"/>
        <v>268.51050265192185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17.999999999999979</v>
      </c>
      <c r="J48" s="38">
        <f t="shared" si="33"/>
        <v>534.19057588459361</v>
      </c>
      <c r="K48" s="40">
        <f t="shared" si="28"/>
        <v>9.5595104042885595E-3</v>
      </c>
      <c r="L48" s="22">
        <f t="shared" si="29"/>
        <v>2.6766629132007965E-3</v>
      </c>
      <c r="M48" s="24">
        <f t="shared" si="30"/>
        <v>2.5712992789736506E-3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133.5476439711484</v>
      </c>
      <c r="AB48" s="156">
        <f>Poor!AB48</f>
        <v>0.25</v>
      </c>
      <c r="AC48" s="147">
        <f t="shared" si="39"/>
        <v>133.5476439711484</v>
      </c>
      <c r="AD48" s="156">
        <f>Poor!AD48</f>
        <v>0.25</v>
      </c>
      <c r="AE48" s="147">
        <f t="shared" si="40"/>
        <v>133.5476439711484</v>
      </c>
      <c r="AF48" s="122">
        <f t="shared" si="31"/>
        <v>0.25</v>
      </c>
      <c r="AG48" s="147">
        <f t="shared" si="34"/>
        <v>133.5476439711484</v>
      </c>
      <c r="AH48" s="123">
        <f t="shared" si="35"/>
        <v>1</v>
      </c>
      <c r="AI48" s="112">
        <f t="shared" si="35"/>
        <v>534.19057588459361</v>
      </c>
      <c r="AJ48" s="148">
        <f t="shared" si="36"/>
        <v>267.09528794229681</v>
      </c>
      <c r="AK48" s="147">
        <f t="shared" si="37"/>
        <v>267.09528794229681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617.22609374841568</v>
      </c>
      <c r="K49" s="40">
        <f t="shared" si="28"/>
        <v>1.1060618965111603E-2</v>
      </c>
      <c r="L49" s="22">
        <f t="shared" si="29"/>
        <v>3.0969733102312485E-3</v>
      </c>
      <c r="M49" s="24">
        <f t="shared" si="30"/>
        <v>2.9709865382610097E-3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154.30652343710392</v>
      </c>
      <c r="AB49" s="156">
        <f>Poor!AB49</f>
        <v>0.25</v>
      </c>
      <c r="AC49" s="147">
        <f t="shared" si="39"/>
        <v>154.30652343710392</v>
      </c>
      <c r="AD49" s="156">
        <f>Poor!AD49</f>
        <v>0.25</v>
      </c>
      <c r="AE49" s="147">
        <f t="shared" si="40"/>
        <v>154.30652343710392</v>
      </c>
      <c r="AF49" s="122">
        <f t="shared" si="31"/>
        <v>0.25</v>
      </c>
      <c r="AG49" s="147">
        <f t="shared" si="34"/>
        <v>154.30652343710392</v>
      </c>
      <c r="AH49" s="123">
        <f t="shared" si="35"/>
        <v>1</v>
      </c>
      <c r="AI49" s="112">
        <f t="shared" si="35"/>
        <v>617.22609374841568</v>
      </c>
      <c r="AJ49" s="148">
        <f t="shared" si="36"/>
        <v>308.61304687420784</v>
      </c>
      <c r="AK49" s="147">
        <f t="shared" si="37"/>
        <v>308.61304687420784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566.91999999999996</v>
      </c>
      <c r="J50" s="38">
        <f t="shared" si="33"/>
        <v>620.91049511370966</v>
      </c>
      <c r="K50" s="40">
        <f t="shared" si="28"/>
        <v>1.0713362976464951E-2</v>
      </c>
      <c r="L50" s="22">
        <f t="shared" si="29"/>
        <v>2.9997416334101861E-3</v>
      </c>
      <c r="M50" s="24">
        <f t="shared" si="30"/>
        <v>2.988721217608997E-3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155.22762377842741</v>
      </c>
      <c r="AB50" s="156">
        <f>Poor!AB55</f>
        <v>0.25</v>
      </c>
      <c r="AC50" s="147">
        <f t="shared" si="39"/>
        <v>155.22762377842741</v>
      </c>
      <c r="AD50" s="156">
        <f>Poor!AD55</f>
        <v>0.25</v>
      </c>
      <c r="AE50" s="147">
        <f t="shared" si="40"/>
        <v>155.22762377842741</v>
      </c>
      <c r="AF50" s="122">
        <f t="shared" si="31"/>
        <v>0.25</v>
      </c>
      <c r="AG50" s="147">
        <f t="shared" si="34"/>
        <v>155.22762377842741</v>
      </c>
      <c r="AH50" s="123">
        <f t="shared" si="35"/>
        <v>1</v>
      </c>
      <c r="AI50" s="112">
        <f t="shared" si="35"/>
        <v>620.91049511370966</v>
      </c>
      <c r="AJ50" s="148">
        <f t="shared" si="36"/>
        <v>310.45524755685483</v>
      </c>
      <c r="AK50" s="147">
        <f t="shared" si="37"/>
        <v>310.45524755685483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127.58947850254783</v>
      </c>
      <c r="K51" s="40">
        <f t="shared" si="28"/>
        <v>2.2863884400992273E-3</v>
      </c>
      <c r="L51" s="22">
        <f t="shared" si="29"/>
        <v>6.4018876322778358E-4</v>
      </c>
      <c r="M51" s="24">
        <f t="shared" si="30"/>
        <v>6.1414549205581945E-4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31.897369625636959</v>
      </c>
      <c r="AB51" s="156">
        <f>Poor!AB56</f>
        <v>0.25</v>
      </c>
      <c r="AC51" s="147">
        <f t="shared" si="39"/>
        <v>31.897369625636959</v>
      </c>
      <c r="AD51" s="156">
        <f>Poor!AD56</f>
        <v>0.25</v>
      </c>
      <c r="AE51" s="147">
        <f t="shared" si="40"/>
        <v>31.897369625636959</v>
      </c>
      <c r="AF51" s="122">
        <f t="shared" si="31"/>
        <v>0.25</v>
      </c>
      <c r="AG51" s="147">
        <f t="shared" si="34"/>
        <v>31.897369625636959</v>
      </c>
      <c r="AH51" s="123">
        <f t="shared" si="35"/>
        <v>1</v>
      </c>
      <c r="AI51" s="112">
        <f t="shared" si="35"/>
        <v>127.58947850254783</v>
      </c>
      <c r="AJ51" s="148">
        <f t="shared" si="36"/>
        <v>63.794739251273917</v>
      </c>
      <c r="AK51" s="147">
        <f t="shared" si="37"/>
        <v>63.794739251273917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69</v>
      </c>
      <c r="J52" s="38">
        <f t="shared" si="33"/>
        <v>41.179737770121129</v>
      </c>
      <c r="K52" s="40">
        <f t="shared" si="28"/>
        <v>6.8763562108247443E-4</v>
      </c>
      <c r="L52" s="22">
        <f t="shared" si="29"/>
        <v>1.9253797390309283E-4</v>
      </c>
      <c r="M52" s="24">
        <f t="shared" si="30"/>
        <v>1.982165819029947E-4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10.294934442530282</v>
      </c>
      <c r="AB52" s="156">
        <f>Poor!AB57</f>
        <v>0.25</v>
      </c>
      <c r="AC52" s="147">
        <f t="shared" si="39"/>
        <v>10.294934442530282</v>
      </c>
      <c r="AD52" s="156">
        <f>Poor!AD57</f>
        <v>0.25</v>
      </c>
      <c r="AE52" s="147">
        <f t="shared" si="40"/>
        <v>10.294934442530282</v>
      </c>
      <c r="AF52" s="122">
        <f t="shared" si="31"/>
        <v>0.25</v>
      </c>
      <c r="AG52" s="147">
        <f t="shared" si="34"/>
        <v>10.294934442530282</v>
      </c>
      <c r="AH52" s="123">
        <f t="shared" si="35"/>
        <v>1</v>
      </c>
      <c r="AI52" s="112">
        <f t="shared" si="35"/>
        <v>41.179737770121129</v>
      </c>
      <c r="AJ52" s="148">
        <f t="shared" si="36"/>
        <v>20.589868885060564</v>
      </c>
      <c r="AK52" s="147">
        <f t="shared" si="37"/>
        <v>20.589868885060564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55.256796704862836</v>
      </c>
      <c r="K53" s="40">
        <f t="shared" ref="K53:K64" si="43">(B53/B$65)</f>
        <v>9.901952943587632E-4</v>
      </c>
      <c r="L53" s="22">
        <f t="shared" ref="L53:L64" si="44">(K53*H53)</f>
        <v>2.7725468242045364E-4</v>
      </c>
      <c r="M53" s="24">
        <f t="shared" ref="M53:M64" si="45">J53/B$65</f>
        <v>2.6597579204823467E-4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79955.451428571425</v>
      </c>
      <c r="J58" s="38">
        <f t="shared" si="33"/>
        <v>79955.451428571425</v>
      </c>
      <c r="K58" s="40">
        <f t="shared" si="43"/>
        <v>0.54358971117811761</v>
      </c>
      <c r="L58" s="22">
        <f t="shared" si="44"/>
        <v>0.38486151551410724</v>
      </c>
      <c r="M58" s="24">
        <f t="shared" si="45"/>
        <v>0.3848615155141073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19988.862857142856</v>
      </c>
      <c r="AB58" s="156">
        <f>Poor!AB58</f>
        <v>0.25</v>
      </c>
      <c r="AC58" s="147">
        <f t="shared" si="39"/>
        <v>19988.862857142856</v>
      </c>
      <c r="AD58" s="156">
        <f>Poor!AD58</f>
        <v>0.25</v>
      </c>
      <c r="AE58" s="147">
        <f t="shared" si="40"/>
        <v>19988.862857142856</v>
      </c>
      <c r="AF58" s="122">
        <f t="shared" si="31"/>
        <v>0.25</v>
      </c>
      <c r="AG58" s="147">
        <f t="shared" si="34"/>
        <v>19988.862857142856</v>
      </c>
      <c r="AH58" s="123">
        <f t="shared" si="35"/>
        <v>1</v>
      </c>
      <c r="AI58" s="112">
        <f t="shared" si="35"/>
        <v>79955.451428571425</v>
      </c>
      <c r="AJ58" s="148">
        <f t="shared" si="36"/>
        <v>39977.725714285712</v>
      </c>
      <c r="AK58" s="147">
        <f t="shared" si="37"/>
        <v>39977.725714285712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691.29334117889789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3.3275054820821122E-3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172.82333529472447</v>
      </c>
      <c r="AB59" s="156">
        <f>Poor!AB59</f>
        <v>0.25</v>
      </c>
      <c r="AC59" s="147">
        <f t="shared" si="39"/>
        <v>172.82333529472447</v>
      </c>
      <c r="AD59" s="156">
        <f>Poor!AD59</f>
        <v>0.25</v>
      </c>
      <c r="AE59" s="147">
        <f t="shared" si="40"/>
        <v>172.82333529472447</v>
      </c>
      <c r="AF59" s="122">
        <f t="shared" si="31"/>
        <v>0.25</v>
      </c>
      <c r="AG59" s="147">
        <f t="shared" si="34"/>
        <v>172.82333529472447</v>
      </c>
      <c r="AH59" s="123">
        <f t="shared" ref="AH59:AI64" si="46">SUM(Z59,AB59,AD59,AF59)</f>
        <v>1</v>
      </c>
      <c r="AI59" s="112">
        <f t="shared" si="46"/>
        <v>691.29334117889789</v>
      </c>
      <c r="AJ59" s="148">
        <f t="shared" si="36"/>
        <v>345.64667058944895</v>
      </c>
      <c r="AK59" s="147">
        <f t="shared" si="37"/>
        <v>345.64667058944895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10256.868026599777</v>
      </c>
      <c r="J61" s="38">
        <f t="shared" si="33"/>
        <v>10256.868026599779</v>
      </c>
      <c r="K61" s="40">
        <f t="shared" si="43"/>
        <v>4.1839758229511345E-2</v>
      </c>
      <c r="L61" s="22">
        <f t="shared" si="44"/>
        <v>4.9370914710823388E-2</v>
      </c>
      <c r="M61" s="24">
        <f t="shared" si="45"/>
        <v>4.9370914710823388E-2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2564.2170066499448</v>
      </c>
      <c r="AB61" s="156">
        <f>Poor!AB61</f>
        <v>0.25</v>
      </c>
      <c r="AC61" s="147">
        <f t="shared" si="39"/>
        <v>2564.2170066499448</v>
      </c>
      <c r="AD61" s="156">
        <f>Poor!AD61</f>
        <v>0.25</v>
      </c>
      <c r="AE61" s="147">
        <f t="shared" si="40"/>
        <v>2564.2170066499448</v>
      </c>
      <c r="AF61" s="122">
        <f t="shared" si="31"/>
        <v>0.25</v>
      </c>
      <c r="AG61" s="147">
        <f t="shared" si="34"/>
        <v>2564.2170066499448</v>
      </c>
      <c r="AH61" s="123">
        <f t="shared" si="46"/>
        <v>1</v>
      </c>
      <c r="AI61" s="112">
        <f t="shared" si="46"/>
        <v>10256.868026599779</v>
      </c>
      <c r="AJ61" s="148">
        <f t="shared" si="36"/>
        <v>5128.4340132998896</v>
      </c>
      <c r="AK61" s="147">
        <f t="shared" si="37"/>
        <v>5128.4340132998896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150609.19316945691</v>
      </c>
      <c r="J65" s="39">
        <f>SUM(J37:J64)</f>
        <v>153166.18019490229</v>
      </c>
      <c r="K65" s="40">
        <f>SUM(K37:K64)</f>
        <v>1</v>
      </c>
      <c r="L65" s="22">
        <f>SUM(L37:L64)</f>
        <v>0.73777957644615433</v>
      </c>
      <c r="M65" s="24">
        <f>SUM(M37:M64)</f>
        <v>0.73725765013006295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47978.183836496239</v>
      </c>
      <c r="AB65" s="137"/>
      <c r="AC65" s="153">
        <f>SUM(AC37:AC64)</f>
        <v>34917.120717051053</v>
      </c>
      <c r="AD65" s="137"/>
      <c r="AE65" s="153">
        <f>SUM(AE37:AE64)</f>
        <v>34942.406431336771</v>
      </c>
      <c r="AF65" s="137"/>
      <c r="AG65" s="153">
        <f>SUM(AG37:AG64)</f>
        <v>35273.212413313347</v>
      </c>
      <c r="AH65" s="137"/>
      <c r="AI65" s="153">
        <f>SUM(AI37:AI64)</f>
        <v>153110.92339819742</v>
      </c>
      <c r="AJ65" s="153">
        <f>SUM(AJ37:AJ64)</f>
        <v>82895.304553547292</v>
      </c>
      <c r="AK65" s="153">
        <f>SUM(AK37:AK64)</f>
        <v>70215.618844650118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131464.37398417969</v>
      </c>
      <c r="J74" s="51">
        <f>J128*I$83</f>
        <v>8193.750113155309</v>
      </c>
      <c r="K74" s="40">
        <f>B74/B$76</f>
        <v>3.0052442019310059E-2</v>
      </c>
      <c r="L74" s="22">
        <f>(L128*G$37*F$9/F$7)/B$130</f>
        <v>2.0769803736283503E-2</v>
      </c>
      <c r="M74" s="24">
        <f>J74/B$76</f>
        <v>3.944020113637902E-2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1238.8875198320027</v>
      </c>
      <c r="AB74" s="156"/>
      <c r="AC74" s="147">
        <f>AC30*$I$83/4</f>
        <v>2654.3731314141382</v>
      </c>
      <c r="AD74" s="156"/>
      <c r="AE74" s="147">
        <f>AE30*$I$83/4</f>
        <v>2385.7173444412456</v>
      </c>
      <c r="AF74" s="156"/>
      <c r="AG74" s="147">
        <f>AG30*$I$83/4</f>
        <v>2369.5272258490227</v>
      </c>
      <c r="AH74" s="155"/>
      <c r="AI74" s="147">
        <f>SUM(AA74,AC74,AE74,AG74)</f>
        <v>8648.5052215364085</v>
      </c>
      <c r="AJ74" s="148">
        <f>(AA74+AC74)</f>
        <v>3893.2606512461407</v>
      </c>
      <c r="AK74" s="147">
        <f>(AE74+AG74)</f>
        <v>4755.2445702902678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48076.230896469759</v>
      </c>
      <c r="K75" s="40">
        <f>B75/B$76</f>
        <v>0.58696126886457367</v>
      </c>
      <c r="L75" s="22">
        <f>(L129*G$37*F$9/F$7)/B$130</f>
        <v>0.25060482595877587</v>
      </c>
      <c r="M75" s="24">
        <f>J75/B$76</f>
        <v>0.231412502242589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41953.091520344926</v>
      </c>
      <c r="AB75" s="158"/>
      <c r="AC75" s="149">
        <f>AA75+AC65-SUM(AC70,AC74)</f>
        <v>69429.634309662535</v>
      </c>
      <c r="AD75" s="158"/>
      <c r="AE75" s="149">
        <f>AC75+AE65-SUM(AE70,AE74)</f>
        <v>97200.118600238755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125317.59899138374</v>
      </c>
      <c r="AJ75" s="151">
        <f>AJ76-SUM(AJ70,AJ74)</f>
        <v>69429.634309662521</v>
      </c>
      <c r="AK75" s="149">
        <f>AJ75+AK76-SUM(AK70,AK74)</f>
        <v>125317.59899138374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150609.19316945694</v>
      </c>
      <c r="J76" s="51">
        <f>J130*I$83</f>
        <v>153166.18019490232</v>
      </c>
      <c r="K76" s="40">
        <f>SUM(K70:K75)</f>
        <v>0.81256290713409696</v>
      </c>
      <c r="L76" s="22">
        <f>SUM(L70:L75)</f>
        <v>0.51660380686438867</v>
      </c>
      <c r="M76" s="24">
        <f>SUM(M70:M75)</f>
        <v>0.5160818805482974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47978.183836496239</v>
      </c>
      <c r="AB76" s="137"/>
      <c r="AC76" s="153">
        <f>AC65</f>
        <v>34917.120717051053</v>
      </c>
      <c r="AD76" s="137"/>
      <c r="AE76" s="153">
        <f>AE65</f>
        <v>34942.406431336771</v>
      </c>
      <c r="AF76" s="137"/>
      <c r="AG76" s="153">
        <f>AG65</f>
        <v>35273.212413313347</v>
      </c>
      <c r="AH76" s="137"/>
      <c r="AI76" s="153">
        <f>SUM(AA76,AC76,AE76,AG76)</f>
        <v>153110.9233981974</v>
      </c>
      <c r="AJ76" s="154">
        <f>SUM(AA76,AC76)</f>
        <v>82895.304553547292</v>
      </c>
      <c r="AK76" s="154">
        <f>SUM(AE76,AG76)</f>
        <v>70215.618844650118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41953.091520344926</v>
      </c>
      <c r="AD78" s="112"/>
      <c r="AE78" s="112">
        <f>AC75</f>
        <v>69429.634309662535</v>
      </c>
      <c r="AF78" s="112"/>
      <c r="AG78" s="112">
        <f>AE75</f>
        <v>97200.118600238755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43191.979040176928</v>
      </c>
      <c r="AB79" s="112"/>
      <c r="AC79" s="112">
        <f>AA79-AA74+AC65-AC70</f>
        <v>72084.007441076668</v>
      </c>
      <c r="AD79" s="112"/>
      <c r="AE79" s="112">
        <f>AC79-AC74+AE65-AE70</f>
        <v>99585.835944679988</v>
      </c>
      <c r="AF79" s="112"/>
      <c r="AG79" s="112">
        <f>AE79-AE74+AG65-AG70</f>
        <v>127687.12621723277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0.14303030303030304</v>
      </c>
      <c r="I91" s="22">
        <f t="shared" ref="I91" si="52">(D91*H91)</f>
        <v>2.446043061221307E-2</v>
      </c>
      <c r="J91" s="24">
        <f>IF(I$32&lt;=1+I$131,I91,L91+J$33*(I91-L91))</f>
        <v>1.9045346310720839E-2</v>
      </c>
      <c r="K91" s="22">
        <f t="shared" ref="K91" si="53">(B91)</f>
        <v>0.1315505557697248</v>
      </c>
      <c r="L91" s="22">
        <f t="shared" ref="L91" si="54">(K91*H91)</f>
        <v>1.8815715855548518E-2</v>
      </c>
      <c r="M91" s="226">
        <f t="shared" si="50"/>
        <v>1.9045346310720839E-2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0.14303030303030304</v>
      </c>
      <c r="I92" s="22">
        <f t="shared" ref="I92:I118" si="59">(D92*H92)</f>
        <v>1.2230215306106536E-4</v>
      </c>
      <c r="J92" s="24">
        <f t="shared" ref="J92:J118" si="60">IF(I$32&lt;=1+I$131,I92,L92+J$33*(I92-L92))</f>
        <v>1.2230215306106536E-4</v>
      </c>
      <c r="K92" s="22">
        <f t="shared" ref="K92:K118" si="61">(B92)</f>
        <v>8.5507861250321124E-4</v>
      </c>
      <c r="L92" s="22">
        <f t="shared" ref="L92:L118" si="62">(K92*H92)</f>
        <v>1.2230215306106536E-4</v>
      </c>
      <c r="M92" s="226">
        <f t="shared" ref="M92:M118" si="63">(J92)</f>
        <v>1.2230215306106536E-4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0.3575757575757576</v>
      </c>
      <c r="I93" s="22">
        <f t="shared" si="59"/>
        <v>0.61151076530532689</v>
      </c>
      <c r="J93" s="24">
        <f t="shared" si="60"/>
        <v>0.58105091610943316</v>
      </c>
      <c r="K93" s="22">
        <f t="shared" si="61"/>
        <v>1.6213605998618583</v>
      </c>
      <c r="L93" s="22">
        <f t="shared" si="62"/>
        <v>0.5797592447990888</v>
      </c>
      <c r="M93" s="226">
        <f t="shared" si="63"/>
        <v>0.58105091610943316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0.3575757575757576</v>
      </c>
      <c r="I94" s="22">
        <f t="shared" si="59"/>
        <v>6.4443826805253679E-2</v>
      </c>
      <c r="J94" s="24">
        <f t="shared" si="60"/>
        <v>5.4290543739955739E-2</v>
      </c>
      <c r="K94" s="22">
        <f t="shared" si="61"/>
        <v>0.15062538635633491</v>
      </c>
      <c r="L94" s="22">
        <f t="shared" si="62"/>
        <v>5.3859986636507637E-2</v>
      </c>
      <c r="M94" s="226">
        <f t="shared" si="63"/>
        <v>5.4290543739955739E-2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0.3575757575757576</v>
      </c>
      <c r="I95" s="22">
        <f t="shared" si="59"/>
        <v>0.10959213700064234</v>
      </c>
      <c r="J95" s="24">
        <f t="shared" si="60"/>
        <v>9.2882089360287565E-2</v>
      </c>
      <c r="K95" s="22">
        <f t="shared" si="61"/>
        <v>0.25777331403077575</v>
      </c>
      <c r="L95" s="22">
        <f t="shared" si="62"/>
        <v>9.2173488047368302E-2</v>
      </c>
      <c r="M95" s="226">
        <f t="shared" si="63"/>
        <v>9.2882089360287565E-2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0.3575757575757576</v>
      </c>
      <c r="I96" s="22">
        <f t="shared" si="59"/>
        <v>2.8223573783322776E-3</v>
      </c>
      <c r="J96" s="24">
        <f t="shared" si="60"/>
        <v>2.8223573783322776E-3</v>
      </c>
      <c r="K96" s="22">
        <f t="shared" si="61"/>
        <v>7.8930333461834871E-3</v>
      </c>
      <c r="L96" s="22">
        <f t="shared" si="62"/>
        <v>2.8223573783322776E-3</v>
      </c>
      <c r="M96" s="226">
        <f t="shared" si="63"/>
        <v>2.8223573783322776E-3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0.25454545454545457</v>
      </c>
      <c r="I98" s="22">
        <f t="shared" si="59"/>
        <v>0</v>
      </c>
      <c r="J98" s="24">
        <f t="shared" si="60"/>
        <v>0.14026594201483736</v>
      </c>
      <c r="K98" s="22">
        <f t="shared" si="61"/>
        <v>0.5744122130046091</v>
      </c>
      <c r="L98" s="22">
        <f t="shared" si="62"/>
        <v>0.14621401785571869</v>
      </c>
      <c r="M98" s="226">
        <f t="shared" si="63"/>
        <v>0.14026594201483736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0.25454545454545457</v>
      </c>
      <c r="I99" s="22">
        <f t="shared" si="59"/>
        <v>0</v>
      </c>
      <c r="J99" s="24">
        <f t="shared" si="60"/>
        <v>3.1802147635034891E-4</v>
      </c>
      <c r="K99" s="22">
        <f t="shared" si="61"/>
        <v>1.3023505021202753E-3</v>
      </c>
      <c r="L99" s="22">
        <f t="shared" si="62"/>
        <v>3.3150740053970647E-4</v>
      </c>
      <c r="M99" s="226">
        <f t="shared" si="63"/>
        <v>3.1802147635034891E-4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0.16969696969696968</v>
      </c>
      <c r="I100" s="22">
        <f t="shared" si="59"/>
        <v>3.0918366986363192E-2</v>
      </c>
      <c r="J100" s="24">
        <f t="shared" si="60"/>
        <v>2.7963015893006413E-2</v>
      </c>
      <c r="K100" s="22">
        <f t="shared" si="61"/>
        <v>0.16404354304484681</v>
      </c>
      <c r="L100" s="22">
        <f t="shared" si="62"/>
        <v>2.7837692153064909E-2</v>
      </c>
      <c r="M100" s="226">
        <f t="shared" si="63"/>
        <v>2.7963015893006413E-2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0.16969696969696968</v>
      </c>
      <c r="I101" s="22">
        <f t="shared" si="59"/>
        <v>2.9735209260531248E-2</v>
      </c>
      <c r="J101" s="24">
        <f t="shared" si="60"/>
        <v>2.997078072449447E-2</v>
      </c>
      <c r="K101" s="22">
        <f t="shared" si="61"/>
        <v>0.17667239639874041</v>
      </c>
      <c r="L101" s="22">
        <f t="shared" si="62"/>
        <v>2.9980770297968067E-2</v>
      </c>
      <c r="M101" s="226">
        <f t="shared" si="63"/>
        <v>2.997078072449447E-2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0.16969696969696968</v>
      </c>
      <c r="I102" s="22">
        <f t="shared" si="59"/>
        <v>1.0045678804233523E-3</v>
      </c>
      <c r="J102" s="24">
        <f t="shared" si="60"/>
        <v>2.9812816364362029E-2</v>
      </c>
      <c r="K102" s="22">
        <f t="shared" si="61"/>
        <v>0.1828815826310714</v>
      </c>
      <c r="L102" s="22">
        <f t="shared" si="62"/>
        <v>3.1034450385878782E-2</v>
      </c>
      <c r="M102" s="226">
        <f t="shared" si="63"/>
        <v>2.9812816364362029E-2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3.4446972707712874E-2</v>
      </c>
      <c r="K103" s="22">
        <f t="shared" si="61"/>
        <v>0.21159906895560235</v>
      </c>
      <c r="L103" s="22">
        <f t="shared" si="62"/>
        <v>3.5907720792465847E-2</v>
      </c>
      <c r="M103" s="226">
        <f t="shared" si="63"/>
        <v>3.4446972707712874E-2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0.16969696969696968</v>
      </c>
      <c r="I104" s="22">
        <f t="shared" si="59"/>
        <v>3.1639423487200405E-2</v>
      </c>
      <c r="J104" s="24">
        <f t="shared" si="60"/>
        <v>3.4652596667166337E-2</v>
      </c>
      <c r="K104" s="22">
        <f t="shared" si="61"/>
        <v>0.20495576588923123</v>
      </c>
      <c r="L104" s="22">
        <f t="shared" si="62"/>
        <v>3.4780372393324085E-2</v>
      </c>
      <c r="M104" s="226">
        <f t="shared" si="63"/>
        <v>3.4652596667166337E-2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7.1206828879791916E-3</v>
      </c>
      <c r="K105" s="22">
        <f t="shared" si="61"/>
        <v>4.3740559793433491E-2</v>
      </c>
      <c r="L105" s="22">
        <f t="shared" si="62"/>
        <v>7.4226404497947738E-3</v>
      </c>
      <c r="M105" s="226">
        <f t="shared" si="63"/>
        <v>7.1206828879791916E-3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0.16969696969696968</v>
      </c>
      <c r="I106" s="22">
        <f t="shared" si="59"/>
        <v>3.8508435416228525E-3</v>
      </c>
      <c r="J106" s="24">
        <f t="shared" si="60"/>
        <v>2.2982134382288932E-3</v>
      </c>
      <c r="K106" s="22">
        <f t="shared" si="61"/>
        <v>1.3155055576972479E-2</v>
      </c>
      <c r="L106" s="22">
        <f t="shared" si="62"/>
        <v>2.2323730676074506E-3</v>
      </c>
      <c r="M106" s="226">
        <f t="shared" si="63"/>
        <v>2.2982134382288932E-3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3.0838446191548989E-3</v>
      </c>
      <c r="K107" s="22">
        <f t="shared" si="61"/>
        <v>1.8943280030840372E-2</v>
      </c>
      <c r="L107" s="22">
        <f t="shared" si="62"/>
        <v>3.2146172173547296E-3</v>
      </c>
      <c r="M107" s="226">
        <f t="shared" si="63"/>
        <v>3.0838446191548989E-3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0.42909090909090908</v>
      </c>
      <c r="I112" s="22">
        <f t="shared" si="59"/>
        <v>4.4622599094384636</v>
      </c>
      <c r="J112" s="24">
        <f t="shared" si="60"/>
        <v>4.4622599094384636</v>
      </c>
      <c r="K112" s="22">
        <f t="shared" si="61"/>
        <v>10.399334534708284</v>
      </c>
      <c r="L112" s="22">
        <f t="shared" si="62"/>
        <v>4.4622599094384636</v>
      </c>
      <c r="M112" s="226">
        <f t="shared" si="63"/>
        <v>4.4622599094384636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3.8580615916603514E-2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3.8580615916603514E-2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0.7151515151515152</v>
      </c>
      <c r="I115" s="22">
        <f t="shared" si="59"/>
        <v>0.5724288985146333</v>
      </c>
      <c r="J115" s="24">
        <f t="shared" si="60"/>
        <v>0.5724288985146333</v>
      </c>
      <c r="K115" s="22">
        <f t="shared" si="61"/>
        <v>0.80043023944842784</v>
      </c>
      <c r="L115" s="22">
        <f t="shared" si="62"/>
        <v>0.5724288985146333</v>
      </c>
      <c r="M115" s="226">
        <f t="shared" si="63"/>
        <v>0.5724288985146333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8.4053976641395938</v>
      </c>
      <c r="J119" s="24">
        <f>SUM(J91:J118)</f>
        <v>8.548101388385243</v>
      </c>
      <c r="K119" s="22">
        <f>SUM(K91:K118)</f>
        <v>19.130852407360489</v>
      </c>
      <c r="L119" s="22">
        <f>SUM(L91:L118)</f>
        <v>8.5541528400947353</v>
      </c>
      <c r="M119" s="57">
        <f t="shared" si="50"/>
        <v>8.548101388385243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7.3369381958039099</v>
      </c>
      <c r="J128" s="227">
        <f>(J30)</f>
        <v>0.45728767688283545</v>
      </c>
      <c r="K128" s="22">
        <f>(B128)</f>
        <v>0.57492883275217932</v>
      </c>
      <c r="L128" s="22">
        <f>IF(L124=L119,0,(L119-L124)/(B119-B124)*K128)</f>
        <v>0.24081457564162678</v>
      </c>
      <c r="M128" s="57">
        <f t="shared" si="90"/>
        <v>0.45728767688283545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2.6831020761339079</v>
      </c>
      <c r="K129" s="29">
        <f>(B129)</f>
        <v>11.229069403485196</v>
      </c>
      <c r="L129" s="60">
        <f>IF(SUM(L124:L128)&gt;L130,0,L130-SUM(L124:L128))</f>
        <v>2.9056266290846082</v>
      </c>
      <c r="M129" s="57">
        <f t="shared" si="90"/>
        <v>2.6831020761339079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8.4053976641395938</v>
      </c>
      <c r="J130" s="227">
        <f>(J119)</f>
        <v>8.548101388385243</v>
      </c>
      <c r="K130" s="22">
        <f>(B130)</f>
        <v>19.130852407360489</v>
      </c>
      <c r="L130" s="22">
        <f>(L119)</f>
        <v>8.5541528400947353</v>
      </c>
      <c r="M130" s="57">
        <f t="shared" si="90"/>
        <v>8.548101388385243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67" workbookViewId="0">
      <selection activeCell="H63" sqref="H6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890.370923648229</v>
      </c>
      <c r="G72" s="109">
        <f>Poor!T7</f>
        <v>1312.7678031239641</v>
      </c>
      <c r="H72" s="109">
        <f>Middle!T7</f>
        <v>1750.2078955802847</v>
      </c>
      <c r="I72" s="109">
        <f>Rich!T7</f>
        <v>2334.9087261972327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17.329370380205777</v>
      </c>
      <c r="G73" s="109">
        <f>Poor!T8</f>
        <v>5.7999999999999954</v>
      </c>
      <c r="H73" s="109">
        <f>Middle!T8</f>
        <v>1030.9853514599313</v>
      </c>
      <c r="I73" s="109">
        <f>Rich!T8</f>
        <v>6346.7709518225447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98.593204391897189</v>
      </c>
      <c r="G74" s="109">
        <f>Poor!T9</f>
        <v>246.24604436090095</v>
      </c>
      <c r="H74" s="109">
        <f>Middle!T9</f>
        <v>515.09382746086476</v>
      </c>
      <c r="I74" s="109">
        <f>Rich!T9</f>
        <v>787.13312800331664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0.33714285714285719</v>
      </c>
      <c r="H75" s="109">
        <f>Middle!T10</f>
        <v>241.42553192905308</v>
      </c>
      <c r="I75" s="109">
        <f>Rich!T10</f>
        <v>392.5129589936426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275.49387755102038</v>
      </c>
      <c r="G76" s="109">
        <f>Poor!T11</f>
        <v>1735.569285714286</v>
      </c>
      <c r="H76" s="109">
        <f>Middle!T11</f>
        <v>6916.7754331642336</v>
      </c>
      <c r="I76" s="109">
        <f>Rich!T11</f>
        <v>15361.939891610817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531.01274571141391</v>
      </c>
      <c r="G77" s="109">
        <f>Poor!T12</f>
        <v>386.87979640947736</v>
      </c>
      <c r="H77" s="109">
        <f>Middle!T12</f>
        <v>47.387690016521567</v>
      </c>
      <c r="I77" s="109">
        <f>Rich!T12</f>
        <v>34.59345705160441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3286.9154265812808</v>
      </c>
      <c r="G78" s="109">
        <f>Poor!T13</f>
        <v>3789.6470929628144</v>
      </c>
      <c r="H78" s="109">
        <f>Middle!T13</f>
        <v>3229.0119033613996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25175.902040816323</v>
      </c>
      <c r="I79" s="109">
        <f>Rich!T14</f>
        <v>91377.658775510194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2178.9682561555478</v>
      </c>
      <c r="G81" s="109">
        <f>Poor!T16</f>
        <v>1615.5428571428572</v>
      </c>
      <c r="H81" s="109">
        <f>Middle!T16</f>
        <v>7694.3391428883251</v>
      </c>
      <c r="I81" s="109">
        <f>Rich!T16</f>
        <v>790.04953277588334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26458.340197615471</v>
      </c>
      <c r="G85" s="109">
        <f>Poor!T20</f>
        <v>26446.761659711399</v>
      </c>
      <c r="H85" s="109">
        <f>Middle!T20</f>
        <v>18785.952030399749</v>
      </c>
      <c r="I85" s="109">
        <f>Rich!T20</f>
        <v>11722.134887542605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42270.479578476799</v>
      </c>
      <c r="G88" s="109">
        <f>Poor!T23</f>
        <v>45043.940956300597</v>
      </c>
      <c r="H88" s="109">
        <f>Middle!T23</f>
        <v>89361.525422415987</v>
      </c>
      <c r="I88" s="109">
        <f>Rich!T23</f>
        <v>179459.10730851797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13925.736696677195</v>
      </c>
      <c r="G99" s="238">
        <f t="shared" si="0"/>
        <v>11152.275318853426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47999.898329330237</v>
      </c>
      <c r="G100" s="238">
        <f t="shared" si="0"/>
        <v>45226.436951506425</v>
      </c>
      <c r="H100" s="238">
        <f t="shared" si="0"/>
        <v>908.85248539104941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2016-10-19T14:40:00Z</dcterms:modified>
  <cp:category/>
</cp:coreProperties>
</file>