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E52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E52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E52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<sst xmlns="http://schemas.openxmlformats.org/spreadsheetml/2006/main" count="790" uniqueCount="145">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</sst>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0.13718754407901</c:v>
                </c:pt>
                <c:pt idx="2" formatCode="0.0%">
                  <c:v>0.391305633635645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6811656"/>
        <c:axId val="1656789816"/>
      </c:barChart>
      <c:catAx>
        <c:axId val="165681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78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678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81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0.0152582251045228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0.033108113930882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8774408"/>
        <c:axId val="1668769592"/>
      </c:barChart>
      <c:catAx>
        <c:axId val="16687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6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876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74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0.0132493771477091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0.00457443310026612</c:v>
                </c:pt>
                <c:pt idx="2">
                  <c:v>0.00463494784878156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0.000693902790696767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0.00708707622137853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0.0159452342527323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6412760"/>
        <c:axId val="1656407448"/>
      </c:barChart>
      <c:catAx>
        <c:axId val="165641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40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640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41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0.102503541292074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8502648"/>
        <c:axId val="1668494968"/>
      </c:barChart>
      <c:catAx>
        <c:axId val="16685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49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849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50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Non-Affected Area without Grants</a:t>
            </a:r>
          </a:p>
        </c:rich>
      </c:tx>
      <c:layout>
        <c:manualLayout>
          <c:xMode val="edge"/>
          <c:yMode val="edge"/>
          <c:x val="0.302900874437327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5766.3825153254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23121.21893059286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631.3</c:v>
                </c:pt>
                <c:pt idx="5">
                  <c:v>2688.04</c:v>
                </c:pt>
                <c:pt idx="6">
                  <c:v>8076.489086923666</c:v>
                </c:pt>
                <c:pt idx="7">
                  <c:v>20639.77499074017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948.5442690890826</c:v>
                </c:pt>
                <c:pt idx="5">
                  <c:v>948.5442690890826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2520.159245323712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3456</c:v>
                </c:pt>
                <c:pt idx="5">
                  <c:v>3935.999999999999</c:v>
                </c:pt>
                <c:pt idx="6">
                  <c:v>2930.363541368137</c:v>
                </c:pt>
                <c:pt idx="7">
                  <c:v>5744.760299525261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529960"/>
        <c:axId val="16565389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529960"/>
        <c:axId val="1656538952"/>
      </c:lineChart>
      <c:catAx>
        <c:axId val="165652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53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653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52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235048"/>
        <c:axId val="16562212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235048"/>
        <c:axId val="1656221288"/>
      </c:lineChart>
      <c:catAx>
        <c:axId val="165623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22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622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23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109608"/>
        <c:axId val="16561038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9608"/>
        <c:axId val="1656103800"/>
      </c:lineChart>
      <c:catAx>
        <c:axId val="1656109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10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610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10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0.274473992322042</c:v>
                </c:pt>
                <c:pt idx="2">
                  <c:v>0.293428484982428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0.0399283927907573</c:v>
                </c:pt>
                <c:pt idx="2">
                  <c:v>0.113889385118242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-0.341107275633258</c:v>
                </c:pt>
                <c:pt idx="2">
                  <c:v>-0.161568175769072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1247480"/>
        <c:axId val="1668397320"/>
      </c:barChart>
      <c:catAx>
        <c:axId val="182124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6839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839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124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0.0455298866251713</c:v>
                </c:pt>
                <c:pt idx="2">
                  <c:v>0.0414994973590585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0.254702445393668</c:v>
                </c:pt>
                <c:pt idx="2">
                  <c:v>0.259628254292794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0.0455298866251713</c:v>
                </c:pt>
                <c:pt idx="2">
                  <c:v>0.0414994973590585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2362424"/>
        <c:axId val="-2092359064"/>
      </c:barChart>
      <c:catAx>
        <c:axId val="-209236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235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35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2362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0.0119931179414497</c:v>
                </c:pt>
                <c:pt idx="2">
                  <c:v>0.00236792158516399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0.62849257834206</c:v>
                </c:pt>
                <c:pt idx="2">
                  <c:v>0.638266642565925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0.0119931179414497</c:v>
                </c:pt>
                <c:pt idx="2">
                  <c:v>0.00236792158516399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2387320"/>
        <c:axId val="-2092383800"/>
      </c:barChart>
      <c:catAx>
        <c:axId val="-209238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238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38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238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0.0218057501333326</c:v>
                </c:pt>
                <c:pt idx="2">
                  <c:v>0.0444894041785231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0.00504024482208301</c:v>
                </c:pt>
                <c:pt idx="2">
                  <c:v>0.0444894041785231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-0.450918298231586</c:v>
                </c:pt>
                <c:pt idx="2">
                  <c:v>-0.450918298231586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6028184"/>
        <c:axId val="1656031528"/>
      </c:barChart>
      <c:catAx>
        <c:axId val="165602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031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603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028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0.110418811224887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0.0208165006699583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0.228212349129796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0.310652420451956</c:v>
                </c:pt>
                <c:pt idx="2" formatCode="0.0%">
                  <c:v>0.283152897090759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9131592"/>
        <c:axId val="1529134712"/>
      </c:barChart>
      <c:catAx>
        <c:axId val="152913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913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913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913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555928"/>
        <c:axId val="-20925525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55928"/>
        <c:axId val="-20925525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55928"/>
        <c:axId val="-2092552568"/>
      </c:scatterChart>
      <c:catAx>
        <c:axId val="-2092555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552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2552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5559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652840"/>
        <c:axId val="-20926494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52840"/>
        <c:axId val="-2092649480"/>
      </c:lineChart>
      <c:catAx>
        <c:axId val="-20926528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649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2649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6528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48952"/>
        <c:axId val="-20928456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42072"/>
        <c:axId val="-2092857432"/>
      </c:scatterChart>
      <c:valAx>
        <c:axId val="-20928489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845672"/>
        <c:crosses val="autoZero"/>
        <c:crossBetween val="midCat"/>
      </c:valAx>
      <c:valAx>
        <c:axId val="-2092845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848952"/>
        <c:crosses val="autoZero"/>
        <c:crossBetween val="midCat"/>
      </c:valAx>
      <c:valAx>
        <c:axId val="-20928420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2857432"/>
        <c:crosses val="autoZero"/>
        <c:crossBetween val="midCat"/>
      </c:valAx>
      <c:valAx>
        <c:axId val="-20928574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8420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419784"/>
        <c:axId val="16684347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419784"/>
        <c:axId val="1668434728"/>
      </c:lineChart>
      <c:catAx>
        <c:axId val="166841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8434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68434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84197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0.216314534637613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0.0293557780612848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0.00450632089250963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0.0554706864973041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0.324343301879607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0.333092017285393</c:v>
                </c:pt>
                <c:pt idx="2" formatCode="0.0%">
                  <c:v>0.0657656984135819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037912"/>
        <c:axId val="-2098034616"/>
      </c:barChart>
      <c:catAx>
        <c:axId val="-209803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03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03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03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0.0131001904022608</c:v>
                </c:pt>
                <c:pt idx="2" formatCode="0.0%">
                  <c:v>0.115633205567369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5864888"/>
        <c:axId val="1656659304"/>
      </c:barChart>
      <c:catAx>
        <c:axId val="165586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665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665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86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0.111280174395626</c:v>
                </c:pt>
                <c:pt idx="1">
                  <c:v>0.0553864922710407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0.252528428413605</c:v>
                </c:pt>
                <c:pt idx="1">
                  <c:v>0.125688730490505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0.0946901102551031</c:v>
                </c:pt>
                <c:pt idx="1">
                  <c:v>0.0471292670798906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0.177021768620294</c:v>
                </c:pt>
                <c:pt idx="1">
                  <c:v>0.0881074717283985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0.00140124844333748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-0.383806376732508</c:v>
                </c:pt>
                <c:pt idx="2">
                  <c:v>-0.606338578501731</c:v>
                </c:pt>
                <c:pt idx="3">
                  <c:v>-0.606338578501731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9130968"/>
        <c:axId val="1669124648"/>
      </c:barChart>
      <c:catAx>
        <c:axId val="1669130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124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66912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13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-0.00478716074612151</c:v>
                </c:pt>
                <c:pt idx="1">
                  <c:v>-0.199451720642943</c:v>
                </c:pt>
                <c:pt idx="2">
                  <c:v>-0.199451720642943</c:v>
                </c:pt>
                <c:pt idx="3">
                  <c:v>-0.199451720642943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080984"/>
        <c:axId val="-2098105688"/>
      </c:barChart>
      <c:catAx>
        <c:axId val="-2098080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105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810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08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0.0973181844648209</c:v>
                </c:pt>
                <c:pt idx="1">
                  <c:v>0.0693484822018457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0.301151513765378</c:v>
                </c:pt>
                <c:pt idx="1">
                  <c:v>0.214599157467499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0.0828096259450378</c:v>
                </c:pt>
                <c:pt idx="1">
                  <c:v>0.059009751389956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0.0326824020044111</c:v>
                </c:pt>
                <c:pt idx="1">
                  <c:v>0.0232893265136462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0.129896689524957</c:v>
                </c:pt>
                <c:pt idx="1">
                  <c:v>0.0779556807247702</c:v>
                </c:pt>
                <c:pt idx="2">
                  <c:v>0.103926185124864</c:v>
                </c:pt>
                <c:pt idx="3">
                  <c:v>0.129896689524957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0.228212349129796</c:v>
                </c:pt>
                <c:pt idx="1">
                  <c:v>0.228212349129796</c:v>
                </c:pt>
                <c:pt idx="2">
                  <c:v>0.228212349129796</c:v>
                </c:pt>
                <c:pt idx="3">
                  <c:v>0.228212349129796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0.193659977556327</c:v>
                </c:pt>
                <c:pt idx="2">
                  <c:v>0.535437807665669</c:v>
                </c:pt>
                <c:pt idx="3">
                  <c:v>0.403513803141042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8936760"/>
        <c:axId val="1668939784"/>
      </c:barChart>
      <c:catAx>
        <c:axId val="1668936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939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66893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93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0.0555481986353247</c:v>
                </c:pt>
                <c:pt idx="1">
                  <c:v>0.0580993991836647</c:v>
                </c:pt>
                <c:pt idx="2">
                  <c:v>0.0530190688476772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0.288381185706191</c:v>
                </c:pt>
                <c:pt idx="1">
                  <c:v>0.301625867931344</c:v>
                </c:pt>
                <c:pt idx="2">
                  <c:v>0.275251084912917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0.0391358541802261</c:v>
                </c:pt>
                <c:pt idx="1">
                  <c:v>0.0409332736303116</c:v>
                </c:pt>
                <c:pt idx="2">
                  <c:v>0.0373539844346014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0.0801173372856552</c:v>
                </c:pt>
                <c:pt idx="1">
                  <c:v>0.0837969416623257</c:v>
                </c:pt>
                <c:pt idx="2">
                  <c:v>0.0764695656348335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0.0120769399919258</c:v>
                </c:pt>
                <c:pt idx="3">
                  <c:v>0.0059483435781127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0.324343301879607</c:v>
                </c:pt>
                <c:pt idx="1">
                  <c:v>0.324343301879607</c:v>
                </c:pt>
                <c:pt idx="2">
                  <c:v>0.324343301879607</c:v>
                </c:pt>
                <c:pt idx="3">
                  <c:v>0.324343301879607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0.0371171956467122</c:v>
                </c:pt>
                <c:pt idx="3">
                  <c:v>0.225945598007616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8797240"/>
        <c:axId val="1668800488"/>
      </c:barChart>
      <c:catAx>
        <c:axId val="1668797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800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66880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9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0.0211802096015683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0.0883107044404373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6634856"/>
        <c:axId val="1656630424"/>
      </c:barChart>
      <c:catAx>
        <c:axId val="165663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63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663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63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7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631.29999999999995</v>
      </c>
      <c r="T11" s="222">
        <f>IF($B$81=0,0,(SUMIF($N$6:$N$28,$U11,M$6:M$28)+SUMIF($N$91:$N$118,$U11,M$91:M$118))*$I$83*Poor!$B$81/$B$81)</f>
        <v>631.29999999999995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3.5031211083437112E-4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3455.9999999999995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17610.253636879119</v>
      </c>
      <c r="T23" s="179">
        <f>SUM(T7:T22)</f>
        <v>18379.597905968199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0.11563320556736878</v>
      </c>
      <c r="J30" s="231">
        <f>IF(I$32&lt;=1,I30,1-SUM(J6:J29))</f>
        <v>0.11563320556736878</v>
      </c>
      <c r="K30" s="22">
        <f t="shared" si="4"/>
        <v>0.71161696139476982</v>
      </c>
      <c r="L30" s="22">
        <f>IF(L124=L119,0,IF(K30="",0,(L119-L124)/(B119-B124)*K30))</f>
        <v>1.3100190402260802E-2</v>
      </c>
      <c r="M30" s="175">
        <f t="shared" si="6"/>
        <v>0.11563320556736878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5759.8858014441248</v>
      </c>
      <c r="T30" s="234">
        <f t="shared" si="24"/>
        <v>4990.5415323550442</v>
      </c>
      <c r="U30" s="56"/>
      <c r="V30" s="56"/>
      <c r="W30" s="110"/>
      <c r="X30" s="118"/>
      <c r="Y30" s="184">
        <f>M30*4</f>
        <v>0.46253282226947512</v>
      </c>
      <c r="Z30" s="122">
        <f>IF($Y30=0,0,AA30/($Y$30))</f>
        <v>-1.0349883328566192E-2</v>
      </c>
      <c r="AA30" s="188">
        <f>IF(AA79*4/$I$83+SUM(AA6:AA29)&lt;1,AA79*4/$I$83,1-SUM(AA6:AA29))</f>
        <v>-4.7871607461215104E-3</v>
      </c>
      <c r="AB30" s="122">
        <f>IF($Y30=0,0,AC30/($Y$30))</f>
        <v>-0.43121636139097891</v>
      </c>
      <c r="AC30" s="188">
        <f>IF(AC79*4/$I$83+SUM(AC6:AC29)&lt;1,AC79*4/$I$83,1-SUM(AC6:AC29))</f>
        <v>-0.19945172064294339</v>
      </c>
      <c r="AD30" s="122">
        <f>IF($Y30=0,0,AE30/($Y$30))</f>
        <v>-0.43121636139097891</v>
      </c>
      <c r="AE30" s="188">
        <f>IF(AE79*4/$I$83+SUM(AE6:AE29)&lt;1,AE79*4/$I$83,1-SUM(AE6:AE29))</f>
        <v>-0.19945172064294339</v>
      </c>
      <c r="AF30" s="122">
        <f>IF($Y30=0,0,AG30/($Y$30))</f>
        <v>-0.43121636139097891</v>
      </c>
      <c r="AG30" s="188">
        <f>IF(AG79*4/$I$83+SUM(AG6:AG29)&lt;1,AG79*4/$I$83,1-SUM(AG6:AG29))</f>
        <v>-0.19945172064294339</v>
      </c>
      <c r="AH30" s="123">
        <f t="shared" si="12"/>
        <v>-1.3039989675015029</v>
      </c>
      <c r="AI30" s="184">
        <f t="shared" si="13"/>
        <v>-0.15078558066873793</v>
      </c>
      <c r="AJ30" s="120">
        <f t="shared" si="14"/>
        <v>-0.10211944069453245</v>
      </c>
      <c r="AK30" s="119">
        <f t="shared" si="15"/>
        <v>-0.19945172064294339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0.38471470419875919</v>
      </c>
      <c r="K31" s="22" t="str">
        <f t="shared" si="4"/>
        <v/>
      </c>
      <c r="L31" s="22">
        <f>(1-SUM(L6:L30))</f>
        <v>0.49257109080689532</v>
      </c>
      <c r="M31" s="241">
        <f t="shared" si="6"/>
        <v>0.38471470419875919</v>
      </c>
      <c r="N31" s="167">
        <f>M31*I83</f>
        <v>4990.5415323550469</v>
      </c>
      <c r="P31" s="22"/>
      <c r="Q31" s="238" t="s">
        <v>142</v>
      </c>
      <c r="R31" s="234">
        <f t="shared" si="24"/>
        <v>0</v>
      </c>
      <c r="S31" s="234">
        <f t="shared" si="24"/>
        <v>20963.005801444124</v>
      </c>
      <c r="T31" s="234">
        <f>IF(T25&gt;T$23,T25-T$23,0)</f>
        <v>20193.661532355043</v>
      </c>
      <c r="U31" s="242">
        <f>T31/$B$81</f>
        <v>3365.610255392507</v>
      </c>
      <c r="V31" s="56"/>
      <c r="W31" s="129" t="s">
        <v>84</v>
      </c>
      <c r="X31" s="130"/>
      <c r="Y31" s="121">
        <f>M31*4</f>
        <v>1.5388588167950368</v>
      </c>
      <c r="Z31" s="131"/>
      <c r="AA31" s="132">
        <f>1-AA32+IF($Y32&lt;0,$Y32/4,0)</f>
        <v>1.1244947118725368E-2</v>
      </c>
      <c r="AB31" s="131"/>
      <c r="AC31" s="133">
        <f>1-AC32+IF($Y32&lt;0,$Y32/4,0)</f>
        <v>0.86489675435469193</v>
      </c>
      <c r="AD31" s="134"/>
      <c r="AE31" s="133">
        <f>1-AE32+IF($Y32&lt;0,$Y32/4,0)</f>
        <v>0.86489675435469193</v>
      </c>
      <c r="AF31" s="134"/>
      <c r="AG31" s="133">
        <f>1-AG32+IF($Y32&lt;0,$Y32/4,0)</f>
        <v>0.86489675435469193</v>
      </c>
      <c r="AH31" s="123"/>
      <c r="AI31" s="183">
        <f>SUM(AA31,AC31,AE31,AG31)/4</f>
        <v>0.65148380254570026</v>
      </c>
      <c r="AJ31" s="135">
        <f t="shared" si="14"/>
        <v>0.43807085073670865</v>
      </c>
      <c r="AK31" s="136">
        <f t="shared" si="15"/>
        <v>0.86489675435469193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0.61528529580124081</v>
      </c>
      <c r="J32" s="17"/>
      <c r="L32" s="22">
        <f>SUM(L6:L30)</f>
        <v>0.50742890919310468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45516.445801444126</v>
      </c>
      <c r="T32" s="234">
        <f t="shared" si="24"/>
        <v>44747.101532355045</v>
      </c>
      <c r="U32" s="56"/>
      <c r="V32" s="56"/>
      <c r="W32" s="110"/>
      <c r="X32" s="118"/>
      <c r="Y32" s="115">
        <f>SUM(Y6:Y31)</f>
        <v>3.9985987515566626</v>
      </c>
      <c r="Z32" s="137"/>
      <c r="AA32" s="138">
        <f>SUM(AA6:AA30)</f>
        <v>0.98875505288127463</v>
      </c>
      <c r="AB32" s="137"/>
      <c r="AC32" s="139">
        <f>SUM(AC6:AC30)</f>
        <v>0.13510324564530804</v>
      </c>
      <c r="AD32" s="137"/>
      <c r="AE32" s="139">
        <f>SUM(AE6:AE30)</f>
        <v>0.13510324564530804</v>
      </c>
      <c r="AF32" s="137"/>
      <c r="AG32" s="139">
        <f>SUM(AG6:AG30)</f>
        <v>0.13510324564530804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5.4963295296810761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15203.120000000004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3455.9999999999995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0.10250354129207438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0.59262553829668929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14816.4</v>
      </c>
      <c r="J65" s="39">
        <f>SUM(J37:J64)</f>
        <v>14816.400000000001</v>
      </c>
      <c r="K65" s="40">
        <f>SUM(K37:K64)</f>
        <v>1</v>
      </c>
      <c r="L65" s="22">
        <f>SUM(L37:L64)</f>
        <v>0.41676468773718539</v>
      </c>
      <c r="M65" s="24">
        <f>SUM(M37:M64)</f>
        <v>0.43944834178237591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3313.5750000000003</v>
      </c>
      <c r="AB65" s="137"/>
      <c r="AC65" s="153">
        <f>SUM(AC37:AC64)</f>
        <v>2682.2750000000005</v>
      </c>
      <c r="AD65" s="137"/>
      <c r="AE65" s="153">
        <f>SUM(AE37:AE64)</f>
        <v>2682.2750000000005</v>
      </c>
      <c r="AF65" s="137"/>
      <c r="AG65" s="153">
        <f>SUM(AG37:AG64)</f>
        <v>2682.2750000000005</v>
      </c>
      <c r="AH65" s="137"/>
      <c r="AI65" s="153">
        <f>SUM(AI37:AI64)</f>
        <v>11360.400000000001</v>
      </c>
      <c r="AJ65" s="153">
        <f>SUM(AJ37:AJ64)</f>
        <v>5995.85</v>
      </c>
      <c r="AK65" s="153">
        <f>SUM(AK37:AK64)</f>
        <v>5364.5500000000011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1500.0006721998434</v>
      </c>
      <c r="J71" s="51">
        <f t="shared" si="44"/>
        <v>1500.0006721998434</v>
      </c>
      <c r="K71" s="40">
        <f t="shared" ref="K71:K72" si="47">B71/B$76</f>
        <v>0.38213415104371717</v>
      </c>
      <c r="L71" s="22">
        <f t="shared" si="45"/>
        <v>2.1805750133332573E-2</v>
      </c>
      <c r="M71" s="24">
        <f t="shared" ref="M71:M72" si="48">J71/B$76</f>
        <v>4.4489404178523151E-2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1500.0006721998434</v>
      </c>
      <c r="J74" s="51">
        <f t="shared" si="44"/>
        <v>1500.0006721998434</v>
      </c>
      <c r="K74" s="40">
        <f>B74/B$76</f>
        <v>0.16593437771979364</v>
      </c>
      <c r="L74" s="22">
        <f t="shared" si="45"/>
        <v>5.0402448220830086E-3</v>
      </c>
      <c r="M74" s="24">
        <f>J74/B$76</f>
        <v>4.4489404178523151E-2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-15.524831950039243</v>
      </c>
      <c r="AB74" s="156"/>
      <c r="AC74" s="147">
        <f>AC30*$I$83/4</f>
        <v>-646.82483195003897</v>
      </c>
      <c r="AD74" s="156"/>
      <c r="AE74" s="147">
        <f>AE30*$I$83/4</f>
        <v>-646.82483195003897</v>
      </c>
      <c r="AF74" s="156"/>
      <c r="AG74" s="147">
        <f>AG30*$I$83/4</f>
        <v>-646.82483195003897</v>
      </c>
      <c r="AH74" s="155"/>
      <c r="AI74" s="147">
        <f>SUM(AA74,AC74,AE74,AG74)</f>
        <v>-1955.9993278001562</v>
      </c>
      <c r="AJ74" s="148">
        <f>(AA74+AC74)</f>
        <v>-662.34966390007821</v>
      </c>
      <c r="AK74" s="147">
        <f>(AE74+AG74)</f>
        <v>-1293.6496639000779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14816.400000000001</v>
      </c>
      <c r="J76" s="51">
        <f t="shared" si="44"/>
        <v>14816.400000000001</v>
      </c>
      <c r="K76" s="40">
        <f>SUM(K70:K75)</f>
        <v>1.4800236614420834</v>
      </c>
      <c r="L76" s="22">
        <f>SUM(L70:L75)</f>
        <v>0.42180493255926838</v>
      </c>
      <c r="M76" s="24">
        <f>SUM(M70:M75)</f>
        <v>0.48393774596089911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3313.5750000000003</v>
      </c>
      <c r="AB76" s="137"/>
      <c r="AC76" s="153">
        <f>AC65</f>
        <v>2682.2750000000005</v>
      </c>
      <c r="AD76" s="137"/>
      <c r="AE76" s="153">
        <f>AE65</f>
        <v>2682.2750000000005</v>
      </c>
      <c r="AF76" s="137"/>
      <c r="AG76" s="153">
        <f>AG65</f>
        <v>2682.2750000000005</v>
      </c>
      <c r="AH76" s="137"/>
      <c r="AI76" s="153">
        <f>SUM(AA76,AC76,AE76,AG76)</f>
        <v>11360.400000000001</v>
      </c>
      <c r="AJ76" s="154">
        <f>SUM(AA76,AC76)</f>
        <v>5995.85</v>
      </c>
      <c r="AK76" s="154">
        <f>SUM(AE76,AG76)</f>
        <v>5364.5500000000011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15203.120000000004</v>
      </c>
      <c r="K77" s="40"/>
      <c r="L77" s="22">
        <f>-(L131*G$37*F$9/F$7)/B$130</f>
        <v>-0.45091829823158641</v>
      </c>
      <c r="M77" s="24">
        <f>-J77/B$76</f>
        <v>-0.45091829823158641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36.467527113378893</v>
      </c>
      <c r="AB77" s="112"/>
      <c r="AC77" s="111">
        <f>AC31*$I$83/4</f>
        <v>2804.8727581102498</v>
      </c>
      <c r="AD77" s="112"/>
      <c r="AE77" s="111">
        <f>AE31*$I$83/4</f>
        <v>2804.8727581102498</v>
      </c>
      <c r="AF77" s="112"/>
      <c r="AG77" s="111">
        <f>AG31*$I$83/4</f>
        <v>2804.8727581102498</v>
      </c>
      <c r="AH77" s="110"/>
      <c r="AI77" s="154">
        <f>SUM(AA77,AC77,AE77,AG77)</f>
        <v>8451.0858014441292</v>
      </c>
      <c r="AJ77" s="153">
        <f>SUM(AA77,AC77)</f>
        <v>2841.3402852236286</v>
      </c>
      <c r="AK77" s="160">
        <f>SUM(AE77,AG77)</f>
        <v>5609.7455162204997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-15.524831950039243</v>
      </c>
      <c r="AB79" s="112"/>
      <c r="AC79" s="112">
        <f>AA79-AA74+AC65-AC70</f>
        <v>-646.82483195003897</v>
      </c>
      <c r="AD79" s="112"/>
      <c r="AE79" s="112">
        <f>AC79-AC74+AE65-AE70</f>
        <v>-646.82483195003897</v>
      </c>
      <c r="AF79" s="112"/>
      <c r="AG79" s="112">
        <f>AE79-AE74+AG65-AG70</f>
        <v>-646.82483195003897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0.26641878623610671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0.26641878623610671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2.5415009873347314</v>
      </c>
      <c r="L110" s="22">
        <f t="shared" si="64"/>
        <v>0</v>
      </c>
      <c r="M110" s="228">
        <f t="shared" si="65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1.1421780394643091</v>
      </c>
      <c r="J119" s="24">
        <f>SUM(J91:J118)</f>
        <v>1.1421780394643091</v>
      </c>
      <c r="K119" s="22">
        <f>SUM(K91:K118)</f>
        <v>4.2885444907410761</v>
      </c>
      <c r="L119" s="22">
        <f>SUM(L91:L118)</f>
        <v>1.0832205488065039</v>
      </c>
      <c r="M119" s="57">
        <f t="shared" si="49"/>
        <v>1.1421780394643091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0.11563320556736878</v>
      </c>
      <c r="J125" s="237">
        <f>IF(SUMPRODUCT($B$124:$B125,$H$124:$H125)&lt;J$119,($B125*$H125),IF(SUMPRODUCT($B$124:$B124,$H$124:$H124)&lt;J$119,J$119-SUMPRODUCT($B$124:$B124,$H$124:$H124),0))</f>
        <v>0.11563320556736878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5.6675714909563579E-2</v>
      </c>
      <c r="M125" s="240">
        <f t="shared" si="66"/>
        <v>0.11563320556736878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0.11563320556736878</v>
      </c>
      <c r="J128" s="228">
        <f>(J30)</f>
        <v>0.11563320556736878</v>
      </c>
      <c r="K128" s="29">
        <f>(B128)</f>
        <v>0.71161696139476982</v>
      </c>
      <c r="L128" s="29">
        <f>IF(L124=L119,0,(L119-L124)/(B119-B124)*K128)</f>
        <v>1.3100190402260802E-2</v>
      </c>
      <c r="M128" s="240">
        <f t="shared" si="66"/>
        <v>0.11563320556736878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1.1421780394643091</v>
      </c>
      <c r="J130" s="228">
        <f>(J119)</f>
        <v>1.1421780394643091</v>
      </c>
      <c r="K130" s="29">
        <f>(B130)</f>
        <v>4.2885444907410761</v>
      </c>
      <c r="L130" s="29">
        <f>(L119)</f>
        <v>1.0832205488065039</v>
      </c>
      <c r="M130" s="240">
        <f t="shared" si="66"/>
        <v>1.1421780394643091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1.171989808276007</v>
      </c>
      <c r="K131" s="29"/>
      <c r="L131" s="29">
        <f>IF(I131&lt;SUM(L126:L127),0,I131-(SUM(L126:L127)))</f>
        <v>1.171989808276007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N5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0.6676810463737558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0.11128017439562596</v>
      </c>
      <c r="AB8" s="125">
        <f>IF($Y8=0,0,AC8/$Y8)</f>
        <v>0.3323189536262442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5.5386492271040699E-2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0.6676810463737558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0.25252842841360496</v>
      </c>
      <c r="AB9" s="125">
        <f>IF($Y9=0,0,AC9/$Y9)</f>
        <v>0.3323189536262442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0.12568873049050461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0.6676810463737558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9.4690110255103155E-2</v>
      </c>
      <c r="AB10" s="125">
        <f>IF($Y10=0,0,AC10/$Y10)</f>
        <v>0.3323189536262442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4.7129267079890624E-2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2688.04</v>
      </c>
      <c r="T11" s="222">
        <f>IF($B$81=0,0,(SUMIF($N$6:$N$28,$U11,M$6:M$28)+SUMIF($N$91:$N$118,$U11,M$91:M$118))*$I$83*Poor!$B$81/$B$81)</f>
        <v>2688.04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0.6676810463737558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0.17702176862029392</v>
      </c>
      <c r="AB11" s="125">
        <f>IF($Y11=0,0,AC11/$Y11)</f>
        <v>0.33231895362624425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8.8107471728398473E-2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3.5031211083437112E-4</v>
      </c>
      <c r="K16" s="22">
        <f t="shared" si="4"/>
        <v>0</v>
      </c>
      <c r="L16" s="22">
        <f t="shared" si="5"/>
        <v>0</v>
      </c>
      <c r="M16" s="224">
        <f t="shared" si="6"/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3935.9999999999986</v>
      </c>
      <c r="U16" s="223">
        <v>10</v>
      </c>
      <c r="V16" s="56"/>
      <c r="W16" s="110"/>
      <c r="X16" s="118"/>
      <c r="Y16" s="184">
        <f t="shared" si="9"/>
        <v>1.4012484433374845E-3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1.4012484433374845E-3</v>
      </c>
      <c r="AH16" s="123">
        <f t="shared" si="12"/>
        <v>1</v>
      </c>
      <c r="AI16" s="184">
        <f t="shared" si="13"/>
        <v>3.5031211083437112E-4</v>
      </c>
      <c r="AJ16" s="120">
        <f t="shared" si="14"/>
        <v>0</v>
      </c>
      <c r="AK16" s="119">
        <f t="shared" si="15"/>
        <v>7.0062422166874223E-4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30522.836388847121</v>
      </c>
      <c r="T23" s="179">
        <f>SUM(T7:T22)</f>
        <v>31372.180657936202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0.22496954936955371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0.22496954936955371</v>
      </c>
      <c r="N29" s="229"/>
      <c r="P29" s="22"/>
      <c r="V29" s="56"/>
      <c r="W29" s="110"/>
      <c r="X29" s="118"/>
      <c r="Y29" s="184">
        <f t="shared" si="9"/>
        <v>0.89987819747821485</v>
      </c>
      <c r="Z29" s="116">
        <v>0.25</v>
      </c>
      <c r="AA29" s="121">
        <f t="shared" si="16"/>
        <v>0.22496954936955371</v>
      </c>
      <c r="AB29" s="116">
        <v>0.25</v>
      </c>
      <c r="AC29" s="121">
        <f t="shared" si="7"/>
        <v>0.22496954936955371</v>
      </c>
      <c r="AD29" s="116">
        <v>0.25</v>
      </c>
      <c r="AE29" s="121">
        <f t="shared" si="8"/>
        <v>0.22496954936955371</v>
      </c>
      <c r="AF29" s="122">
        <f t="shared" si="10"/>
        <v>0.25</v>
      </c>
      <c r="AG29" s="121">
        <f t="shared" si="11"/>
        <v>0.22496954936955371</v>
      </c>
      <c r="AH29" s="123">
        <f t="shared" si="12"/>
        <v>1</v>
      </c>
      <c r="AI29" s="184">
        <f t="shared" si="13"/>
        <v>0.22496954936955371</v>
      </c>
      <c r="AJ29" s="120">
        <f t="shared" si="14"/>
        <v>0.22496954936955371</v>
      </c>
      <c r="AK29" s="119">
        <f t="shared" si="15"/>
        <v>0.22496954936955371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1.008173142067526</v>
      </c>
      <c r="J30" s="231">
        <f>IF(I$32&lt;=1,I30,1-SUM(J6:J29))</f>
        <v>0.39130563363564508</v>
      </c>
      <c r="K30" s="22">
        <f t="shared" si="4"/>
        <v>0.64870199252802008</v>
      </c>
      <c r="L30" s="22">
        <f>IF(L124=L119,0,IF(K30="",0,(L119-L124)/(B119-B124)*K30))</f>
        <v>0.13718754407901038</v>
      </c>
      <c r="M30" s="175">
        <f t="shared" si="6"/>
        <v>0.39130563363564508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1.5652225345425803</v>
      </c>
      <c r="Z30" s="122">
        <f>IF($Y30=0,0,AA30/($Y$30))</f>
        <v>7.0930682386936598E-17</v>
      </c>
      <c r="AA30" s="188">
        <f>IF(AA79*4/$I$83+SUM(AA6:AA29)&lt;1,AA79*4/$I$83,1-SUM(AA6:AA29))</f>
        <v>1.1102230246251565E-16</v>
      </c>
      <c r="AB30" s="122">
        <f>IF($Y30=0,0,AC30/($Y$30))</f>
        <v>-0.245208823833265</v>
      </c>
      <c r="AC30" s="188">
        <f>IF(AC79*4/$I$83+SUM(AC6:AC29)&lt;1,AC79*4/$I$83,1-SUM(AC6:AC29))</f>
        <v>-0.38380637673250811</v>
      </c>
      <c r="AD30" s="122">
        <f>IF($Y30=0,0,AE30/($Y$30))</f>
        <v>-0.38738170778951053</v>
      </c>
      <c r="AE30" s="188">
        <f>IF(AE79*4/$I$83+SUM(AE6:AE29)&lt;1,AE79*4/$I$83,1-SUM(AE6:AE29))</f>
        <v>-0.6063385785017309</v>
      </c>
      <c r="AF30" s="122">
        <f>IF($Y30=0,0,AG30/($Y$30))</f>
        <v>-0.38738170778951053</v>
      </c>
      <c r="AG30" s="188">
        <f>IF(AG79*4/$I$83+SUM(AG6:AG29)&lt;1,AG79*4/$I$83,1-SUM(AG6:AG29))</f>
        <v>-0.6063385785017309</v>
      </c>
      <c r="AH30" s="123">
        <f t="shared" si="12"/>
        <v>-1.0199722394122861</v>
      </c>
      <c r="AI30" s="184">
        <f t="shared" si="13"/>
        <v>-0.39912088343399243</v>
      </c>
      <c r="AJ30" s="120">
        <f t="shared" si="14"/>
        <v>-0.191903188366254</v>
      </c>
      <c r="AK30" s="119">
        <f t="shared" si="15"/>
        <v>-0.6063385785017309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0.26900782214536645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8050.4230494761214</v>
      </c>
      <c r="T31" s="234">
        <f>IF(T25&gt;T$23,T25-T$23,0)</f>
        <v>7201.0787803870408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0.70301489684730178</v>
      </c>
      <c r="AD31" s="134"/>
      <c r="AE31" s="133">
        <f>1-AE32+IF($Y32&lt;0,$Y32/4,0)</f>
        <v>1.2418590601863588</v>
      </c>
      <c r="AF31" s="134"/>
      <c r="AG31" s="133">
        <f>1-AG32+IF($Y32&lt;0,$Y32/4,0)</f>
        <v>1.2168321112448894</v>
      </c>
      <c r="AH31" s="123"/>
      <c r="AI31" s="183">
        <f>SUM(AA31,AC31,AE31,AG31)/4</f>
        <v>0.79042651706963751</v>
      </c>
      <c r="AJ31" s="135">
        <f t="shared" si="14"/>
        <v>0.35150744842365089</v>
      </c>
      <c r="AK31" s="136">
        <f t="shared" si="15"/>
        <v>1.2293455857156241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1.6168675084318809</v>
      </c>
      <c r="J32" s="17"/>
      <c r="L32" s="22">
        <f>SUM(L6:L30)</f>
        <v>0.73099217785463355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32603.863049476124</v>
      </c>
      <c r="T32" s="234">
        <f t="shared" si="50"/>
        <v>31754.518780387043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0.29698510315269827</v>
      </c>
      <c r="AD32" s="137"/>
      <c r="AE32" s="139">
        <f>SUM(AE6:AE30)</f>
        <v>-0.24185906018635894</v>
      </c>
      <c r="AF32" s="137"/>
      <c r="AG32" s="139">
        <f>SUM(AG6:AG30)</f>
        <v>-0.21683211124488944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0.58018986389265048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7201.0787803870453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0.73760097468842722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1810.3678322752755</v>
      </c>
      <c r="AB37" s="122">
        <f>IF($J37=0,0,AC37/($J37))</f>
        <v>0.26239902531157278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644.0321677247241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2454.3999999999996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0.6676810463737558</v>
      </c>
      <c r="AA39" s="147">
        <f t="shared" ref="AA39:AA64" si="64">$J39*Z39</f>
        <v>0</v>
      </c>
      <c r="AB39" s="122">
        <f>AB8</f>
        <v>0.3323189536262442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0.6676810463737558</v>
      </c>
      <c r="AA40" s="147">
        <f t="shared" si="64"/>
        <v>0</v>
      </c>
      <c r="AB40" s="122">
        <f>AB9</f>
        <v>0.3323189536262442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0.6676810463737558</v>
      </c>
      <c r="AA41" s="147">
        <f t="shared" si="64"/>
        <v>155.99699967476431</v>
      </c>
      <c r="AB41" s="122">
        <f>AB11</f>
        <v>0.33231895362624425</v>
      </c>
      <c r="AC41" s="147">
        <f t="shared" si="65"/>
        <v>77.643000325235718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233.64000000000004</v>
      </c>
      <c r="AJ41" s="148">
        <f t="shared" si="62"/>
        <v>233.64000000000004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944.00000000000023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2.1180209601568321E-2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3935.9999999999991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8.8310704440437357E-2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0.44830490053711514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26394.48</v>
      </c>
      <c r="J65" s="39">
        <f>SUM(J37:J64)</f>
        <v>26394.48</v>
      </c>
      <c r="K65" s="40">
        <f>SUM(K37:K64)</f>
        <v>0.99999999999999989</v>
      </c>
      <c r="L65" s="22">
        <f>SUM(L37:L64)</f>
        <v>0.57324955259851484</v>
      </c>
      <c r="M65" s="24">
        <f>SUM(M37:M64)</f>
        <v>0.59220404525890136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3329.0998319500395</v>
      </c>
      <c r="AB65" s="137"/>
      <c r="AC65" s="153">
        <f>SUM(AC37:AC64)</f>
        <v>2084.4101680499598</v>
      </c>
      <c r="AD65" s="137"/>
      <c r="AE65" s="153">
        <f>SUM(AE37:AE64)</f>
        <v>1362.7350000000001</v>
      </c>
      <c r="AF65" s="137"/>
      <c r="AG65" s="153">
        <f>SUM(AG37:AG64)</f>
        <v>1362.7350000000001</v>
      </c>
      <c r="AH65" s="137"/>
      <c r="AI65" s="153">
        <f>SUM(AI37:AI64)</f>
        <v>8138.98</v>
      </c>
      <c r="AJ65" s="153">
        <f>SUM(AJ37:AJ64)</f>
        <v>5413.5099999999993</v>
      </c>
      <c r="AK65" s="153">
        <f>SUM(AK37:AK64)</f>
        <v>2725.4700000000003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13078.080672199845</v>
      </c>
      <c r="J71" s="51">
        <f t="shared" si="75"/>
        <v>13078.080672199845</v>
      </c>
      <c r="K71" s="40">
        <f t="shared" ref="K71:K72" si="78">B71/B$76</f>
        <v>0.28907396240106586</v>
      </c>
      <c r="L71" s="22">
        <f t="shared" si="76"/>
        <v>0.27447399232204162</v>
      </c>
      <c r="M71" s="24">
        <f t="shared" ref="M71:M72" si="79">J71/B$76</f>
        <v>0.29342848498242813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0.46686207774304395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13078.080672199845</v>
      </c>
      <c r="J74" s="51">
        <f t="shared" si="75"/>
        <v>5076.0394525868842</v>
      </c>
      <c r="K74" s="40">
        <f>B74/B$76</f>
        <v>0.11442697983898133</v>
      </c>
      <c r="L74" s="22">
        <f t="shared" si="76"/>
        <v>3.9928392790757265E-2</v>
      </c>
      <c r="M74" s="24">
        <f>J74/B$76</f>
        <v>0.11388938511824184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3.6004694219499978E-13</v>
      </c>
      <c r="AB74" s="156"/>
      <c r="AC74" s="147">
        <f>AC30*$I$83/4</f>
        <v>-1244.6896639000802</v>
      </c>
      <c r="AD74" s="156"/>
      <c r="AE74" s="147">
        <f>AE30*$I$83/4</f>
        <v>-1966.3648319500394</v>
      </c>
      <c r="AF74" s="156"/>
      <c r="AG74" s="147">
        <f>AG30*$I$83/4</f>
        <v>-1966.3648319500394</v>
      </c>
      <c r="AH74" s="155"/>
      <c r="AI74" s="147">
        <f>SUM(AA74,AC74,AE74,AG74)</f>
        <v>-5177.4193278001585</v>
      </c>
      <c r="AJ74" s="148">
        <f>(AA74+AC74)</f>
        <v>-1244.6896639000797</v>
      </c>
      <c r="AK74" s="147">
        <f>(AE74+AG74)</f>
        <v>-3932.7296639000788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-3.6004694219499978E-13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26394.480000000003</v>
      </c>
      <c r="J76" s="51">
        <f t="shared" si="75"/>
        <v>26394.480000000003</v>
      </c>
      <c r="K76" s="40">
        <f>SUM(K70:K75)</f>
        <v>1.1441960671538112</v>
      </c>
      <c r="L76" s="22">
        <f>SUM(L70:L75)</f>
        <v>0.61317794538927217</v>
      </c>
      <c r="M76" s="24">
        <f>SUM(M70:M75)</f>
        <v>0.70609343037714334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3329.0998319500395</v>
      </c>
      <c r="AB76" s="137"/>
      <c r="AC76" s="153">
        <f>AC65</f>
        <v>2084.4101680499598</v>
      </c>
      <c r="AD76" s="137"/>
      <c r="AE76" s="153">
        <f>AE65</f>
        <v>1362.7350000000001</v>
      </c>
      <c r="AF76" s="137"/>
      <c r="AG76" s="153">
        <f>AG65</f>
        <v>1362.7350000000001</v>
      </c>
      <c r="AH76" s="137"/>
      <c r="AI76" s="153">
        <f>SUM(AA76,AC76,AE76,AG76)</f>
        <v>8138.98</v>
      </c>
      <c r="AJ76" s="154">
        <f>SUM(AA76,AC76)</f>
        <v>5413.5099999999993</v>
      </c>
      <c r="AK76" s="154">
        <f>SUM(AE76,AG76)</f>
        <v>2725.4700000000003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75"/>
        <v>7201.0787803870453</v>
      </c>
      <c r="K77" s="40"/>
      <c r="L77" s="22">
        <f>-(L131*G$37*F$9/F$7)/B$130</f>
        <v>-0.34110727563325788</v>
      </c>
      <c r="M77" s="24">
        <f>-J77/B$76</f>
        <v>-0.16156817576907156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2279.8875389281743</v>
      </c>
      <c r="AD77" s="112"/>
      <c r="AE77" s="111">
        <f>AE31*$I$83/4</f>
        <v>4027.3670005017048</v>
      </c>
      <c r="AF77" s="112"/>
      <c r="AG77" s="111">
        <f>AG31*$I$83/4</f>
        <v>3946.2042409571636</v>
      </c>
      <c r="AH77" s="110"/>
      <c r="AI77" s="154">
        <f>SUM(AA77,AC77,AE77,AG77)</f>
        <v>10253.458780387044</v>
      </c>
      <c r="AJ77" s="153">
        <f>SUM(AA77,AC77)</f>
        <v>2279.8875389281743</v>
      </c>
      <c r="AK77" s="160">
        <f>SUM(AE77,AG77)</f>
        <v>7973.5712414588688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-1244.6896639000802</v>
      </c>
      <c r="AD79" s="112"/>
      <c r="AE79" s="112">
        <f>AC79-AC74+AE65-AE70</f>
        <v>-1966.3648319500394</v>
      </c>
      <c r="AF79" s="112"/>
      <c r="AG79" s="112">
        <f>AE79-AE74+AG65-AG70</f>
        <v>-1966.3648319500394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7.2771798092269913E-2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0.30342139543556595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0.30342139543556595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2.5415009873347314</v>
      </c>
      <c r="L110" s="22">
        <f t="shared" si="91"/>
        <v>0</v>
      </c>
      <c r="M110" s="227">
        <f t="shared" si="9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2.0347179759644662</v>
      </c>
      <c r="J119" s="24">
        <f>SUM(J91:J118)</f>
        <v>2.0347179759644662</v>
      </c>
      <c r="K119" s="22">
        <f>SUM(K91:K118)</f>
        <v>5.6691349666036501</v>
      </c>
      <c r="L119" s="22">
        <f>SUM(L91:L118)</f>
        <v>1.9695933837734179</v>
      </c>
      <c r="M119" s="57">
        <f t="shared" si="80"/>
        <v>2.0347179759644662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1.008173142067526</v>
      </c>
      <c r="J125" s="237">
        <f>IF(SUMPRODUCT($B$124:$B125,$H$124:$H125)&lt;J$119,($B125*$H125),IF(SUMPRODUCT($B$124:$B124,$H$124:$H124)&lt;J$119,J$119-SUMPRODUCT($B$124:$B124,$H$124:$H124),0))</f>
        <v>1.008173142067526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0.94304854987647757</v>
      </c>
      <c r="M125" s="240">
        <f t="shared" si="93"/>
        <v>1.008173142067526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1.008173142067526</v>
      </c>
      <c r="J128" s="228">
        <f>(J30)</f>
        <v>0.39130563363564508</v>
      </c>
      <c r="K128" s="29">
        <f>(B128)</f>
        <v>0.64870199252802008</v>
      </c>
      <c r="L128" s="29">
        <f>IF(L124=L119,0,(L119-L124)/(B119-B124)*K128)</f>
        <v>0.13718754407901038</v>
      </c>
      <c r="M128" s="240">
        <f t="shared" si="93"/>
        <v>0.39130563363564508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2.0347179759644662</v>
      </c>
      <c r="J130" s="228">
        <f>(J119)</f>
        <v>2.0347179759644662</v>
      </c>
      <c r="K130" s="29">
        <f>(B130)</f>
        <v>5.6691349666036501</v>
      </c>
      <c r="L130" s="29">
        <f>(L119)</f>
        <v>1.9695933837734179</v>
      </c>
      <c r="M130" s="240">
        <f t="shared" si="93"/>
        <v>2.0347179759644662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0.55512229984412631</v>
      </c>
      <c r="K131" s="29"/>
      <c r="L131" s="29">
        <f>IF(I131&lt;SUM(L126:L127),0,I131-(SUM(L126:L127)))</f>
        <v>1.171989808276007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0.58390910678892549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9.7318184464820906E-2</v>
      </c>
      <c r="AB8" s="125">
        <f>IF($Y8=0,0,AC8/$Y8)</f>
        <v>0.41609089321107451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6.9348482201845751E-2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0.58390910678892549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0.30115151376537769</v>
      </c>
      <c r="AB9" s="125">
        <f>IF($Y9=0,0,AC9/$Y9)</f>
        <v>0.41609089321107456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0.21459915746749886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0.58390910678892549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8.2809625945037796E-2</v>
      </c>
      <c r="AB10" s="125">
        <f>IF($Y10=0,0,AC10/$Y10)</f>
        <v>0.41609089321107456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5.9009751389955983E-2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8047.5999999999985</v>
      </c>
      <c r="T11" s="222">
        <f>IF($B$81=0,0,(SUMIF($N$6:$N$28,$U11,M$6:M$28)+SUMIF($N$91:$N$118,$U11,M$91:M$118))*$I$83*Poor!$B$81/$B$81)</f>
        <v>8076.489086923666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0.58390910678892549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3.2682402004411061E-2</v>
      </c>
      <c r="AB11" s="125">
        <f>IF($Y11=0,0,AC11/$Y11)</f>
        <v>0.41609089321107451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2.3289326513646229E-2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2520.1592453237122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2930.3635413681368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0.11041881122488692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0.11041881122488692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0.44167524489954768</v>
      </c>
      <c r="Z17" s="156">
        <f>Poor!Z17</f>
        <v>0.29409999999999997</v>
      </c>
      <c r="AA17" s="121">
        <f t="shared" si="16"/>
        <v>0.12989668952495695</v>
      </c>
      <c r="AB17" s="156">
        <f>Poor!AB17</f>
        <v>0.17649999999999999</v>
      </c>
      <c r="AC17" s="121">
        <f t="shared" si="7"/>
        <v>7.795568072477016E-2</v>
      </c>
      <c r="AD17" s="156">
        <f>Poor!AD17</f>
        <v>0.23530000000000001</v>
      </c>
      <c r="AE17" s="121">
        <f t="shared" si="8"/>
        <v>0.10392618512486357</v>
      </c>
      <c r="AF17" s="122">
        <f t="shared" si="10"/>
        <v>0.29410000000000003</v>
      </c>
      <c r="AG17" s="121">
        <f t="shared" si="11"/>
        <v>0.12989668952495698</v>
      </c>
      <c r="AH17" s="123">
        <f t="shared" si="12"/>
        <v>1</v>
      </c>
      <c r="AI17" s="184">
        <f t="shared" si="13"/>
        <v>0.11041881122488691</v>
      </c>
      <c r="AJ17" s="120">
        <f t="shared" si="14"/>
        <v>0.10392618512486355</v>
      </c>
      <c r="AK17" s="119">
        <f t="shared" si="15"/>
        <v>0.11691143732491027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85816.889782570885</v>
      </c>
      <c r="T23" s="179">
        <f>SUM(T7:T22)</f>
        <v>85794.018233547409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2.0816500669958347E-2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2.0816500669958347E-2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8.326600267983339E-2</v>
      </c>
      <c r="Z27" s="156">
        <f>Poor!Z27</f>
        <v>0.25</v>
      </c>
      <c r="AA27" s="121">
        <f t="shared" si="16"/>
        <v>2.0816500669958347E-2</v>
      </c>
      <c r="AB27" s="156">
        <f>Poor!AB27</f>
        <v>0.25</v>
      </c>
      <c r="AC27" s="121">
        <f t="shared" si="7"/>
        <v>2.0816500669958347E-2</v>
      </c>
      <c r="AD27" s="156">
        <f>Poor!AD27</f>
        <v>0.25</v>
      </c>
      <c r="AE27" s="121">
        <f t="shared" si="8"/>
        <v>2.0816500669958347E-2</v>
      </c>
      <c r="AF27" s="122">
        <f t="shared" si="10"/>
        <v>0.25</v>
      </c>
      <c r="AG27" s="121">
        <f t="shared" si="11"/>
        <v>2.0816500669958347E-2</v>
      </c>
      <c r="AH27" s="123">
        <f t="shared" si="12"/>
        <v>1</v>
      </c>
      <c r="AI27" s="184">
        <f t="shared" si="13"/>
        <v>2.0816500669958347E-2</v>
      </c>
      <c r="AJ27" s="120">
        <f t="shared" si="14"/>
        <v>2.0816500669958347E-2</v>
      </c>
      <c r="AK27" s="119">
        <f t="shared" si="15"/>
        <v>2.0816500669958347E-2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0.22821234912979596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0.22821234912979596</v>
      </c>
      <c r="N29" s="229"/>
      <c r="P29" s="22"/>
      <c r="V29" s="56"/>
      <c r="W29" s="110"/>
      <c r="X29" s="118"/>
      <c r="Y29" s="184">
        <f t="shared" si="9"/>
        <v>0.91284939651918384</v>
      </c>
      <c r="Z29" s="156">
        <f>Poor!Z29</f>
        <v>0.25</v>
      </c>
      <c r="AA29" s="121">
        <f t="shared" si="16"/>
        <v>0.22821234912979596</v>
      </c>
      <c r="AB29" s="156">
        <f>Poor!AB29</f>
        <v>0.25</v>
      </c>
      <c r="AC29" s="121">
        <f t="shared" si="7"/>
        <v>0.22821234912979596</v>
      </c>
      <c r="AD29" s="156">
        <f>Poor!AD29</f>
        <v>0.25</v>
      </c>
      <c r="AE29" s="121">
        <f t="shared" si="8"/>
        <v>0.22821234912979596</v>
      </c>
      <c r="AF29" s="122">
        <f t="shared" si="10"/>
        <v>0.25</v>
      </c>
      <c r="AG29" s="121">
        <f t="shared" si="11"/>
        <v>0.22821234912979596</v>
      </c>
      <c r="AH29" s="123">
        <f t="shared" si="12"/>
        <v>1</v>
      </c>
      <c r="AI29" s="184">
        <f t="shared" si="13"/>
        <v>0.22821234912979596</v>
      </c>
      <c r="AJ29" s="120">
        <f t="shared" si="14"/>
        <v>0.22821234912979596</v>
      </c>
      <c r="AK29" s="119">
        <f t="shared" si="15"/>
        <v>0.22821234912979596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5.1831559531871481</v>
      </c>
      <c r="J30" s="231">
        <f>IF(I$32&lt;=1,I30,1-SUM(J6:J29))</f>
        <v>0.28315289709075941</v>
      </c>
      <c r="K30" s="22">
        <f t="shared" si="4"/>
        <v>0.61046637608966381</v>
      </c>
      <c r="L30" s="22">
        <f>IF(L124=L119,0,IF(K30="",0,(L119-L124)/(B119-B124)*K30))</f>
        <v>0.31065242045195579</v>
      </c>
      <c r="M30" s="175">
        <f t="shared" si="6"/>
        <v>0.28315289709075941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1.1326115883630377</v>
      </c>
      <c r="Z30" s="122">
        <f>IF($Y30=0,0,AA30/($Y$30))</f>
        <v>9.8023279651390523E-17</v>
      </c>
      <c r="AA30" s="188">
        <f>IF(AA79*4/$I$84+SUM(AA6:AA29)&lt;1,AA79*4/$I$84,1-SUM(AA6:AA29))</f>
        <v>1.1102230246251565E-16</v>
      </c>
      <c r="AB30" s="122">
        <f>IF($Y30=0,0,AC30/($Y$30))</f>
        <v>0.17098534002837071</v>
      </c>
      <c r="AC30" s="188">
        <f>IF(AC79*4/$I$84+SUM(AC6:AC29)&lt;1,AC79*4/$I$84,1-SUM(AC6:AC29))</f>
        <v>0.19365997755632702</v>
      </c>
      <c r="AD30" s="122">
        <f>IF($Y30=0,0,AE30/($Y$30))</f>
        <v>0.47274618515914729</v>
      </c>
      <c r="AE30" s="188">
        <f>IF(AE79*4/$I$84+SUM(AE6:AE29)&lt;1,AE79*4/$I$84,1-SUM(AE6:AE29))</f>
        <v>0.53543780766566851</v>
      </c>
      <c r="AF30" s="122">
        <f>IF($Y30=0,0,AG30/($Y$30))</f>
        <v>0.35626847481248203</v>
      </c>
      <c r="AG30" s="188">
        <f>IF(AG79*4/$I$84+SUM(AG6:AG29)&lt;1,AG79*4/$I$84,1-SUM(AG6:AG29))</f>
        <v>0.40351380314104213</v>
      </c>
      <c r="AH30" s="123">
        <f t="shared" si="12"/>
        <v>1</v>
      </c>
      <c r="AI30" s="184">
        <f t="shared" si="13"/>
        <v>0.28315289709075941</v>
      </c>
      <c r="AJ30" s="120">
        <f t="shared" si="14"/>
        <v>9.6829988778163567E-2</v>
      </c>
      <c r="AK30" s="119">
        <f t="shared" si="15"/>
        <v>0.46947580540335532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-3.7677377903180265E-2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5.7937783690988356</v>
      </c>
      <c r="J32" s="17"/>
      <c r="L32" s="22">
        <f>SUM(L6:L30)</f>
        <v>1.0376773779031803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8.7436703764126433E-2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1350.4890869236672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1.5258225104522778E-2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0.58390910678892549</v>
      </c>
      <c r="AA39" s="147">
        <f t="shared" ref="AA39:AA64" si="40">$J39*Z39</f>
        <v>788.56287647379008</v>
      </c>
      <c r="AB39" s="122">
        <f>AB8</f>
        <v>0.41609089321107451</v>
      </c>
      <c r="AC39" s="147">
        <f t="shared" ref="AC39:AC64" si="41">$J39*AB39</f>
        <v>561.92621044987709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1350.4890869236672</v>
      </c>
      <c r="AJ39" s="148">
        <f t="shared" si="38"/>
        <v>1350.4890869236672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0.58390910678892549</v>
      </c>
      <c r="AA40" s="147">
        <f t="shared" si="40"/>
        <v>220.48407872349824</v>
      </c>
      <c r="AB40" s="122">
        <f>AB9</f>
        <v>0.41609089321107456</v>
      </c>
      <c r="AC40" s="147">
        <f t="shared" si="41"/>
        <v>157.11592127650175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377.6</v>
      </c>
      <c r="AJ40" s="148">
        <f t="shared" si="38"/>
        <v>377.6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0.58390910678892549</v>
      </c>
      <c r="AA41" s="147">
        <f t="shared" si="40"/>
        <v>68.901274601093206</v>
      </c>
      <c r="AB41" s="122">
        <f>AB11</f>
        <v>0.41609089321107451</v>
      </c>
      <c r="AC41" s="147">
        <f t="shared" si="41"/>
        <v>49.098725398906794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2930.3635413681368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3.3108113930881998E-2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9.1278073225827899E-2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80552.600000000006</v>
      </c>
      <c r="J65" s="39">
        <f>SUM(J37:J64)</f>
        <v>79725.452628291809</v>
      </c>
      <c r="K65" s="40">
        <f>SUM(K37:K64)</f>
        <v>0.99999999999999978</v>
      </c>
      <c r="L65" s="22">
        <f>SUM(L37:L64)</f>
        <v>0.89986632256920362</v>
      </c>
      <c r="M65" s="24">
        <f>SUM(M37:M64)</f>
        <v>0.90076174220221694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8062.3982297983821</v>
      </c>
      <c r="AB65" s="137"/>
      <c r="AC65" s="153">
        <f>SUM(AC37:AC64)</f>
        <v>7752.5908571252867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36014.289086923673</v>
      </c>
      <c r="AJ65" s="153">
        <f>SUM(AJ37:AJ64)</f>
        <v>15814.98908692367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22979.417440599296</v>
      </c>
      <c r="K73" s="40">
        <f>B73/B$76</f>
        <v>0.25330779060396541</v>
      </c>
      <c r="L73" s="22">
        <f t="shared" si="45"/>
        <v>0.25470244539366782</v>
      </c>
      <c r="M73" s="24">
        <f>J73/B$76</f>
        <v>0.25962825429279379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67236.200672199833</v>
      </c>
      <c r="J74" s="51">
        <f t="shared" si="44"/>
        <v>3673.0758598923521</v>
      </c>
      <c r="K74" s="40">
        <f>B74/B$76</f>
        <v>5.4225008815229715E-2</v>
      </c>
      <c r="L74" s="22">
        <f t="shared" si="45"/>
        <v>4.5529886625171323E-2</v>
      </c>
      <c r="M74" s="24">
        <f>J74/B$76</f>
        <v>4.1499497359058522E-2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6.4865167232817221E-13</v>
      </c>
      <c r="AB74" s="156"/>
      <c r="AC74" s="147">
        <f>AC30*$I$84/4</f>
        <v>1131.4651697784782</v>
      </c>
      <c r="AD74" s="156"/>
      <c r="AE74" s="147">
        <f>AE30*$I$84/4</f>
        <v>3128.314056424194</v>
      </c>
      <c r="AF74" s="156"/>
      <c r="AG74" s="147">
        <f>AG30*$I$84/4</f>
        <v>2357.5434611735677</v>
      </c>
      <c r="AH74" s="155"/>
      <c r="AI74" s="147">
        <f>SUM(AA74,AC74,AE74,AG74)</f>
        <v>6617.3226873762396</v>
      </c>
      <c r="AJ74" s="148">
        <f>(AA74+AC74)</f>
        <v>1131.4651697784789</v>
      </c>
      <c r="AK74" s="147">
        <f>(AE74+AG74)</f>
        <v>5485.8575175977621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13310.447431423909</v>
      </c>
      <c r="AB75" s="158"/>
      <c r="AC75" s="149">
        <f>AA75+AC65-SUM(AC70,AC74)</f>
        <v>16602.473286820677</v>
      </c>
      <c r="AD75" s="158"/>
      <c r="AE75" s="149">
        <f>AC75+AE65-SUM(AE70,AE74)</f>
        <v>17129.509398446444</v>
      </c>
      <c r="AF75" s="158"/>
      <c r="AG75" s="149">
        <f>IF(SUM(AG6:AG29)+((AG65-AG70-$J$75)*4/I$83)&lt;1,0,AG65-AG70-$J$75-(1-SUM(AG6:AG29))*I$83/4)</f>
        <v>8577.1490335755661</v>
      </c>
      <c r="AH75" s="134"/>
      <c r="AI75" s="149">
        <f>AI76-SUM(AI70,AI74)</f>
        <v>16080.567071747275</v>
      </c>
      <c r="AJ75" s="151">
        <f>AJ76-SUM(AJ70,AJ74)</f>
        <v>8025.3242532451113</v>
      </c>
      <c r="AK75" s="149">
        <f>AJ75+AK76-SUM(AK70,AK74)</f>
        <v>16080.567071747273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80552.599999999991</v>
      </c>
      <c r="J76" s="51">
        <f t="shared" si="44"/>
        <v>79725.452628291809</v>
      </c>
      <c r="K76" s="40">
        <f>SUM(K70:K75)</f>
        <v>0.99999999999999978</v>
      </c>
      <c r="L76" s="22">
        <f>SUM(L70:L75)</f>
        <v>0.89986632256920385</v>
      </c>
      <c r="M76" s="24">
        <f>SUM(M70:M75)</f>
        <v>0.90076174220221683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8062.3982297983821</v>
      </c>
      <c r="AB76" s="137"/>
      <c r="AC76" s="153">
        <f>AC65</f>
        <v>7752.5908571252867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36014.289086923673</v>
      </c>
      <c r="AJ76" s="154">
        <f>SUM(AA76,AC76)</f>
        <v>15814.98908692367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8577.1490335755661</v>
      </c>
      <c r="AB78" s="112"/>
      <c r="AC78" s="112">
        <f>IF(AA75&lt;0,0,AA75)</f>
        <v>13310.447431423909</v>
      </c>
      <c r="AD78" s="112"/>
      <c r="AE78" s="112">
        <f>AC75</f>
        <v>16602.473286820677</v>
      </c>
      <c r="AF78" s="112"/>
      <c r="AG78" s="112">
        <f>AE75</f>
        <v>17129.509398446444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13310.447431423909</v>
      </c>
      <c r="AB79" s="112"/>
      <c r="AC79" s="112">
        <f>AA79-AA74+AC65-AC70</f>
        <v>17733.938456599157</v>
      </c>
      <c r="AD79" s="112"/>
      <c r="AE79" s="112">
        <f>AC79-AC74+AE65-AE70</f>
        <v>20257.823454870639</v>
      </c>
      <c r="AF79" s="112"/>
      <c r="AG79" s="112">
        <f>AE79-AE74+AG65-AG70</f>
        <v>27015.259566496406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0.10410754148243966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0.10410754148243966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0.22589811861164305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0.22589811861164305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1.0276106135545324</v>
      </c>
      <c r="L110" s="22">
        <f t="shared" si="61"/>
        <v>0</v>
      </c>
      <c r="M110" s="227">
        <f t="shared" si="6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6.2097007870840883</v>
      </c>
      <c r="J119" s="24">
        <f>SUM(J91:J118)</f>
        <v>6.1459370142805927</v>
      </c>
      <c r="K119" s="22">
        <f>SUM(K91:K118)</f>
        <v>11.258022625128781</v>
      </c>
      <c r="L119" s="22">
        <f>SUM(L91:L118)</f>
        <v>6.1398275267124429</v>
      </c>
      <c r="M119" s="57">
        <f t="shared" si="49"/>
        <v>6.1459370142805927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1.7714550066369465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1.7378459957076</v>
      </c>
      <c r="M127" s="57">
        <f t="shared" si="63"/>
        <v>1.7714550066369465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5.1831559531871481</v>
      </c>
      <c r="J128" s="228">
        <f>(J30)</f>
        <v>0.28315289709075941</v>
      </c>
      <c r="K128" s="22">
        <f>(B128)</f>
        <v>0.61046637608966381</v>
      </c>
      <c r="L128" s="22">
        <f>IF(L124=L119,0,(L119-L124)/(B119-B124)*K128)</f>
        <v>0.31065242045195579</v>
      </c>
      <c r="M128" s="57">
        <f t="shared" si="63"/>
        <v>0.28315289709075941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6.2097007870840883</v>
      </c>
      <c r="J130" s="228">
        <f>(J119)</f>
        <v>6.1459370142805927</v>
      </c>
      <c r="K130" s="22">
        <f>(B130)</f>
        <v>11.258022625128781</v>
      </c>
      <c r="L130" s="22">
        <f>(L119)</f>
        <v>6.1398275267124429</v>
      </c>
      <c r="M130" s="57">
        <f t="shared" si="63"/>
        <v>6.1459370142805927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5766.3825153254002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23068.080000000002</v>
      </c>
      <c r="T8" s="222">
        <f>IF($B$81=0,0,(SUMIF($N$6:$N$28,$U8,M$6:M$28)+SUMIF($N$91:$N$118,$U8,M$91:M$118))*$I$83*Poor!$B$81/$B$81)</f>
        <v>23121.218930592855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0.33328919181194838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5.5548198635324723E-2</v>
      </c>
      <c r="AB8" s="125">
        <f>IF($Y8=0,0,AC8/$Y8)</f>
        <v>0.34859639510198809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5.8099399183664677E-2</v>
      </c>
      <c r="AD8" s="125">
        <f>IF($Y8=0,0,AE8/$Y8)</f>
        <v>0.31811441308606353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5.301906884767725E-2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4.1666666666666657E-2</v>
      </c>
      <c r="AJ8" s="120">
        <f t="shared" si="14"/>
        <v>5.6823798909494697E-2</v>
      </c>
      <c r="AK8" s="119">
        <f t="shared" si="15"/>
        <v>2.6509534423838625E-2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0.2163145346376131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0.2163145346376131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0.86525813855045242</v>
      </c>
      <c r="Z9" s="125">
        <f>IF($Y9=0,0,AA9/$Y9)</f>
        <v>0.33328919181194833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0.28838118570619109</v>
      </c>
      <c r="AB9" s="125">
        <f>IF($Y9=0,0,AC9/$Y9)</f>
        <v>0.34859639510198809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0.30162586793134427</v>
      </c>
      <c r="AD9" s="125">
        <f>IF($Y9=0,0,AE9/$Y9)</f>
        <v>0.31811441308606359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0.27525108491291705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0.2163145346376131</v>
      </c>
      <c r="AJ9" s="120">
        <f t="shared" si="14"/>
        <v>0.29500352681876768</v>
      </c>
      <c r="AK9" s="119">
        <f t="shared" si="15"/>
        <v>0.13762554245645853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2.935577806128481E-2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2.935577806128481E-2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0.11742311224513924</v>
      </c>
      <c r="Z10" s="125">
        <f>IF($Y10=0,0,AA10/$Y10)</f>
        <v>0.33328919181194833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3.9135854180226151E-2</v>
      </c>
      <c r="AB10" s="125">
        <f>IF($Y10=0,0,AC10/$Y10)</f>
        <v>0.34859639510198809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4.0933273630311656E-2</v>
      </c>
      <c r="AD10" s="125">
        <f>IF($Y10=0,0,AE10/$Y10)</f>
        <v>0.31811441308606353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3.7353984434601431E-2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2.935577806128481E-2</v>
      </c>
      <c r="AJ10" s="120">
        <f t="shared" si="14"/>
        <v>4.0034563905268904E-2</v>
      </c>
      <c r="AK10" s="119">
        <f t="shared" si="15"/>
        <v>1.8676992217300716E-2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20624.04</v>
      </c>
      <c r="T11" s="222">
        <f>IF($B$81=0,0,(SUMIF($N$6:$N$28,$U11,M$6:M$28)+SUMIF($N$91:$N$118,$U11,M$91:M$118))*$I$83*Poor!$B$81/$B$81)</f>
        <v>20639.774990740167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0.33328919181194833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8.0117337285655232E-2</v>
      </c>
      <c r="AB11" s="125">
        <f>IF($Y11=0,0,AC11/$Y11)</f>
        <v>0.34859639510198809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8.3796941662325694E-2</v>
      </c>
      <c r="AD11" s="125">
        <f>IF($Y11=0,0,AE11/$Y11)</f>
        <v>0.31811441308606359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7.646956563483355E-2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8.195713947399047E-2</v>
      </c>
      <c r="AK11" s="119">
        <f t="shared" si="15"/>
        <v>3.8234782817416775E-2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4.5063208925096264E-3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4.5063208925096264E-3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1.8025283570038506E-2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1.20769399919258E-2</v>
      </c>
      <c r="AF12" s="122">
        <f>1-SUM(Z12,AB12,AD12)</f>
        <v>0.32999999999999996</v>
      </c>
      <c r="AG12" s="121">
        <f>$M12*AF12*4</f>
        <v>5.9483435781127062E-3</v>
      </c>
      <c r="AH12" s="123">
        <f t="shared" si="12"/>
        <v>1</v>
      </c>
      <c r="AI12" s="184">
        <f t="shared" si="13"/>
        <v>4.5063208925096264E-3</v>
      </c>
      <c r="AJ12" s="120">
        <f t="shared" si="14"/>
        <v>0</v>
      </c>
      <c r="AK12" s="119">
        <f t="shared" si="15"/>
        <v>9.0126417850192528E-3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5744.7602995252619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352071.46420956356</v>
      </c>
      <c r="T23" s="179">
        <f>SUM(T7:T22)</f>
        <v>352053.24678976717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5.5470686497304127E-2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5.5470686497304127E-2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0.22188274598921651</v>
      </c>
      <c r="Z27" s="156">
        <f>Poor!Z27</f>
        <v>0.25</v>
      </c>
      <c r="AA27" s="121">
        <f t="shared" si="16"/>
        <v>5.5470686497304127E-2</v>
      </c>
      <c r="AB27" s="156">
        <f>Poor!AB27</f>
        <v>0.25</v>
      </c>
      <c r="AC27" s="121">
        <f t="shared" si="7"/>
        <v>5.5470686497304127E-2</v>
      </c>
      <c r="AD27" s="156">
        <f>Poor!AD27</f>
        <v>0.25</v>
      </c>
      <c r="AE27" s="121">
        <f t="shared" si="8"/>
        <v>5.5470686497304127E-2</v>
      </c>
      <c r="AF27" s="122">
        <f t="shared" si="10"/>
        <v>0.25</v>
      </c>
      <c r="AG27" s="121">
        <f t="shared" si="11"/>
        <v>5.5470686497304127E-2</v>
      </c>
      <c r="AH27" s="123">
        <f t="shared" si="12"/>
        <v>1</v>
      </c>
      <c r="AI27" s="184">
        <f t="shared" si="13"/>
        <v>5.5470686497304127E-2</v>
      </c>
      <c r="AJ27" s="120">
        <f t="shared" si="14"/>
        <v>5.5470686497304127E-2</v>
      </c>
      <c r="AK27" s="119">
        <f t="shared" si="15"/>
        <v>5.5470686497304127E-2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0.32434330187960753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0.32434330187960753</v>
      </c>
      <c r="N29" s="229"/>
      <c r="P29" s="22"/>
      <c r="V29" s="56"/>
      <c r="W29" s="110"/>
      <c r="X29" s="118"/>
      <c r="Y29" s="184">
        <f t="shared" si="9"/>
        <v>1.2973732075184301</v>
      </c>
      <c r="Z29" s="156">
        <f>Poor!Z29</f>
        <v>0.25</v>
      </c>
      <c r="AA29" s="121">
        <f t="shared" si="16"/>
        <v>0.32434330187960753</v>
      </c>
      <c r="AB29" s="156">
        <f>Poor!AB29</f>
        <v>0.25</v>
      </c>
      <c r="AC29" s="121">
        <f t="shared" si="7"/>
        <v>0.32434330187960753</v>
      </c>
      <c r="AD29" s="156">
        <f>Poor!AD29</f>
        <v>0.25</v>
      </c>
      <c r="AE29" s="121">
        <f t="shared" si="8"/>
        <v>0.32434330187960753</v>
      </c>
      <c r="AF29" s="122">
        <f t="shared" si="10"/>
        <v>0.25</v>
      </c>
      <c r="AG29" s="121">
        <f t="shared" si="11"/>
        <v>0.32434330187960753</v>
      </c>
      <c r="AH29" s="123">
        <f t="shared" si="12"/>
        <v>1</v>
      </c>
      <c r="AI29" s="184">
        <f t="shared" si="13"/>
        <v>0.32434330187960753</v>
      </c>
      <c r="AJ29" s="120">
        <f t="shared" si="14"/>
        <v>0.32434330187960753</v>
      </c>
      <c r="AK29" s="119">
        <f t="shared" si="15"/>
        <v>0.32434330187960753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25.241709193974494</v>
      </c>
      <c r="J30" s="231">
        <f>IF(I$32&lt;=1,I30,1-SUM(J6:J29))</f>
        <v>6.576569841358193E-2</v>
      </c>
      <c r="K30" s="22">
        <f t="shared" si="4"/>
        <v>0.58156372602739725</v>
      </c>
      <c r="L30" s="22">
        <f>IF(L124=L119,0,IF(K30="",0,(L119-L124)/(B119-B124)*K30))</f>
        <v>0.33309201728539301</v>
      </c>
      <c r="M30" s="175">
        <f t="shared" si="6"/>
        <v>6.576569841358193E-2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0.26306279365432772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0.1410963334308892</v>
      </c>
      <c r="AE30" s="188">
        <f>IF(AE79*4/$I$83+SUM(AE6:AE29)&lt;1,AE79*4/$I$83,1-SUM(AE6:AE29))</f>
        <v>3.7117195646712231E-2</v>
      </c>
      <c r="AF30" s="122">
        <f>IF($Y30=0,0,AG30/($Y$30))</f>
        <v>0.85890366656911166</v>
      </c>
      <c r="AG30" s="188">
        <f>IF(AG79*4/$I$83+SUM(AG6:AG29)&lt;1,AG79*4/$I$83,1-SUM(AG6:AG29))</f>
        <v>0.22594559800761571</v>
      </c>
      <c r="AH30" s="123">
        <f t="shared" si="12"/>
        <v>1.0000000000000009</v>
      </c>
      <c r="AI30" s="184">
        <f t="shared" si="13"/>
        <v>6.5765698413581986E-2</v>
      </c>
      <c r="AJ30" s="120">
        <f t="shared" si="14"/>
        <v>0</v>
      </c>
      <c r="AK30" s="119">
        <f t="shared" si="15"/>
        <v>0.13153139682716397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-0.27084359537173586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26.445338866884935</v>
      </c>
      <c r="J32" s="17"/>
      <c r="L32" s="22">
        <f>SUM(L6:L30)</f>
        <v>1.2708435953717359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-1.3228906662099462E-2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3977.9124922834726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1.3249377147709058E-2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0.33328919181194838</v>
      </c>
      <c r="AA39" s="147">
        <f>$J39*Z39</f>
        <v>1325.7952396518119</v>
      </c>
      <c r="AB39" s="122">
        <f>AB8</f>
        <v>0.34859639510198809</v>
      </c>
      <c r="AC39" s="147">
        <f>$J39*AB39</f>
        <v>1386.6859548411835</v>
      </c>
      <c r="AD39" s="122">
        <f>AD8</f>
        <v>0.31811441308606353</v>
      </c>
      <c r="AE39" s="147">
        <f>$J39*AD39</f>
        <v>1265.4312977904772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3977.9124922834726</v>
      </c>
      <c r="AJ39" s="148">
        <f t="shared" si="36"/>
        <v>2712.4811944929952</v>
      </c>
      <c r="AK39" s="147">
        <f t="shared" si="37"/>
        <v>1265.4312977904772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0.33328919181194833</v>
      </c>
      <c r="AA40" s="147">
        <f>$J40*Z40</f>
        <v>283.16249736343133</v>
      </c>
      <c r="AB40" s="122">
        <f>AB9</f>
        <v>0.34859639510198809</v>
      </c>
      <c r="AC40" s="147">
        <f>$J40*AB40</f>
        <v>296.16749727864908</v>
      </c>
      <c r="AD40" s="122">
        <f>AD9</f>
        <v>0.31811441308606359</v>
      </c>
      <c r="AE40" s="147">
        <f>$J40*AD40</f>
        <v>270.27000535791962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849.60000000000014</v>
      </c>
      <c r="AJ40" s="148">
        <f t="shared" si="36"/>
        <v>579.32999464208046</v>
      </c>
      <c r="AK40" s="147">
        <f t="shared" si="37"/>
        <v>270.27000535791962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0.33328919181194833</v>
      </c>
      <c r="AA41" s="147">
        <f>$J41*Z41</f>
        <v>159.27890476693011</v>
      </c>
      <c r="AB41" s="122">
        <f>AB11</f>
        <v>0.34859639510198809</v>
      </c>
      <c r="AC41" s="147">
        <f>$J41*AB41</f>
        <v>166.59421721924011</v>
      </c>
      <c r="AD41" s="122">
        <f>AD11</f>
        <v>0.31811441308606359</v>
      </c>
      <c r="AE41" s="147">
        <f>$J41*AD41</f>
        <v>152.02687801382979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</v>
      </c>
      <c r="AJ41" s="148">
        <f t="shared" si="36"/>
        <v>325.87312198617019</v>
      </c>
      <c r="AK41" s="147">
        <f t="shared" si="37"/>
        <v>152.02687801382979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1391.5685804097275</v>
      </c>
      <c r="K42" s="40">
        <f t="shared" si="28"/>
        <v>2.9976625820878908E-3</v>
      </c>
      <c r="L42" s="22">
        <f t="shared" si="29"/>
        <v>4.5744331002661211E-3</v>
      </c>
      <c r="M42" s="24">
        <f t="shared" si="30"/>
        <v>4.6349478487815602E-3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347.89214510243187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695.78429020486374</v>
      </c>
      <c r="AF42" s="122">
        <f t="shared" si="31"/>
        <v>0.25</v>
      </c>
      <c r="AG42" s="147">
        <f t="shared" si="34"/>
        <v>347.89214510243187</v>
      </c>
      <c r="AH42" s="123">
        <f t="shared" si="35"/>
        <v>1</v>
      </c>
      <c r="AI42" s="112">
        <f t="shared" si="35"/>
        <v>1391.5685804097275</v>
      </c>
      <c r="AJ42" s="148">
        <f t="shared" si="36"/>
        <v>347.89214510243187</v>
      </c>
      <c r="AK42" s="147">
        <f t="shared" si="37"/>
        <v>1043.6764353072956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208.33315776057546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6.9390279069676732E-4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52.083289440143865</v>
      </c>
      <c r="AB43" s="156">
        <f>Poor!AB43</f>
        <v>0.25</v>
      </c>
      <c r="AC43" s="147">
        <f t="shared" si="39"/>
        <v>52.083289440143865</v>
      </c>
      <c r="AD43" s="156">
        <f>Poor!AD43</f>
        <v>0.25</v>
      </c>
      <c r="AE43" s="147">
        <f t="shared" si="40"/>
        <v>52.083289440143865</v>
      </c>
      <c r="AF43" s="122">
        <f t="shared" si="31"/>
        <v>0.25</v>
      </c>
      <c r="AG43" s="147">
        <f t="shared" si="34"/>
        <v>52.083289440143865</v>
      </c>
      <c r="AH43" s="123">
        <f t="shared" si="35"/>
        <v>1</v>
      </c>
      <c r="AI43" s="112">
        <f t="shared" si="35"/>
        <v>208.33315776057546</v>
      </c>
      <c r="AJ43" s="148">
        <f t="shared" si="36"/>
        <v>104.16657888028773</v>
      </c>
      <c r="AK43" s="147">
        <f t="shared" si="37"/>
        <v>104.16657888028773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2127.7807039904092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7.0870762213785339E-3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531.94517599760229</v>
      </c>
      <c r="AB44" s="156">
        <f>Poor!AB44</f>
        <v>0.25</v>
      </c>
      <c r="AC44" s="147">
        <f t="shared" si="39"/>
        <v>531.94517599760229</v>
      </c>
      <c r="AD44" s="156">
        <f>Poor!AD44</f>
        <v>0.25</v>
      </c>
      <c r="AE44" s="147">
        <f t="shared" si="40"/>
        <v>531.94517599760229</v>
      </c>
      <c r="AF44" s="122">
        <f t="shared" si="31"/>
        <v>0.25</v>
      </c>
      <c r="AG44" s="147">
        <f t="shared" si="34"/>
        <v>531.94517599760229</v>
      </c>
      <c r="AH44" s="123">
        <f t="shared" si="35"/>
        <v>1</v>
      </c>
      <c r="AI44" s="112">
        <f t="shared" si="35"/>
        <v>2127.7807039904092</v>
      </c>
      <c r="AJ44" s="148">
        <f t="shared" si="36"/>
        <v>1063.8903519952046</v>
      </c>
      <c r="AK44" s="147">
        <f t="shared" si="37"/>
        <v>1063.8903519952046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4787.3002496043846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1.5945234252732317E-2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2.6908764811235799E-2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283961.09999999998</v>
      </c>
      <c r="J65" s="39">
        <f>SUM(J37:J64)</f>
        <v>287384.39518404863</v>
      </c>
      <c r="K65" s="40">
        <f>SUM(K37:K64)</f>
        <v>1</v>
      </c>
      <c r="L65" s="22">
        <f>SUM(L37:L64)</f>
        <v>0.95705274115373318</v>
      </c>
      <c r="M65" s="24">
        <f>SUM(M37:M64)</f>
        <v>0.95720160902131335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16575.157252322351</v>
      </c>
      <c r="AB65" s="137"/>
      <c r="AC65" s="153">
        <f>SUM(AC37:AC64)</f>
        <v>16308.476134776822</v>
      </c>
      <c r="AD65" s="137"/>
      <c r="AE65" s="153">
        <f>SUM(AE37:AE64)</f>
        <v>16842.540936804839</v>
      </c>
      <c r="AF65" s="137"/>
      <c r="AG65" s="153">
        <f>SUM(AG37:AG64)</f>
        <v>26701.320610540177</v>
      </c>
      <c r="AH65" s="137"/>
      <c r="AI65" s="153">
        <f>SUM(AI37:AI64)</f>
        <v>76427.494934444199</v>
      </c>
      <c r="AJ65" s="153">
        <f>SUM(AJ37:AJ64)</f>
        <v>32883.633387099173</v>
      </c>
      <c r="AK65" s="153">
        <f>SUM(AK37:AK64)</f>
        <v>43543.861547345019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272864.10056016658</v>
      </c>
      <c r="J74" s="51">
        <f>J128*I$83</f>
        <v>710.93038935798074</v>
      </c>
      <c r="K74" s="40">
        <f>B74/B$76</f>
        <v>1.26905734201907E-2</v>
      </c>
      <c r="L74" s="22">
        <f>(L128*G$37*F$9/F$7)/B$130</f>
        <v>1.1993117941449709E-2</v>
      </c>
      <c r="M74" s="24">
        <f>J74/B$76</f>
        <v>2.3679215851639935E-3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100.30967126300554</v>
      </c>
      <c r="AF74" s="156"/>
      <c r="AG74" s="147">
        <f>AG30*$I$83/4</f>
        <v>610.62071809497581</v>
      </c>
      <c r="AH74" s="155"/>
      <c r="AI74" s="147">
        <f>SUM(AA74,AC74,AE74,AG74)</f>
        <v>710.93038935798131</v>
      </c>
      <c r="AJ74" s="148">
        <f>(AA74+AC74)</f>
        <v>0</v>
      </c>
      <c r="AK74" s="147">
        <f>(AE74+AG74)</f>
        <v>710.93038935798131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191629.29868819052</v>
      </c>
      <c r="K75" s="40">
        <f>B75/B$76</f>
        <v>0.72395446065450009</v>
      </c>
      <c r="L75" s="22">
        <f>(L129*G$37*F$9/F$7)/B$130</f>
        <v>0.62849257834205963</v>
      </c>
      <c r="M75" s="24">
        <f>J75/B$76</f>
        <v>0.63826664256592547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13800.907392363986</v>
      </c>
      <c r="AB75" s="158"/>
      <c r="AC75" s="149">
        <f>AA75+AC65-SUM(AC70,AC74)</f>
        <v>27335.133667182447</v>
      </c>
      <c r="AD75" s="158"/>
      <c r="AE75" s="149">
        <f>AC75+AE65-SUM(AE70,AE74)</f>
        <v>41303.115072765911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64619.565105252739</v>
      </c>
      <c r="AJ75" s="151">
        <f>AJ76-SUM(AJ70,AJ74)</f>
        <v>27335.133667182443</v>
      </c>
      <c r="AK75" s="149">
        <f>AJ75+AK76-SUM(AK70,AK74)</f>
        <v>64619.565105252746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283961.10000000003</v>
      </c>
      <c r="J76" s="51">
        <f>J130*I$83</f>
        <v>287384.39518404863</v>
      </c>
      <c r="K76" s="40">
        <f>SUM(K70:K75)</f>
        <v>0.90648402989286547</v>
      </c>
      <c r="L76" s="22">
        <f>SUM(L70:L75)</f>
        <v>0.8467038964273147</v>
      </c>
      <c r="M76" s="24">
        <f>SUM(M70:M75)</f>
        <v>0.84685276429489476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16575.157252322351</v>
      </c>
      <c r="AB76" s="137"/>
      <c r="AC76" s="153">
        <f>AC65</f>
        <v>16308.476134776822</v>
      </c>
      <c r="AD76" s="137"/>
      <c r="AE76" s="153">
        <f>AE65</f>
        <v>16842.540936804839</v>
      </c>
      <c r="AF76" s="137"/>
      <c r="AG76" s="153">
        <f>AG65</f>
        <v>26701.320610540177</v>
      </c>
      <c r="AH76" s="137"/>
      <c r="AI76" s="153">
        <f>SUM(AA76,AC76,AE76,AG76)</f>
        <v>76427.494934444185</v>
      </c>
      <c r="AJ76" s="154">
        <f>SUM(AA76,AC76)</f>
        <v>32883.633387099173</v>
      </c>
      <c r="AK76" s="154">
        <f>SUM(AE76,AG76)</f>
        <v>43543.861547345019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13800.907392363986</v>
      </c>
      <c r="AD78" s="112"/>
      <c r="AE78" s="112">
        <f>AC75</f>
        <v>27335.133667182447</v>
      </c>
      <c r="AF78" s="112"/>
      <c r="AG78" s="112">
        <f>AE75</f>
        <v>41303.115072765911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13800.907392363986</v>
      </c>
      <c r="AB79" s="112"/>
      <c r="AC79" s="112">
        <f>AA79-AA74+AC65-AC70</f>
        <v>27335.133667182447</v>
      </c>
      <c r="AD79" s="112"/>
      <c r="AE79" s="112">
        <f>AC79-AC74+AE65-AE70</f>
        <v>41403.424744028918</v>
      </c>
      <c r="AF79" s="112"/>
      <c r="AG79" s="112">
        <f>AE79-AE74+AG65-AG70</f>
        <v>65230.185823347725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0.36798285345403087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0.36798285345403087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0.12872917088786862</v>
      </c>
      <c r="K96" s="22">
        <f t="shared" si="61"/>
        <v>0.1373721866529925</v>
      </c>
      <c r="L96" s="22">
        <f t="shared" si="62"/>
        <v>0.12704845868634337</v>
      </c>
      <c r="M96" s="227">
        <f t="shared" si="63"/>
        <v>0.12872917088786862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1.9272176049759667E-2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1.9272176049759667E-2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0.19683359462976854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0.19683359462976854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0.44285650064146209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0.44285650064146209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1.2331327362654385</v>
      </c>
      <c r="L110" s="22">
        <f t="shared" si="62"/>
        <v>0</v>
      </c>
      <c r="M110" s="227">
        <f t="shared" si="63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26.268254027871432</v>
      </c>
      <c r="J119" s="24">
        <f>SUM(J91:J118)</f>
        <v>26.584931162545782</v>
      </c>
      <c r="K119" s="22">
        <f>SUM(K91:K118)</f>
        <v>45.826434060271026</v>
      </c>
      <c r="L119" s="22">
        <f>SUM(L91:L118)</f>
        <v>26.580796566474664</v>
      </c>
      <c r="M119" s="57">
        <f t="shared" si="50"/>
        <v>26.584931162545782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25.241709193974494</v>
      </c>
      <c r="J128" s="228">
        <f>(J30)</f>
        <v>6.576569841358193E-2</v>
      </c>
      <c r="K128" s="22">
        <f>(B128)</f>
        <v>0.58156372602739725</v>
      </c>
      <c r="L128" s="22">
        <f>IF(L124=L119,0,(L119-L124)/(B119-B124)*K128)</f>
        <v>0.33309201728539301</v>
      </c>
      <c r="M128" s="57">
        <f t="shared" si="90"/>
        <v>6.576569841358193E-2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17.726960126313912</v>
      </c>
      <c r="K129" s="29">
        <f>(B129)</f>
        <v>33.176251353822522</v>
      </c>
      <c r="L129" s="60">
        <f>IF(SUM(L124:L128)&gt;L130,0,L130-SUM(L124:L128))</f>
        <v>17.455499211370981</v>
      </c>
      <c r="M129" s="57">
        <f t="shared" si="90"/>
        <v>17.726960126313912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26.268254027871432</v>
      </c>
      <c r="J130" s="228">
        <f>(J119)</f>
        <v>26.584931162545782</v>
      </c>
      <c r="K130" s="22">
        <f>(B130)</f>
        <v>45.826434060271026</v>
      </c>
      <c r="L130" s="22">
        <f>(L119)</f>
        <v>26.580796566474664</v>
      </c>
      <c r="M130" s="57">
        <f t="shared" si="90"/>
        <v>26.584931162545782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4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5766.3825153254002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23121.218930592855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631.29999999999995</v>
      </c>
      <c r="G76" s="109">
        <f>Poor!T11</f>
        <v>2688.04</v>
      </c>
      <c r="H76" s="109">
        <f>Middle!T11</f>
        <v>8076.489086923666</v>
      </c>
      <c r="I76" s="109">
        <f>Rich!T11</f>
        <v>20639.774990740167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948.5442690890826</v>
      </c>
      <c r="G77" s="109">
        <f>Poor!T12</f>
        <v>948.5442690890826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2520.1592453237122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3455.9999999999995</v>
      </c>
      <c r="G81" s="109">
        <f>Poor!T16</f>
        <v>3935.9999999999986</v>
      </c>
      <c r="H81" s="109">
        <f>Middle!T16</f>
        <v>2930.3635413681368</v>
      </c>
      <c r="I81" s="109">
        <f>Rich!T16</f>
        <v>5744.7602995252619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18379.597905968199</v>
      </c>
      <c r="G88" s="109">
        <f>Poor!T23</f>
        <v>31372.180657936202</v>
      </c>
      <c r="H88" s="109">
        <f>Middle!T23</f>
        <v>85794.018233547409</v>
      </c>
      <c r="I88" s="109">
        <f>Rich!T23</f>
        <v>352053.24678976717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4990.5415323550442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20193.661532355043</v>
      </c>
      <c r="G99" s="239">
        <f t="shared" si="0"/>
        <v>7201.0787803870408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44747.101532355045</v>
      </c>
      <c r="G100" s="239">
        <f t="shared" si="0"/>
        <v>31754.518780387043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2016-08-12T04:05:58Z</dcterms:modified>
  <cp:category/>
</cp:coreProperties>
</file>