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6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6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6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<sst xmlns="http://schemas.openxmlformats.org/spreadsheetml/2006/main" count="790" uniqueCount="145">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</sst>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5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5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0.000102675597196701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0.0227422565676414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0.191949339839101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0.316272132947333</c:v>
                </c:pt>
                <c:pt idx="2" formatCode="0.0%">
                  <c:v>0.634917735990881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371256"/>
        <c:axId val="2138364264"/>
      </c:barChart>
      <c:catAx>
        <c:axId val="213837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36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36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37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0.00993636281675993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0.287970961949771</c:v>
                </c:pt>
                <c:pt idx="2">
                  <c:v>0.287970961949771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0.0342237746806424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314664"/>
        <c:axId val="-2121320712"/>
      </c:barChart>
      <c:catAx>
        <c:axId val="-212131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32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32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31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0.00822444398106525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0.00124124994857517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0.000141075476224218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0.00137916660952797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0.481064891173465</c:v>
                </c:pt>
                <c:pt idx="2">
                  <c:v>0.481064891173465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0.0160326597035843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99809336"/>
        <c:axId val="1699812360"/>
      </c:barChart>
      <c:catAx>
        <c:axId val="169980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981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981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980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0.090466294744367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9625112"/>
        <c:axId val="1529705960"/>
      </c:barChart>
      <c:catAx>
        <c:axId val="152962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05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9705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25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 with Grants</a:t>
            </a:r>
          </a:p>
        </c:rich>
      </c:tx>
      <c:layout>
        <c:manualLayout>
          <c:xMode val="edge"/>
          <c:yMode val="edge"/>
          <c:x val="0.321899147321611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1405.083430154236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4724.512307640801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5127.456781888138</c:v>
                </c:pt>
                <c:pt idx="7">
                  <c:v>13094.5885074838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945.3423999605687</c:v>
                </c:pt>
                <c:pt idx="5">
                  <c:v>811.8687182067402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1159.96407426443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25488.0</c:v>
                </c:pt>
                <c:pt idx="7">
                  <c:v>173318.4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3050.15329905199</c:v>
                </c:pt>
                <c:pt idx="5">
                  <c:v>3472.271947437415</c:v>
                </c:pt>
                <c:pt idx="6">
                  <c:v>3029.109473934951</c:v>
                </c:pt>
                <c:pt idx="7">
                  <c:v>5776.258002930683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499992"/>
        <c:axId val="-212150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99992"/>
        <c:axId val="-2121506824"/>
      </c:lineChart>
      <c:catAx>
        <c:axId val="-212149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50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50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49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998104"/>
        <c:axId val="16544753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98104"/>
        <c:axId val="1654475320"/>
      </c:lineChart>
      <c:catAx>
        <c:axId val="165399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447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447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399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579064"/>
        <c:axId val="-21215837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79064"/>
        <c:axId val="-2121583704"/>
      </c:lineChart>
      <c:catAx>
        <c:axId val="-2121579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58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58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57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0.19961409623158</c:v>
                </c:pt>
                <c:pt idx="2">
                  <c:v>0.112427904867671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1.29252028849048E-16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0.0920509076670892</c:v>
                </c:pt>
                <c:pt idx="2">
                  <c:v>0.184792613080541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-0.141493179401678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4163368"/>
        <c:axId val="1699896328"/>
      </c:barChart>
      <c:catAx>
        <c:axId val="165416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9989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989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416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0.0437120013408844</c:v>
                </c:pt>
                <c:pt idx="2">
                  <c:v>0.089975587316409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0.226598267466135</c:v>
                </c:pt>
                <c:pt idx="2">
                  <c:v>0.182623334956867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0.0437120013408844</c:v>
                </c:pt>
                <c:pt idx="2">
                  <c:v>0.089975587316409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4607240"/>
        <c:axId val="1654593448"/>
      </c:barChart>
      <c:catAx>
        <c:axId val="165460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45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45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460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0.00938160689006225</c:v>
                </c:pt>
                <c:pt idx="2">
                  <c:v>0.01699778099662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0.430753413464804</c:v>
                </c:pt>
                <c:pt idx="2">
                  <c:v>0.42311691858679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0.00938160689006225</c:v>
                </c:pt>
                <c:pt idx="2">
                  <c:v>0.01699778099662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4526024"/>
        <c:axId val="1654529544"/>
      </c:barChart>
      <c:catAx>
        <c:axId val="165452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452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452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452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0.0234073887987422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0.142597407215124</c:v>
                </c:pt>
                <c:pt idx="2">
                  <c:v>0.249500177409243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-0.427510909432844</c:v>
                </c:pt>
                <c:pt idx="2">
                  <c:v>-0.0728489738978941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4447576"/>
        <c:axId val="1654442856"/>
      </c:barChart>
      <c:catAx>
        <c:axId val="165444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444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444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444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0.0474916212121528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0.016905918103477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0.227603157584586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0.298248909142628</c:v>
                </c:pt>
                <c:pt idx="2" formatCode="0.0%">
                  <c:v>0.61390739255599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0089416"/>
        <c:axId val="1700081640"/>
      </c:barChart>
      <c:catAx>
        <c:axId val="17000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008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08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008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806440"/>
        <c:axId val="-21218124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06440"/>
        <c:axId val="-21218124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06440"/>
        <c:axId val="-2121812408"/>
      </c:scatterChart>
      <c:catAx>
        <c:axId val="-2121806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812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1812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8064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200072"/>
        <c:axId val="16541879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00072"/>
        <c:axId val="1654187960"/>
      </c:lineChart>
      <c:catAx>
        <c:axId val="1654200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4187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4187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42000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06824"/>
        <c:axId val="16538911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94424"/>
        <c:axId val="1653897416"/>
      </c:scatterChart>
      <c:valAx>
        <c:axId val="16539068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3891128"/>
        <c:crosses val="autoZero"/>
        <c:crossBetween val="midCat"/>
      </c:valAx>
      <c:valAx>
        <c:axId val="1653891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3906824"/>
        <c:crosses val="autoZero"/>
        <c:crossBetween val="midCat"/>
      </c:valAx>
      <c:valAx>
        <c:axId val="16538944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653897416"/>
        <c:crosses val="autoZero"/>
        <c:crossBetween val="midCat"/>
      </c:valAx>
      <c:valAx>
        <c:axId val="16538974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38944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48664"/>
        <c:axId val="-21220559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48664"/>
        <c:axId val="-2122055976"/>
      </c:lineChart>
      <c:catAx>
        <c:axId val="-212204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055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2055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0486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0.0626410343180051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0.00582753271494799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0.000978245761988352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0.0539738223739569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0.321661723295901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0.260560963349589</c:v>
                </c:pt>
                <c:pt idx="2" formatCode="0.0%">
                  <c:v>0.472089509098505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0755944"/>
        <c:axId val="1700752904"/>
      </c:barChart>
      <c:catAx>
        <c:axId val="170075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0752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752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075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0.000103483960688081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0.370627469761444</c:v>
                </c:pt>
                <c:pt idx="2" formatCode="0.0%">
                  <c:v>0.64848037046505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0692264"/>
        <c:axId val="1700689720"/>
      </c:barChart>
      <c:catAx>
        <c:axId val="170069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068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68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069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0.000410702388786805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0.191949339839101</c:v>
                </c:pt>
                <c:pt idx="1">
                  <c:v>0.191949339839101</c:v>
                </c:pt>
                <c:pt idx="2">
                  <c:v>0.191949339839101</c:v>
                </c:pt>
                <c:pt idx="3">
                  <c:v>0.191949339839101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0.47326833967027</c:v>
                </c:pt>
                <c:pt idx="1">
                  <c:v>0.692087862293765</c:v>
                </c:pt>
                <c:pt idx="2">
                  <c:v>0.692087862293765</c:v>
                </c:pt>
                <c:pt idx="3">
                  <c:v>0.682226879705725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0451512"/>
        <c:axId val="1700445768"/>
      </c:barChart>
      <c:catAx>
        <c:axId val="1700451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457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00445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5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-0.316499453305441</c:v>
                </c:pt>
                <c:pt idx="1">
                  <c:v>-0.456585164633061</c:v>
                </c:pt>
                <c:pt idx="2">
                  <c:v>-0.456585164633061</c:v>
                </c:pt>
                <c:pt idx="3">
                  <c:v>-0.456585164633061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1696664"/>
        <c:axId val="1701716776"/>
      </c:barChart>
      <c:catAx>
        <c:axId val="170169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7167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01716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69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0.0558691431939765</c:v>
                </c:pt>
                <c:pt idx="1">
                  <c:v>0.0335290845757799</c:v>
                </c:pt>
                <c:pt idx="2">
                  <c:v>0.0446991138848782</c:v>
                </c:pt>
                <c:pt idx="3">
                  <c:v>0.0558691431939766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0.227603157584586</c:v>
                </c:pt>
                <c:pt idx="1">
                  <c:v>0.227603157584586</c:v>
                </c:pt>
                <c:pt idx="2">
                  <c:v>0.227603157584586</c:v>
                </c:pt>
                <c:pt idx="3">
                  <c:v>0.227603157584586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0.458252456103431</c:v>
                </c:pt>
                <c:pt idx="1">
                  <c:v>0.694234587282857</c:v>
                </c:pt>
                <c:pt idx="2">
                  <c:v>0.678559707164294</c:v>
                </c:pt>
                <c:pt idx="3">
                  <c:v>0.624582819673377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0279416"/>
        <c:axId val="1700274696"/>
      </c:barChart>
      <c:catAx>
        <c:axId val="1700279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274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0027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27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0.25056413727202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0.0233101308597919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0.00262169864212879</c:v>
                </c:pt>
                <c:pt idx="3">
                  <c:v>0.00129128440582463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0.321661723295901</c:v>
                </c:pt>
                <c:pt idx="1">
                  <c:v>0.321661723295901</c:v>
                </c:pt>
                <c:pt idx="2">
                  <c:v>0.321661723295901</c:v>
                </c:pt>
                <c:pt idx="3">
                  <c:v>0.321661723295901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0.231552799684424</c:v>
                </c:pt>
                <c:pt idx="1">
                  <c:v>0.591091751386182</c:v>
                </c:pt>
                <c:pt idx="2">
                  <c:v>0.584070315120143</c:v>
                </c:pt>
                <c:pt idx="3">
                  <c:v>0.481643170203272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0082584"/>
        <c:axId val="1700077784"/>
      </c:barChart>
      <c:catAx>
        <c:axId val="1700082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077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0007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08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0.0181857408968724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0.0779061945342905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1764616"/>
        <c:axId val="1700185176"/>
      </c:barChart>
      <c:catAx>
        <c:axId val="170176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18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18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76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945.34239996056874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1.0348396068808061E-4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1.0348396068808061E-4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3050.1532990519895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35756.79441464573</v>
      </c>
      <c r="T23" s="179">
        <f>SUM(T7:T22)</f>
        <v>36117.090113658283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1.662413331286456</v>
      </c>
      <c r="J30" s="231">
        <f>IF(I$32&lt;=1,I30,1-SUM(J6:J29))</f>
        <v>0.64848037046504969</v>
      </c>
      <c r="K30" s="22">
        <f t="shared" si="4"/>
        <v>0.71161696139476982</v>
      </c>
      <c r="L30" s="22">
        <f>IF(L124=L119,0,IF(K30="",0,(L119-L124)/(B119-B124)*K30))</f>
        <v>0.37062746976144373</v>
      </c>
      <c r="M30" s="175">
        <f t="shared" si="6"/>
        <v>0.64848037046504969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2.5939214818601988</v>
      </c>
      <c r="Z30" s="122">
        <f>IF($Y30=0,0,AA30/($Y$30))</f>
        <v>-0.12201581872033676</v>
      </c>
      <c r="AA30" s="188">
        <f>IF(AA79*4/$I$83+SUM(AA6:AA29)&lt;1,AA79*4/$I$83,1-SUM(AA6:AA29))</f>
        <v>-0.31649945330544133</v>
      </c>
      <c r="AB30" s="122">
        <f>IF($Y30=0,0,AC30/($Y$30))</f>
        <v>-0.17602119718196962</v>
      </c>
      <c r="AC30" s="188">
        <f>IF(AC79*4/$I$83+SUM(AC6:AC29)&lt;1,AC79*4/$I$83,1-SUM(AC6:AC29))</f>
        <v>-0.45658516463306092</v>
      </c>
      <c r="AD30" s="122">
        <f>IF($Y30=0,0,AE30/($Y$30))</f>
        <v>-0.17602119718196962</v>
      </c>
      <c r="AE30" s="188">
        <f>IF(AE79*4/$I$83+SUM(AE6:AE29)&lt;1,AE79*4/$I$83,1-SUM(AE6:AE29))</f>
        <v>-0.45658516463306092</v>
      </c>
      <c r="AF30" s="122">
        <f>IF($Y30=0,0,AG30/($Y$30))</f>
        <v>-0.17602119718196962</v>
      </c>
      <c r="AG30" s="188">
        <f>IF(AG79*4/$I$83+SUM(AG6:AG29)&lt;1,AG79*4/$I$83,1-SUM(AG6:AG29))</f>
        <v>-0.45658516463306092</v>
      </c>
      <c r="AH30" s="123">
        <f t="shared" si="12"/>
        <v>-0.65007941026624561</v>
      </c>
      <c r="AI30" s="184">
        <f t="shared" si="13"/>
        <v>-0.42156373680115605</v>
      </c>
      <c r="AJ30" s="120">
        <f t="shared" si="14"/>
        <v>-0.38654230896925112</v>
      </c>
      <c r="AK30" s="119">
        <f t="shared" si="15"/>
        <v>-0.45658516463306092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0.28292944399648778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2816.4650236775124</v>
      </c>
      <c r="T31" s="234">
        <f>IF(T25&gt;T$23,T25-T$23,0)</f>
        <v>2456.1693246649593</v>
      </c>
      <c r="U31" s="242">
        <f>T31/$B$81</f>
        <v>409.36155411082655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0.85110337983578677</v>
      </c>
      <c r="AB31" s="131"/>
      <c r="AC31" s="133">
        <f>1-AC32+IF($Y32&lt;0,$Y32/4,0)</f>
        <v>1.1431623283572627</v>
      </c>
      <c r="AD31" s="134"/>
      <c r="AE31" s="133">
        <f>1-AE32+IF($Y32&lt;0,$Y32/4,0)</f>
        <v>1.1431623283572627</v>
      </c>
      <c r="AF31" s="134"/>
      <c r="AG31" s="133">
        <f>1-AG32+IF($Y32&lt;0,$Y32/4,0)</f>
        <v>1.1431623283572627</v>
      </c>
      <c r="AH31" s="123"/>
      <c r="AI31" s="183">
        <f>SUM(AA31,AC31,AE31,AG31)/4</f>
        <v>1.0701475912268936</v>
      </c>
      <c r="AJ31" s="135">
        <f t="shared" si="14"/>
        <v>0.99713285409652475</v>
      </c>
      <c r="AK31" s="136">
        <f t="shared" si="15"/>
        <v>1.1431623283572627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2.0141797889715525</v>
      </c>
      <c r="J32" s="17"/>
      <c r="L32" s="22">
        <f>SUM(L6:L30)</f>
        <v>0.71707055600351222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27369.905023677515</v>
      </c>
      <c r="T32" s="234">
        <f t="shared" si="24"/>
        <v>27009.609324664962</v>
      </c>
      <c r="U32" s="56"/>
      <c r="V32" s="56"/>
      <c r="W32" s="110"/>
      <c r="X32" s="118"/>
      <c r="Y32" s="115">
        <f>SUM(Y6:Y31)</f>
        <v>3.9995860641572478</v>
      </c>
      <c r="Z32" s="137"/>
      <c r="AA32" s="138">
        <f>SUM(AA6:AA30)</f>
        <v>0.14889662016421318</v>
      </c>
      <c r="AB32" s="137"/>
      <c r="AC32" s="139">
        <f>SUM(AC6:AC30)</f>
        <v>-0.14316232835726278</v>
      </c>
      <c r="AD32" s="137"/>
      <c r="AE32" s="139">
        <f>SUM(AE6:AE30)</f>
        <v>-0.14316232835726278</v>
      </c>
      <c r="AF32" s="137"/>
      <c r="AG32" s="139">
        <f>SUM(AG6:AG30)</f>
        <v>-0.14316232835726278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0.29540503307637062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2456.169324664967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3050.1532990519895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9.0466294744367057E-2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34881.321809784466</v>
      </c>
      <c r="J65" s="39">
        <f>SUM(J37:J64)</f>
        <v>34475.475108836465</v>
      </c>
      <c r="K65" s="40">
        <f>SUM(K37:K64)</f>
        <v>1</v>
      </c>
      <c r="L65" s="22">
        <f>SUM(L37:L64)</f>
        <v>1.0118820318493054</v>
      </c>
      <c r="M65" s="24">
        <f>SUM(M37:M64)</f>
        <v>1.0225284393467886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2.3407388798742237E-2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21564.922481984315</v>
      </c>
      <c r="J74" s="51">
        <f t="shared" si="44"/>
        <v>8412.1251057012632</v>
      </c>
      <c r="K74" s="40">
        <f>B74/B$76</f>
        <v>0.16593437771979364</v>
      </c>
      <c r="L74" s="22">
        <f t="shared" si="45"/>
        <v>0.14259740721512407</v>
      </c>
      <c r="M74" s="24">
        <f>J74/B$76</f>
        <v>0.24950017740924341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-1026.4123319500391</v>
      </c>
      <c r="AB74" s="156"/>
      <c r="AC74" s="147">
        <f>AC30*$I$83/4</f>
        <v>-1480.7123319500392</v>
      </c>
      <c r="AD74" s="156"/>
      <c r="AE74" s="147">
        <f>AE30*$I$83/4</f>
        <v>-1480.7123319500392</v>
      </c>
      <c r="AF74" s="156"/>
      <c r="AG74" s="147">
        <f>AG30*$I$83/4</f>
        <v>-1480.7123319500392</v>
      </c>
      <c r="AH74" s="155"/>
      <c r="AI74" s="147">
        <f>SUM(AA74,AC74,AE74,AG74)</f>
        <v>-5468.5493278001568</v>
      </c>
      <c r="AJ74" s="148">
        <f>(AA74+AC74)</f>
        <v>-2507.1246639000783</v>
      </c>
      <c r="AK74" s="147">
        <f>(AE74+AG74)</f>
        <v>-2961.4246639000785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34881.321809784473</v>
      </c>
      <c r="J76" s="51">
        <f t="shared" si="44"/>
        <v>34475.475108836457</v>
      </c>
      <c r="K76" s="40">
        <f>SUM(K70:K75)</f>
        <v>1.4800236614420834</v>
      </c>
      <c r="L76" s="22">
        <f>SUM(L70:L75)</f>
        <v>1.0118820318493056</v>
      </c>
      <c r="M76" s="24">
        <f>SUM(M70:M75)</f>
        <v>1.0953774132446825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2456.169324664967</v>
      </c>
      <c r="K77" s="40"/>
      <c r="L77" s="22">
        <f>-(L131*G$37*F$9/F$7)/B$130</f>
        <v>-0.42751090943284414</v>
      </c>
      <c r="M77" s="24">
        <f>-J77/B$76</f>
        <v>-7.2848973897894076E-2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2760.1406438599715</v>
      </c>
      <c r="AB77" s="112"/>
      <c r="AC77" s="111">
        <f>AC31*$I$83/4</f>
        <v>3707.2920632006721</v>
      </c>
      <c r="AD77" s="112"/>
      <c r="AE77" s="111">
        <f>AE31*$I$83/4</f>
        <v>3707.2920632006721</v>
      </c>
      <c r="AF77" s="112"/>
      <c r="AG77" s="111">
        <f>AG31*$I$83/4</f>
        <v>3707.2920632006721</v>
      </c>
      <c r="AH77" s="110"/>
      <c r="AI77" s="154">
        <f>SUM(AA77,AC77,AE77,AG77)</f>
        <v>13882.016833461987</v>
      </c>
      <c r="AJ77" s="153">
        <f>SUM(AA77,AC77)</f>
        <v>6467.4327070606432</v>
      </c>
      <c r="AK77" s="160">
        <f>SUM(AE77,AG77)</f>
        <v>7414.5841264013443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-1026.4123319500391</v>
      </c>
      <c r="AB79" s="112"/>
      <c r="AC79" s="112">
        <f>AA79-AA74+AC65-AC70</f>
        <v>-1480.7123319500392</v>
      </c>
      <c r="AD79" s="112"/>
      <c r="AE79" s="112">
        <f>AC79-AC74+AE65-AE70</f>
        <v>-1480.7123319500392</v>
      </c>
      <c r="AF79" s="112"/>
      <c r="AG79" s="112">
        <f>AE79-AE74+AG65-AG70</f>
        <v>-1480.7123319500392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0.23513256359012955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0.23513256359012955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2.6889581651833963</v>
      </c>
      <c r="J119" s="24">
        <f>SUM(J91:J118)</f>
        <v>2.6576719425374189</v>
      </c>
      <c r="K119" s="22">
        <f>SUM(K91:K118)</f>
        <v>4.2885444907410761</v>
      </c>
      <c r="L119" s="22">
        <f>SUM(L91:L118)</f>
        <v>2.6300006745255913</v>
      </c>
      <c r="M119" s="57">
        <f t="shared" si="49"/>
        <v>2.6576719425374189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6.083856259120024E-2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1.662413331286456</v>
      </c>
      <c r="J128" s="228">
        <f>(J30)</f>
        <v>0.64848037046504969</v>
      </c>
      <c r="K128" s="29">
        <f>(B128)</f>
        <v>0.71161696139476982</v>
      </c>
      <c r="L128" s="29">
        <f>IF(L124=L119,0,(L119-L124)/(B119-B124)*K128)</f>
        <v>0.37062746976144373</v>
      </c>
      <c r="M128" s="240">
        <f t="shared" si="66"/>
        <v>0.64848037046504969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2.6889581651833963</v>
      </c>
      <c r="J130" s="228">
        <f>(J119)</f>
        <v>2.6576719425374189</v>
      </c>
      <c r="K130" s="29">
        <f>(B130)</f>
        <v>4.2885444907410761</v>
      </c>
      <c r="L130" s="29">
        <f>(L119)</f>
        <v>2.6300006745255913</v>
      </c>
      <c r="M130" s="240">
        <f t="shared" si="66"/>
        <v>2.6576719425374189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0.18934307010057827</v>
      </c>
      <c r="K131" s="29"/>
      <c r="L131" s="29">
        <f>IF(I131&lt;SUM(L126:L127),0,I131-(SUM(L126:L127)))</f>
        <v>1.1111512456848067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10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811.86871820674025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1.0267559719670133E-4</v>
      </c>
      <c r="K16" s="22">
        <f t="shared" si="4"/>
        <v>0</v>
      </c>
      <c r="L16" s="22">
        <f t="shared" si="5"/>
        <v>0</v>
      </c>
      <c r="M16" s="224">
        <f t="shared" si="6"/>
        <v>1.0267559719670133E-4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3472.2719474374148</v>
      </c>
      <c r="U16" s="223">
        <v>10</v>
      </c>
      <c r="V16" s="56"/>
      <c r="W16" s="110"/>
      <c r="X16" s="118"/>
      <c r="Y16" s="184">
        <f t="shared" si="9"/>
        <v>4.1070238878680531E-4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4.1070238878680531E-4</v>
      </c>
      <c r="AH16" s="123">
        <f t="shared" si="12"/>
        <v>1</v>
      </c>
      <c r="AI16" s="184">
        <f t="shared" si="13"/>
        <v>1.0267559719670133E-4</v>
      </c>
      <c r="AJ16" s="120">
        <f t="shared" si="14"/>
        <v>0</v>
      </c>
      <c r="AK16" s="119">
        <f t="shared" si="15"/>
        <v>2.0535119439340265E-4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43468.546388482457</v>
      </c>
      <c r="T23" s="179">
        <f>SUM(T7:T22)</f>
        <v>43717.487054126614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2.274225656764136E-2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2.274225656764136E-2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9.096902627056544E-2</v>
      </c>
      <c r="Z27" s="116">
        <v>0.25</v>
      </c>
      <c r="AA27" s="121">
        <f t="shared" si="16"/>
        <v>2.274225656764136E-2</v>
      </c>
      <c r="AB27" s="116">
        <v>0.25</v>
      </c>
      <c r="AC27" s="121">
        <f t="shared" si="7"/>
        <v>2.274225656764136E-2</v>
      </c>
      <c r="AD27" s="116">
        <v>0.25</v>
      </c>
      <c r="AE27" s="121">
        <f t="shared" si="8"/>
        <v>2.274225656764136E-2</v>
      </c>
      <c r="AF27" s="122">
        <f t="shared" si="10"/>
        <v>0.25</v>
      </c>
      <c r="AG27" s="121">
        <f t="shared" si="11"/>
        <v>2.274225656764136E-2</v>
      </c>
      <c r="AH27" s="123">
        <f t="shared" si="12"/>
        <v>1</v>
      </c>
      <c r="AI27" s="184">
        <f t="shared" si="13"/>
        <v>2.274225656764136E-2</v>
      </c>
      <c r="AJ27" s="120">
        <f t="shared" si="14"/>
        <v>2.274225656764136E-2</v>
      </c>
      <c r="AK27" s="119">
        <f t="shared" si="15"/>
        <v>2.274225656764136E-2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0.19194933983910148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0.19194933983910148</v>
      </c>
      <c r="N29" s="229"/>
      <c r="P29" s="22"/>
      <c r="V29" s="56"/>
      <c r="W29" s="110"/>
      <c r="X29" s="118"/>
      <c r="Y29" s="184">
        <f t="shared" si="9"/>
        <v>0.76779735935640592</v>
      </c>
      <c r="Z29" s="116">
        <v>0.25</v>
      </c>
      <c r="AA29" s="121">
        <f t="shared" si="16"/>
        <v>0.19194933983910148</v>
      </c>
      <c r="AB29" s="116">
        <v>0.25</v>
      </c>
      <c r="AC29" s="121">
        <f t="shared" si="7"/>
        <v>0.19194933983910148</v>
      </c>
      <c r="AD29" s="116">
        <v>0.25</v>
      </c>
      <c r="AE29" s="121">
        <f t="shared" si="8"/>
        <v>0.19194933983910148</v>
      </c>
      <c r="AF29" s="122">
        <f t="shared" si="10"/>
        <v>0.25</v>
      </c>
      <c r="AG29" s="121">
        <f t="shared" si="11"/>
        <v>0.19194933983910148</v>
      </c>
      <c r="AH29" s="123">
        <f t="shared" si="12"/>
        <v>1</v>
      </c>
      <c r="AI29" s="184">
        <f t="shared" si="13"/>
        <v>0.19194933983910148</v>
      </c>
      <c r="AJ29" s="120">
        <f t="shared" si="14"/>
        <v>0.19194933983910148</v>
      </c>
      <c r="AK29" s="119">
        <f t="shared" si="15"/>
        <v>0.19194933983910148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2.2392285047922269</v>
      </c>
      <c r="J30" s="231">
        <f>IF(I$32&lt;=1,I30,1-SUM(J6:J29))</f>
        <v>0.63491773599088153</v>
      </c>
      <c r="K30" s="22">
        <f t="shared" si="4"/>
        <v>0.64870199252802008</v>
      </c>
      <c r="L30" s="22">
        <f>IF(L124=L119,0,IF(K30="",0,(L119-L124)/(B119-B124)*K30))</f>
        <v>0.31627213294733325</v>
      </c>
      <c r="M30" s="175">
        <f t="shared" si="6"/>
        <v>0.63491773599088153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2.5396709439635261</v>
      </c>
      <c r="Z30" s="122">
        <f>IF($Y30=0,0,AA30/($Y$30))</f>
        <v>0.1863502595858603</v>
      </c>
      <c r="AA30" s="188">
        <f>IF(AA79*4/$I$83+SUM(AA6:AA29)&lt;1,AA79*4/$I$83,1-SUM(AA6:AA29))</f>
        <v>0.47326833967026993</v>
      </c>
      <c r="AB30" s="122">
        <f>IF($Y30=0,0,AC30/($Y$30))</f>
        <v>0.27251084001207704</v>
      </c>
      <c r="AC30" s="188">
        <f>IF(AC79*4/$I$83+SUM(AC6:AC29)&lt;1,AC79*4/$I$83,1-SUM(AC6:AC29))</f>
        <v>0.69208786229376518</v>
      </c>
      <c r="AD30" s="122">
        <f>IF($Y30=0,0,AE30/($Y$30))</f>
        <v>0.27251084001207704</v>
      </c>
      <c r="AE30" s="188">
        <f>IF(AE79*4/$I$83+SUM(AE6:AE29)&lt;1,AE79*4/$I$83,1-SUM(AE6:AE29))</f>
        <v>0.69208786229376518</v>
      </c>
      <c r="AF30" s="122">
        <f>IF($Y30=0,0,AG30/($Y$30))</f>
        <v>0.26862806038998549</v>
      </c>
      <c r="AG30" s="188">
        <f>IF(AG79*4/$I$83+SUM(AG6:AG29)&lt;1,AG79*4/$I$83,1-SUM(AG6:AG29))</f>
        <v>0.6822268797057256</v>
      </c>
      <c r="AH30" s="123">
        <f t="shared" si="12"/>
        <v>0.99999999999999978</v>
      </c>
      <c r="AI30" s="184">
        <f t="shared" si="13"/>
        <v>0.63491773599088153</v>
      </c>
      <c r="AJ30" s="120">
        <f t="shared" si="14"/>
        <v>0.58267810098201755</v>
      </c>
      <c r="AK30" s="119">
        <f t="shared" si="15"/>
        <v>0.68715737099974539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0.32300974615583145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2.614836358277794</v>
      </c>
      <c r="J32" s="17"/>
      <c r="L32" s="22">
        <f>SUM(L6:L30)</f>
        <v>0.67699025384416855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19658.153049840788</v>
      </c>
      <c r="T32" s="234">
        <f t="shared" si="50"/>
        <v>19409.212384196631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0.29309748084971787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1534</v>
      </c>
      <c r="AH37" s="123">
        <f>SUM(Z37,AB37,AD37,AF37)</f>
        <v>1</v>
      </c>
      <c r="AI37" s="112">
        <f>SUM(AA37,AC37,AE37,AG37)</f>
        <v>1534</v>
      </c>
      <c r="AJ37" s="148">
        <f>(AA37+AC37)</f>
        <v>0</v>
      </c>
      <c r="AK37" s="147">
        <f>(AE37+AG37)</f>
        <v>1534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810.53680438442689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1.8185740896872391E-2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3472.2719474374144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7.7906194534290499E-2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42363.801809784469</v>
      </c>
      <c r="J65" s="39">
        <f>SUM(J37:J64)</f>
        <v>41766.610561606314</v>
      </c>
      <c r="K65" s="40">
        <f>SUM(K37:K64)</f>
        <v>0.99999999999999989</v>
      </c>
      <c r="L65" s="22">
        <f>SUM(L37:L64)</f>
        <v>0.93154783980839961</v>
      </c>
      <c r="M65" s="24">
        <f>SUM(M37:M64)</f>
        <v>0.93710335385794341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7490.7429524461177</v>
      </c>
      <c r="AB65" s="137"/>
      <c r="AC65" s="153">
        <f>SUM(AC37:AC64)</f>
        <v>7257.1029524461173</v>
      </c>
      <c r="AD65" s="137"/>
      <c r="AE65" s="153">
        <f>SUM(AE37:AE64)</f>
        <v>7257.1029524461173</v>
      </c>
      <c r="AF65" s="137"/>
      <c r="AG65" s="153">
        <f>SUM(AG37:AG64)</f>
        <v>8791.1029524461173</v>
      </c>
      <c r="AH65" s="137"/>
      <c r="AI65" s="153">
        <f>SUM(AI37:AI64)</f>
        <v>30796.051809784472</v>
      </c>
      <c r="AJ65" s="153">
        <f>SUM(AJ37:AJ64)</f>
        <v>14747.845904892236</v>
      </c>
      <c r="AK65" s="153">
        <f>SUM(AK37:AK64)</f>
        <v>16048.205904892235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5010.9014118171435</v>
      </c>
      <c r="K72" s="40">
        <f t="shared" si="78"/>
        <v>0.46686207774304395</v>
      </c>
      <c r="L72" s="22">
        <f t="shared" si="76"/>
        <v>0.19961409623157955</v>
      </c>
      <c r="M72" s="24">
        <f t="shared" si="79"/>
        <v>0.11242790486767128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29047.402481984318</v>
      </c>
      <c r="J74" s="51">
        <f t="shared" si="75"/>
        <v>8236.1898219890045</v>
      </c>
      <c r="K74" s="40">
        <f>B74/B$76</f>
        <v>0.11442697983898133</v>
      </c>
      <c r="L74" s="22">
        <f t="shared" si="76"/>
        <v>9.2050907667089274E-2</v>
      </c>
      <c r="M74" s="24">
        <f>J74/B$76</f>
        <v>0.18479261308054104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1534.8161113260715</v>
      </c>
      <c r="AB74" s="156"/>
      <c r="AC74" s="147">
        <f>AC30*$I$83/4</f>
        <v>2244.4510068891432</v>
      </c>
      <c r="AD74" s="156"/>
      <c r="AE74" s="147">
        <f>AE30*$I$83/4</f>
        <v>2244.4510068891432</v>
      </c>
      <c r="AF74" s="156"/>
      <c r="AG74" s="147">
        <f>AG30*$I$83/4</f>
        <v>2212.4716968846465</v>
      </c>
      <c r="AH74" s="155"/>
      <c r="AI74" s="147">
        <f>SUM(AA74,AC74,AE74,AG74)</f>
        <v>8236.1898219890045</v>
      </c>
      <c r="AJ74" s="148">
        <f>(AA74+AC74)</f>
        <v>3779.2671182152144</v>
      </c>
      <c r="AK74" s="147">
        <f>(AE74+AG74)</f>
        <v>4456.9227037737892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5.7607510751199964E-12</v>
      </c>
      <c r="K75" s="40">
        <f>B75/B$76</f>
        <v>0</v>
      </c>
      <c r="L75" s="22">
        <f t="shared" si="76"/>
        <v>0</v>
      </c>
      <c r="M75" s="24">
        <f>J75/B$76</f>
        <v>1.2925202884904825E-16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5876.3584327814324</v>
      </c>
      <c r="AB75" s="158"/>
      <c r="AC75" s="149">
        <f>AA75+AC65-SUM(AC70,AC74)</f>
        <v>7559.9105463883679</v>
      </c>
      <c r="AD75" s="158"/>
      <c r="AE75" s="149">
        <f>AC75+AE65-SUM(AE70,AE74)</f>
        <v>9243.4626599953026</v>
      </c>
      <c r="AF75" s="158"/>
      <c r="AG75" s="149">
        <f>IF(SUM(AG6:AG29)+((AG65-AG70-$J$75)*4/I$83)&lt;1,0,AG65-AG70-$J$75-(1-SUM(AG6:AG29))*I$83/4)</f>
        <v>3249.5314236114259</v>
      </c>
      <c r="AH75" s="134"/>
      <c r="AI75" s="149">
        <f>AI76-SUM(AI70,AI74)</f>
        <v>9243.4626599953044</v>
      </c>
      <c r="AJ75" s="151">
        <f>AJ76-SUM(AJ70,AJ74)</f>
        <v>4310.3791227769398</v>
      </c>
      <c r="AK75" s="149">
        <f>AJ75+AK76-SUM(AK70,AK74)</f>
        <v>9243.4626599953062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42363.801809784476</v>
      </c>
      <c r="J76" s="51">
        <f t="shared" si="75"/>
        <v>41766.610561606314</v>
      </c>
      <c r="K76" s="40">
        <f>SUM(K70:K75)</f>
        <v>1.1441960671538112</v>
      </c>
      <c r="L76" s="22">
        <f>SUM(L70:L75)</f>
        <v>0.93154783980839984</v>
      </c>
      <c r="M76" s="24">
        <f>SUM(M70:M75)</f>
        <v>0.93710335385794352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7490.7429524461177</v>
      </c>
      <c r="AB76" s="137"/>
      <c r="AC76" s="153">
        <f>AC65</f>
        <v>7257.1029524461173</v>
      </c>
      <c r="AD76" s="137"/>
      <c r="AE76" s="153">
        <f>AE65</f>
        <v>7257.1029524461173</v>
      </c>
      <c r="AF76" s="137"/>
      <c r="AG76" s="153">
        <f>AG65</f>
        <v>8791.1029524461173</v>
      </c>
      <c r="AH76" s="137"/>
      <c r="AI76" s="153">
        <f>SUM(AA76,AC76,AE76,AG76)</f>
        <v>30796.051809784469</v>
      </c>
      <c r="AJ76" s="154">
        <f>SUM(AA76,AC76)</f>
        <v>14747.845904892234</v>
      </c>
      <c r="AK76" s="154">
        <f>SUM(AE76,AG76)</f>
        <v>16048.205904892235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-0.14149317940167844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3249.5314236114259</v>
      </c>
      <c r="AB78" s="112"/>
      <c r="AC78" s="112">
        <f>IF(AA75&lt;0,0,AA75)</f>
        <v>5876.3584327814324</v>
      </c>
      <c r="AD78" s="112"/>
      <c r="AE78" s="112">
        <f>AC75</f>
        <v>7559.9105463883679</v>
      </c>
      <c r="AF78" s="112"/>
      <c r="AG78" s="112">
        <f>AE75</f>
        <v>9243.4626599953026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7411.1745441075036</v>
      </c>
      <c r="AB79" s="112"/>
      <c r="AC79" s="112">
        <f>AA79-AA74+AC65-AC70</f>
        <v>9804.3615532775111</v>
      </c>
      <c r="AD79" s="112"/>
      <c r="AE79" s="112">
        <f>AC79-AC74+AE65-AE70</f>
        <v>11487.913666884446</v>
      </c>
      <c r="AF79" s="112"/>
      <c r="AG79" s="112">
        <f>AE79-AE74+AG65-AG70</f>
        <v>14705.46578049138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6.248328461336565E-2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6.248328461336565E-2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0.26767317063598339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0.26767317063598339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3.2657733386891672</v>
      </c>
      <c r="J119" s="24">
        <f>SUM(J91:J118)</f>
        <v>3.21973660041068</v>
      </c>
      <c r="K119" s="22">
        <f>SUM(K91:K118)</f>
        <v>5.6691349666036501</v>
      </c>
      <c r="L119" s="22">
        <f>SUM(L91:L118)</f>
        <v>3.200648746498119</v>
      </c>
      <c r="M119" s="57">
        <f t="shared" si="80"/>
        <v>3.21973660041068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0.38628422224685099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0.68584197137783853</v>
      </c>
      <c r="M126" s="240">
        <f t="shared" si="93"/>
        <v>0.38628422224685099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2.2392285047922269</v>
      </c>
      <c r="J128" s="228">
        <f>(J30)</f>
        <v>0.63491773599088153</v>
      </c>
      <c r="K128" s="29">
        <f>(B128)</f>
        <v>0.64870199252802008</v>
      </c>
      <c r="L128" s="29">
        <f>IF(L124=L119,0,(L119-L124)/(B119-B124)*K128)</f>
        <v>0.31627213294733325</v>
      </c>
      <c r="M128" s="240">
        <f t="shared" si="93"/>
        <v>0.63491773599088153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3.2657733386891672</v>
      </c>
      <c r="J130" s="228">
        <f>(J119)</f>
        <v>3.21973660041068</v>
      </c>
      <c r="K130" s="29">
        <f>(B130)</f>
        <v>5.6691349666036501</v>
      </c>
      <c r="L130" s="29">
        <f>(L119)</f>
        <v>3.200648746498119</v>
      </c>
      <c r="M130" s="240">
        <f t="shared" si="93"/>
        <v>3.21973660041068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0.48614783689816887</v>
      </c>
      <c r="M131" s="237">
        <f>IF(I131&lt;SUM(M126:M127),0,I131-(SUM(M126:M127)))</f>
        <v>0.78570558602915641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5127.4567818881378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1159.9640742644297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25488</v>
      </c>
      <c r="T14" s="222">
        <f>IF($B$81=0,0,(SUMIF($N$6:$N$28,$U14,M$6:M$28)+SUMIF($N$91:$N$118,$U14,M$91:M$118))*$I$83*Poor!$B$81/$B$81)</f>
        <v>25488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3029.1094739349514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4.7491621212152807E-2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4.7491621212152807E-2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0.18996648484861123</v>
      </c>
      <c r="Z17" s="156">
        <f>Poor!Z17</f>
        <v>0.29409999999999997</v>
      </c>
      <c r="AA17" s="121">
        <f t="shared" si="16"/>
        <v>5.586914319397656E-2</v>
      </c>
      <c r="AB17" s="156">
        <f>Poor!AB17</f>
        <v>0.17649999999999999</v>
      </c>
      <c r="AC17" s="121">
        <f t="shared" si="7"/>
        <v>3.3529084575779883E-2</v>
      </c>
      <c r="AD17" s="156">
        <f>Poor!AD17</f>
        <v>0.23530000000000001</v>
      </c>
      <c r="AE17" s="121">
        <f t="shared" si="8"/>
        <v>4.4699113884878225E-2</v>
      </c>
      <c r="AF17" s="122">
        <f t="shared" si="10"/>
        <v>0.29410000000000003</v>
      </c>
      <c r="AG17" s="121">
        <f t="shared" si="11"/>
        <v>5.5869143193976567E-2</v>
      </c>
      <c r="AH17" s="123">
        <f t="shared" si="12"/>
        <v>1</v>
      </c>
      <c r="AI17" s="184">
        <f t="shared" si="13"/>
        <v>4.7491621212152807E-2</v>
      </c>
      <c r="AJ17" s="120">
        <f t="shared" si="14"/>
        <v>4.4699113884878225E-2</v>
      </c>
      <c r="AK17" s="119">
        <f t="shared" si="15"/>
        <v>5.0284128539427396E-2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78985.637830567779</v>
      </c>
      <c r="T23" s="179">
        <f>SUM(T7:T22)</f>
        <v>79037.026449335812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1.6905918103477018E-2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1.6905918103477018E-2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6.762367241390807E-2</v>
      </c>
      <c r="Z27" s="156">
        <f>Poor!Z27</f>
        <v>0.25</v>
      </c>
      <c r="AA27" s="121">
        <f t="shared" si="16"/>
        <v>1.6905918103477018E-2</v>
      </c>
      <c r="AB27" s="156">
        <f>Poor!AB27</f>
        <v>0.25</v>
      </c>
      <c r="AC27" s="121">
        <f t="shared" si="7"/>
        <v>1.6905918103477018E-2</v>
      </c>
      <c r="AD27" s="156">
        <f>Poor!AD27</f>
        <v>0.25</v>
      </c>
      <c r="AE27" s="121">
        <f t="shared" si="8"/>
        <v>1.6905918103477018E-2</v>
      </c>
      <c r="AF27" s="122">
        <f t="shared" si="10"/>
        <v>0.25</v>
      </c>
      <c r="AG27" s="121">
        <f t="shared" si="11"/>
        <v>1.6905918103477018E-2</v>
      </c>
      <c r="AH27" s="123">
        <f t="shared" si="12"/>
        <v>1</v>
      </c>
      <c r="AI27" s="184">
        <f t="shared" si="13"/>
        <v>1.6905918103477018E-2</v>
      </c>
      <c r="AJ27" s="120">
        <f t="shared" si="14"/>
        <v>1.6905918103477018E-2</v>
      </c>
      <c r="AK27" s="119">
        <f t="shared" si="15"/>
        <v>1.6905918103477018E-2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0.22760315758458613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0.22760315758458613</v>
      </c>
      <c r="N29" s="229"/>
      <c r="P29" s="22"/>
      <c r="V29" s="56"/>
      <c r="W29" s="110"/>
      <c r="X29" s="118"/>
      <c r="Y29" s="184">
        <f t="shared" si="9"/>
        <v>0.91041263033834452</v>
      </c>
      <c r="Z29" s="156">
        <f>Poor!Z29</f>
        <v>0.25</v>
      </c>
      <c r="AA29" s="121">
        <f t="shared" si="16"/>
        <v>0.22760315758458613</v>
      </c>
      <c r="AB29" s="156">
        <f>Poor!AB29</f>
        <v>0.25</v>
      </c>
      <c r="AC29" s="121">
        <f t="shared" si="7"/>
        <v>0.22760315758458613</v>
      </c>
      <c r="AD29" s="156">
        <f>Poor!AD29</f>
        <v>0.25</v>
      </c>
      <c r="AE29" s="121">
        <f t="shared" si="8"/>
        <v>0.22760315758458613</v>
      </c>
      <c r="AF29" s="122">
        <f t="shared" si="10"/>
        <v>0.25</v>
      </c>
      <c r="AG29" s="121">
        <f t="shared" si="11"/>
        <v>0.22760315758458613</v>
      </c>
      <c r="AH29" s="123">
        <f t="shared" si="12"/>
        <v>1</v>
      </c>
      <c r="AI29" s="184">
        <f t="shared" si="13"/>
        <v>0.22760315758458613</v>
      </c>
      <c r="AJ29" s="120">
        <f t="shared" si="14"/>
        <v>0.22760315758458613</v>
      </c>
      <c r="AK29" s="119">
        <f t="shared" si="15"/>
        <v>0.22760315758458613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4.9694451003668139</v>
      </c>
      <c r="J30" s="231">
        <f>IF(I$32&lt;=1,I30,1-SUM(J6:J29))</f>
        <v>0.61390739255598992</v>
      </c>
      <c r="K30" s="22">
        <f t="shared" si="4"/>
        <v>0.61046637608966381</v>
      </c>
      <c r="L30" s="22">
        <f>IF(L124=L119,0,IF(K30="",0,(L119-L124)/(B119-B124)*K30))</f>
        <v>0.29824890914262825</v>
      </c>
      <c r="M30" s="175">
        <f t="shared" si="6"/>
        <v>0.61390739255598992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2.4556295702239597</v>
      </c>
      <c r="Z30" s="122">
        <f>IF($Y30=0,0,AA30/($Y$30))</f>
        <v>0.18661302244443884</v>
      </c>
      <c r="AA30" s="188">
        <f>IF(AA79*4/$I$84+SUM(AA6:AA29)&lt;1,AA79*4/$I$84,1-SUM(AA6:AA29))</f>
        <v>0.45825245610343146</v>
      </c>
      <c r="AB30" s="122">
        <f>IF($Y30=0,0,AC30/($Y$30))</f>
        <v>0.28271144626245109</v>
      </c>
      <c r="AC30" s="188">
        <f>IF(AC79*4/$I$84+SUM(AC6:AC29)&lt;1,AC79*4/$I$84,1-SUM(AC6:AC29))</f>
        <v>0.69423458728285681</v>
      </c>
      <c r="AD30" s="122">
        <f>IF($Y30=0,0,AE30/($Y$30))</f>
        <v>0.27632820332197239</v>
      </c>
      <c r="AE30" s="188">
        <f>IF(AE79*4/$I$84+SUM(AE6:AE29)&lt;1,AE79*4/$I$84,1-SUM(AE6:AE29))</f>
        <v>0.67855970716429403</v>
      </c>
      <c r="AF30" s="122">
        <f>IF($Y30=0,0,AG30/($Y$30))</f>
        <v>0.25434732797113774</v>
      </c>
      <c r="AG30" s="188">
        <f>IF(AG79*4/$I$84+SUM(AG6:AG29)&lt;1,AG79*4/$I$84,1-SUM(AG6:AG29))</f>
        <v>0.62458281967337748</v>
      </c>
      <c r="AH30" s="123">
        <f t="shared" si="12"/>
        <v>1</v>
      </c>
      <c r="AI30" s="184">
        <f t="shared" si="13"/>
        <v>0.61390739255598992</v>
      </c>
      <c r="AJ30" s="120">
        <f t="shared" si="14"/>
        <v>0.57624352169314408</v>
      </c>
      <c r="AK30" s="119">
        <f t="shared" si="15"/>
        <v>0.65157126341883576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0.29717938392503473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5.3026332726089285</v>
      </c>
      <c r="J32" s="17"/>
      <c r="L32" s="22">
        <f>SUM(L6:L30)</f>
        <v>0.70282061607496527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0.25887061447040116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0.14861700279322712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140.2944506368064</v>
      </c>
      <c r="AD37" s="122">
        <f>IF($J37=0,0,AE37/($J37))</f>
        <v>0.12509850420245841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118.09298796712073</v>
      </c>
      <c r="AF37" s="122">
        <f t="shared" ref="AF37:AF64" si="29">1-SUM(Z37,AB37,AD37)</f>
        <v>0.72628449300431441</v>
      </c>
      <c r="AG37" s="147">
        <f>$J37*AF37</f>
        <v>685.61256139607281</v>
      </c>
      <c r="AH37" s="123">
        <f>SUM(Z37,AB37,AD37,AF37)</f>
        <v>1</v>
      </c>
      <c r="AI37" s="112">
        <f>SUM(AA37,AC37,AE37,AG37)</f>
        <v>944</v>
      </c>
      <c r="AJ37" s="148">
        <f>(AA37+AC37)</f>
        <v>140.2944506368064</v>
      </c>
      <c r="AK37" s="147">
        <f>(AE37+AG37)</f>
        <v>803.70554936319354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0.14861700279322712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438.42015824001993</v>
      </c>
      <c r="AD38" s="122">
        <f>IF($J38=0,0,AE38/($J38))</f>
        <v>0.12509850420245841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369.04058739725224</v>
      </c>
      <c r="AF38" s="122">
        <f t="shared" si="29"/>
        <v>0.72628449300431441</v>
      </c>
      <c r="AG38" s="147">
        <f t="shared" ref="AG38:AG64" si="36">$J38*AF38</f>
        <v>2142.5392543627272</v>
      </c>
      <c r="AH38" s="123">
        <f t="shared" ref="AH38:AI58" si="37">SUM(Z38,AB38,AD38,AF38)</f>
        <v>1</v>
      </c>
      <c r="AI38" s="112">
        <f t="shared" si="37"/>
        <v>2949.9999999999991</v>
      </c>
      <c r="AJ38" s="148">
        <f t="shared" ref="AJ38:AJ64" si="38">(AA38+AC38)</f>
        <v>438.42015824001993</v>
      </c>
      <c r="AK38" s="147">
        <f t="shared" ref="AK38:AK64" si="39">(AE38+AG38)</f>
        <v>2511.5798417599794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879.4567818881377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9.9363628167599312E-3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879.4567818881377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879.4567818881377</v>
      </c>
      <c r="AJ39" s="148">
        <f t="shared" si="38"/>
        <v>879.4567818881377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25488</v>
      </c>
      <c r="K53" s="40">
        <f t="shared" si="33"/>
        <v>0.40673864682171068</v>
      </c>
      <c r="L53" s="22">
        <f t="shared" si="34"/>
        <v>0.28797096194977112</v>
      </c>
      <c r="M53" s="24">
        <f t="shared" si="35"/>
        <v>0.28797096194977118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3029.109473934951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3.4223774680642388E-2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77780.33037974684</v>
      </c>
      <c r="J65" s="39">
        <f>SUM(J37:J64)</f>
        <v>77200.396635569923</v>
      </c>
      <c r="K65" s="40">
        <f>SUM(K37:K64)</f>
        <v>0.99999999999999978</v>
      </c>
      <c r="L65" s="22">
        <f>SUM(L37:L64)</f>
        <v>0.86994425935738429</v>
      </c>
      <c r="M65" s="24">
        <f>SUM(M37:M64)</f>
        <v>0.87223291282364057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8039.9317818881391</v>
      </c>
      <c r="AB65" s="137"/>
      <c r="AC65" s="153">
        <f>SUM(AC37:AC64)</f>
        <v>7385.1896088768272</v>
      </c>
      <c r="AD65" s="137"/>
      <c r="AE65" s="153">
        <f>SUM(AE37:AE64)</f>
        <v>7293.6085753643738</v>
      </c>
      <c r="AF65" s="137"/>
      <c r="AG65" s="153">
        <f>SUM(AG37:AG64)</f>
        <v>9634.6268157588001</v>
      </c>
      <c r="AH65" s="137"/>
      <c r="AI65" s="153">
        <f>SUM(AI37:AI64)</f>
        <v>32353.356781888142</v>
      </c>
      <c r="AJ65" s="153">
        <f>SUM(AJ37:AJ64)</f>
        <v>15425.121390764965</v>
      </c>
      <c r="AK65" s="153">
        <f>SUM(AK37:AK64)</f>
        <v>16928.235391123177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16163.794883570636</v>
      </c>
      <c r="K73" s="40">
        <f>B73/B$76</f>
        <v>0.25330779060396541</v>
      </c>
      <c r="L73" s="22">
        <f t="shared" si="45"/>
        <v>0.22659826746613534</v>
      </c>
      <c r="M73" s="24">
        <f>J73/B$76</f>
        <v>0.18262333495686697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64463.931051946689</v>
      </c>
      <c r="J74" s="51">
        <f t="shared" si="44"/>
        <v>7963.6424241991381</v>
      </c>
      <c r="K74" s="40">
        <f>B74/B$76</f>
        <v>5.4225008815229715E-2</v>
      </c>
      <c r="L74" s="22">
        <f t="shared" si="45"/>
        <v>4.3712001340884432E-2</v>
      </c>
      <c r="M74" s="24">
        <f>J74/B$76</f>
        <v>8.9975587316409034E-2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2677.3559492728236</v>
      </c>
      <c r="AB74" s="156"/>
      <c r="AC74" s="147">
        <f>AC30*$I$84/4</f>
        <v>4056.0897769267881</v>
      </c>
      <c r="AD74" s="156"/>
      <c r="AE74" s="147">
        <f>AE30*$I$84/4</f>
        <v>3964.5087434143347</v>
      </c>
      <c r="AF74" s="156"/>
      <c r="AG74" s="147">
        <f>AG30*$I$84/4</f>
        <v>3649.1468966369835</v>
      </c>
      <c r="AH74" s="155"/>
      <c r="AI74" s="147">
        <f>SUM(AA74,AC74,AE74,AG74)</f>
        <v>14347.10136625093</v>
      </c>
      <c r="AJ74" s="148">
        <f>(AA74+AC74)</f>
        <v>6733.4457261996122</v>
      </c>
      <c r="AK74" s="147">
        <f>(AE74+AG74)</f>
        <v>7613.6556400513182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6313.4718129613921</v>
      </c>
      <c r="AB75" s="158"/>
      <c r="AC75" s="149">
        <f>AA75+AC65-SUM(AC70,AC74)</f>
        <v>6313.4718129613921</v>
      </c>
      <c r="AD75" s="158"/>
      <c r="AE75" s="149">
        <f>AC75+AE65-SUM(AE70,AE74)</f>
        <v>6313.4718129613902</v>
      </c>
      <c r="AF75" s="158"/>
      <c r="AG75" s="149">
        <f>IF(SUM(AG6:AG29)+((AG65-AG70-$J$75)*4/I$83)&lt;1,0,AG65-AG70-$J$75-(1-SUM(AG6:AG29))*I$83/4)</f>
        <v>4279.9958122961161</v>
      </c>
      <c r="AH75" s="134"/>
      <c r="AI75" s="149">
        <f>AI76-SUM(AI70,AI74)</f>
        <v>4689.8560878370554</v>
      </c>
      <c r="AJ75" s="151">
        <f>AJ76-SUM(AJ70,AJ74)</f>
        <v>2033.4760006652741</v>
      </c>
      <c r="AK75" s="149">
        <f>AJ75+AK76-SUM(AK70,AK74)</f>
        <v>4689.8560878370517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77780.330379746854</v>
      </c>
      <c r="J76" s="51">
        <f t="shared" si="44"/>
        <v>77200.396635569923</v>
      </c>
      <c r="K76" s="40">
        <f>SUM(K70:K75)</f>
        <v>0.99999999999999978</v>
      </c>
      <c r="L76" s="22">
        <f>SUM(L70:L75)</f>
        <v>0.86994425935738451</v>
      </c>
      <c r="M76" s="24">
        <f>SUM(M70:M75)</f>
        <v>0.87223291282364057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8039.9317818881391</v>
      </c>
      <c r="AB76" s="137"/>
      <c r="AC76" s="153">
        <f>AC65</f>
        <v>7385.1896088768272</v>
      </c>
      <c r="AD76" s="137"/>
      <c r="AE76" s="153">
        <f>AE65</f>
        <v>7293.6085753643738</v>
      </c>
      <c r="AF76" s="137"/>
      <c r="AG76" s="153">
        <f>AG65</f>
        <v>9634.6268157588001</v>
      </c>
      <c r="AH76" s="137"/>
      <c r="AI76" s="153">
        <f>SUM(AA76,AC76,AE76,AG76)</f>
        <v>32353.356781888142</v>
      </c>
      <c r="AJ76" s="154">
        <f>SUM(AA76,AC76)</f>
        <v>15425.121390764965</v>
      </c>
      <c r="AK76" s="154">
        <f>SUM(AE76,AG76)</f>
        <v>16928.235391123173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4279.9958122961161</v>
      </c>
      <c r="AB78" s="112"/>
      <c r="AC78" s="112">
        <f>IF(AA75&lt;0,0,AA75)</f>
        <v>6313.4718129613921</v>
      </c>
      <c r="AD78" s="112"/>
      <c r="AE78" s="112">
        <f>AC75</f>
        <v>6313.4718129613921</v>
      </c>
      <c r="AF78" s="112"/>
      <c r="AG78" s="112">
        <f>AE75</f>
        <v>6313.4718129613902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8990.8277622342157</v>
      </c>
      <c r="AB79" s="112"/>
      <c r="AC79" s="112">
        <f>AA79-AA74+AC65-AC70</f>
        <v>10369.561589888181</v>
      </c>
      <c r="AD79" s="112"/>
      <c r="AE79" s="112">
        <f>AC79-AC74+AE65-AE70</f>
        <v>10277.980556375725</v>
      </c>
      <c r="AF79" s="112"/>
      <c r="AG79" s="112">
        <f>AE79-AE74+AG65-AG70</f>
        <v>12618.998796770151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6.7796240850043432E-2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6.7796240850043432E-2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0.42909090909090908</v>
      </c>
      <c r="I107" s="22">
        <f t="shared" si="58"/>
        <v>1.9648385484912871</v>
      </c>
      <c r="J107" s="24">
        <f t="shared" si="59"/>
        <v>1.9648385484912871</v>
      </c>
      <c r="K107" s="22">
        <f t="shared" si="60"/>
        <v>4.5790728884330845</v>
      </c>
      <c r="L107" s="22">
        <f t="shared" si="61"/>
        <v>1.9648385484912871</v>
      </c>
      <c r="M107" s="227">
        <f t="shared" si="62"/>
        <v>1.9648385484912871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0.23351032101332217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0.23351032101332217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5.9959899342637542</v>
      </c>
      <c r="J119" s="24">
        <f>SUM(J91:J118)</f>
        <v>5.951283555727592</v>
      </c>
      <c r="K119" s="22">
        <f>SUM(K91:K118)</f>
        <v>11.258022625128781</v>
      </c>
      <c r="L119" s="22">
        <f>SUM(L91:L118)</f>
        <v>5.9356679723917178</v>
      </c>
      <c r="M119" s="57">
        <f t="shared" si="49"/>
        <v>5.951283555727592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1.2460470526187155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1.5460899526962031</v>
      </c>
      <c r="M127" s="57">
        <f t="shared" si="63"/>
        <v>1.2460470526187155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4.9694451003668139</v>
      </c>
      <c r="J128" s="228">
        <f>(J30)</f>
        <v>0.61390739255598992</v>
      </c>
      <c r="K128" s="22">
        <f>(B128)</f>
        <v>0.61046637608966381</v>
      </c>
      <c r="L128" s="22">
        <f>IF(L124=L119,0,(L119-L124)/(B119-B124)*K128)</f>
        <v>0.29824890914262825</v>
      </c>
      <c r="M128" s="57">
        <f t="shared" si="63"/>
        <v>0.61390739255598992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5.9959899342637542</v>
      </c>
      <c r="J130" s="228">
        <f>(J119)</f>
        <v>5.951283555727592</v>
      </c>
      <c r="K130" s="22">
        <f>(B130)</f>
        <v>11.258022625128781</v>
      </c>
      <c r="L130" s="22">
        <f>(L119)</f>
        <v>5.9356679723917178</v>
      </c>
      <c r="M130" s="57">
        <f t="shared" si="63"/>
        <v>5.951283555727592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1405.0834301542359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4724.5123076408008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6.2641034318005107E-2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6.2641034318005107E-2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0.25056413727202043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0.25056413727202043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6.2641034318005107E-2</v>
      </c>
      <c r="AJ9" s="120">
        <f t="shared" si="14"/>
        <v>0.12528206863601021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5.8275327149479869E-3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5.8275327149479869E-3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2.3310130859791948E-2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2.3310130859791948E-2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5.8275327149479869E-3</v>
      </c>
      <c r="AJ10" s="120">
        <f t="shared" si="14"/>
        <v>1.1655065429895974E-2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13094.588507483795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9.7824576198835282E-4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9.7824576198835282E-4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3.9129830479534113E-3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2.6216986421287859E-3</v>
      </c>
      <c r="AF12" s="122">
        <f>1-SUM(Z12,AB12,AD12)</f>
        <v>0.32999999999999996</v>
      </c>
      <c r="AG12" s="121">
        <f>$M12*AF12*4</f>
        <v>1.2912844058246256E-3</v>
      </c>
      <c r="AH12" s="123">
        <f t="shared" si="12"/>
        <v>1</v>
      </c>
      <c r="AI12" s="184">
        <f t="shared" si="13"/>
        <v>9.7824576198835282E-4</v>
      </c>
      <c r="AJ12" s="120">
        <f t="shared" si="14"/>
        <v>0</v>
      </c>
      <c r="AK12" s="119">
        <f t="shared" si="15"/>
        <v>1.9564915239767056E-3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173318.39999999999</v>
      </c>
      <c r="T14" s="222">
        <f>IF($B$81=0,0,(SUMIF($N$6:$N$28,$U14,M$6:M$28)+SUMIF($N$91:$N$118,$U14,M$91:M$118))*$I$83*Poor!$B$81/$B$81)</f>
        <v>173318.39999999999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5776.2580029306828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274579.46285025461</v>
      </c>
      <c r="T23" s="179">
        <f>SUM(T7:T22)</f>
        <v>274593.15472533903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5.3973822373956933E-2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5.3973822373956933E-2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0.21589528949582773</v>
      </c>
      <c r="Z27" s="156">
        <f>Poor!Z27</f>
        <v>0.25</v>
      </c>
      <c r="AA27" s="121">
        <f t="shared" si="16"/>
        <v>5.3973822373956933E-2</v>
      </c>
      <c r="AB27" s="156">
        <f>Poor!AB27</f>
        <v>0.25</v>
      </c>
      <c r="AC27" s="121">
        <f t="shared" si="7"/>
        <v>5.3973822373956933E-2</v>
      </c>
      <c r="AD27" s="156">
        <f>Poor!AD27</f>
        <v>0.25</v>
      </c>
      <c r="AE27" s="121">
        <f t="shared" si="8"/>
        <v>5.3973822373956933E-2</v>
      </c>
      <c r="AF27" s="122">
        <f t="shared" si="10"/>
        <v>0.25</v>
      </c>
      <c r="AG27" s="121">
        <f t="shared" si="11"/>
        <v>5.3973822373956933E-2</v>
      </c>
      <c r="AH27" s="123">
        <f t="shared" si="12"/>
        <v>1</v>
      </c>
      <c r="AI27" s="184">
        <f t="shared" si="13"/>
        <v>5.3973822373956933E-2</v>
      </c>
      <c r="AJ27" s="120">
        <f t="shared" si="14"/>
        <v>5.3973822373956933E-2</v>
      </c>
      <c r="AK27" s="119">
        <f t="shared" si="15"/>
        <v>5.3973822373956933E-2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0.32166172329590076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0.32166172329590076</v>
      </c>
      <c r="N29" s="229"/>
      <c r="P29" s="22"/>
      <c r="V29" s="56"/>
      <c r="W29" s="110"/>
      <c r="X29" s="118"/>
      <c r="Y29" s="184">
        <f t="shared" si="9"/>
        <v>1.286646893183603</v>
      </c>
      <c r="Z29" s="156">
        <f>Poor!Z29</f>
        <v>0.25</v>
      </c>
      <c r="AA29" s="121">
        <f t="shared" si="16"/>
        <v>0.32166172329590076</v>
      </c>
      <c r="AB29" s="156">
        <f>Poor!AB29</f>
        <v>0.25</v>
      </c>
      <c r="AC29" s="121">
        <f t="shared" si="7"/>
        <v>0.32166172329590076</v>
      </c>
      <c r="AD29" s="156">
        <f>Poor!AD29</f>
        <v>0.25</v>
      </c>
      <c r="AE29" s="121">
        <f t="shared" si="8"/>
        <v>0.32166172329590076</v>
      </c>
      <c r="AF29" s="122">
        <f t="shared" si="10"/>
        <v>0.25</v>
      </c>
      <c r="AG29" s="121">
        <f t="shared" si="11"/>
        <v>0.32166172329590076</v>
      </c>
      <c r="AH29" s="123">
        <f t="shared" si="12"/>
        <v>1</v>
      </c>
      <c r="AI29" s="184">
        <f t="shared" si="13"/>
        <v>0.32166172329590076</v>
      </c>
      <c r="AJ29" s="120">
        <f t="shared" si="14"/>
        <v>0.32166172329590076</v>
      </c>
      <c r="AK29" s="119">
        <f t="shared" si="15"/>
        <v>0.32166172329590076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19.94980235094317</v>
      </c>
      <c r="J30" s="231">
        <f>IF(I$32&lt;=1,I30,1-SUM(J6:J29))</f>
        <v>0.47208950909850511</v>
      </c>
      <c r="K30" s="22">
        <f t="shared" si="4"/>
        <v>0.58156372602739725</v>
      </c>
      <c r="L30" s="22">
        <f>IF(L124=L119,0,IF(K30="",0,(L119-L124)/(B119-B124)*K30))</f>
        <v>0.26056096334958917</v>
      </c>
      <c r="M30" s="175">
        <f t="shared" si="6"/>
        <v>0.47208950909850511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1.8883580363940204</v>
      </c>
      <c r="Z30" s="122">
        <f>IF($Y30=0,0,AA30/($Y$30))</f>
        <v>0.12262123772173705</v>
      </c>
      <c r="AA30" s="188">
        <f>IF(AA79*4/$I$83+SUM(AA6:AA29)&lt;1,AA79*4/$I$83,1-SUM(AA6:AA29))</f>
        <v>0.23155279968442377</v>
      </c>
      <c r="AB30" s="122">
        <f>IF($Y30=0,0,AC30/($Y$30))</f>
        <v>0.31301889789656728</v>
      </c>
      <c r="AC30" s="188">
        <f>IF(AC79*4/$I$83+SUM(AC6:AC29)&lt;1,AC79*4/$I$83,1-SUM(AC6:AC29))</f>
        <v>0.5910917513861822</v>
      </c>
      <c r="AD30" s="122">
        <f>IF($Y30=0,0,AE30/($Y$30))</f>
        <v>0.30930062194957203</v>
      </c>
      <c r="AE30" s="188">
        <f>IF(AE79*4/$I$83+SUM(AE6:AE29)&lt;1,AE79*4/$I$83,1-SUM(AE6:AE29))</f>
        <v>0.58407031512014307</v>
      </c>
      <c r="AF30" s="122">
        <f>IF($Y30=0,0,AG30/($Y$30))</f>
        <v>0.25505924243212375</v>
      </c>
      <c r="AG30" s="188">
        <f>IF(AG79*4/$I$83+SUM(AG6:AG29)&lt;1,AG79*4/$I$83,1-SUM(AG6:AG29))</f>
        <v>0.48164317020327163</v>
      </c>
      <c r="AH30" s="123">
        <f t="shared" si="12"/>
        <v>1</v>
      </c>
      <c r="AI30" s="184">
        <f t="shared" si="13"/>
        <v>0.47208950909850511</v>
      </c>
      <c r="AJ30" s="120">
        <f t="shared" si="14"/>
        <v>0.41132227553530298</v>
      </c>
      <c r="AK30" s="119">
        <f t="shared" si="15"/>
        <v>0.53285674266170735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0.21099165178532164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20.44020681942439</v>
      </c>
      <c r="J32" s="17"/>
      <c r="L32" s="22">
        <f>SUM(L6:L30)</f>
        <v>0.78900834821467836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1.4112849766217229E-2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2469.2570895698286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8.2244439810652478E-3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2469.2570895698286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2469.2570895698286</v>
      </c>
      <c r="AJ39" s="148">
        <f t="shared" si="36"/>
        <v>2469.2570895698286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372.66534278836991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1.2412499485751709E-3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93.166335697092478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186.33267139418496</v>
      </c>
      <c r="AF42" s="122">
        <f t="shared" si="31"/>
        <v>0.25</v>
      </c>
      <c r="AG42" s="147">
        <f t="shared" si="34"/>
        <v>93.166335697092478</v>
      </c>
      <c r="AH42" s="123">
        <f t="shared" si="35"/>
        <v>1</v>
      </c>
      <c r="AI42" s="112">
        <f t="shared" si="35"/>
        <v>372.66534278836991</v>
      </c>
      <c r="AJ42" s="148">
        <f t="shared" si="36"/>
        <v>93.166335697092478</v>
      </c>
      <c r="AK42" s="147">
        <f t="shared" si="37"/>
        <v>279.49900709127746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42.355643814108667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1.4107547622421778E-4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10.588910953527167</v>
      </c>
      <c r="AB43" s="156">
        <f>Poor!AB43</f>
        <v>0.25</v>
      </c>
      <c r="AC43" s="147">
        <f t="shared" si="39"/>
        <v>10.588910953527167</v>
      </c>
      <c r="AD43" s="156">
        <f>Poor!AD43</f>
        <v>0.25</v>
      </c>
      <c r="AE43" s="147">
        <f t="shared" si="40"/>
        <v>10.588910953527167</v>
      </c>
      <c r="AF43" s="122">
        <f t="shared" si="31"/>
        <v>0.25</v>
      </c>
      <c r="AG43" s="147">
        <f t="shared" si="34"/>
        <v>10.588910953527167</v>
      </c>
      <c r="AH43" s="123">
        <f t="shared" si="35"/>
        <v>1</v>
      </c>
      <c r="AI43" s="112">
        <f t="shared" si="35"/>
        <v>42.355643814108667</v>
      </c>
      <c r="AJ43" s="148">
        <f t="shared" si="36"/>
        <v>21.177821907054334</v>
      </c>
      <c r="AK43" s="147">
        <f t="shared" si="37"/>
        <v>21.177821907054334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414.07260309818872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1.3791666095279676E-3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103.51815077454718</v>
      </c>
      <c r="AB44" s="156">
        <f>Poor!AB44</f>
        <v>0.25</v>
      </c>
      <c r="AC44" s="147">
        <f t="shared" si="39"/>
        <v>103.51815077454718</v>
      </c>
      <c r="AD44" s="156">
        <f>Poor!AD44</f>
        <v>0.25</v>
      </c>
      <c r="AE44" s="147">
        <f t="shared" si="40"/>
        <v>103.51815077454718</v>
      </c>
      <c r="AF44" s="122">
        <f t="shared" si="31"/>
        <v>0.25</v>
      </c>
      <c r="AG44" s="147">
        <f t="shared" si="34"/>
        <v>103.51815077454718</v>
      </c>
      <c r="AH44" s="123">
        <f t="shared" si="35"/>
        <v>1</v>
      </c>
      <c r="AI44" s="112">
        <f t="shared" si="35"/>
        <v>414.07260309818872</v>
      </c>
      <c r="AJ44" s="148">
        <f t="shared" si="36"/>
        <v>207.03630154909436</v>
      </c>
      <c r="AK44" s="147">
        <f t="shared" si="37"/>
        <v>207.03630154909436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144432</v>
      </c>
      <c r="J53" s="38">
        <f t="shared" si="33"/>
        <v>144432</v>
      </c>
      <c r="K53" s="40">
        <f t="shared" ref="K53:K64" si="43">(B53/B$65)</f>
        <v>0.67947018527325531</v>
      </c>
      <c r="L53" s="22">
        <f t="shared" ref="L53:L64" si="44">(K53*H53)</f>
        <v>0.48106489117346474</v>
      </c>
      <c r="M53" s="24">
        <f t="shared" ref="M53:M64" si="45">J53/B$65</f>
        <v>0.48106489117346474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4813.5483357755693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1.6032659703584293E-2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226755.33037974685</v>
      </c>
      <c r="J65" s="39">
        <f>SUM(J37:J64)</f>
        <v>227181.52939479292</v>
      </c>
      <c r="K65" s="40">
        <f>SUM(K37:K64)</f>
        <v>1</v>
      </c>
      <c r="L65" s="22">
        <f>SUM(L37:L64)</f>
        <v>0.7567020652250902</v>
      </c>
      <c r="M65" s="24">
        <f>SUM(M37:M64)</f>
        <v>0.75668174445363445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14452.430486994997</v>
      </c>
      <c r="AB65" s="137"/>
      <c r="AC65" s="153">
        <f>SUM(AC37:AC64)</f>
        <v>10881.107061728077</v>
      </c>
      <c r="AD65" s="137"/>
      <c r="AE65" s="153">
        <f>SUM(AE37:AE64)</f>
        <v>11067.439733122261</v>
      </c>
      <c r="AF65" s="137"/>
      <c r="AG65" s="153">
        <f>SUM(AG37:AG64)</f>
        <v>18408.273397425168</v>
      </c>
      <c r="AH65" s="137"/>
      <c r="AI65" s="153">
        <f>SUM(AI37:AI64)</f>
        <v>54809.25067927051</v>
      </c>
      <c r="AJ65" s="153">
        <f>SUM(AJ37:AJ64)</f>
        <v>25333.537548723074</v>
      </c>
      <c r="AK65" s="153">
        <f>SUM(AK37:AK64)</f>
        <v>29475.713130547432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215658.33093991334</v>
      </c>
      <c r="J74" s="51">
        <f>J128*I$83</f>
        <v>5103.3104887684949</v>
      </c>
      <c r="K74" s="40">
        <f>B74/B$76</f>
        <v>1.26905734201907E-2</v>
      </c>
      <c r="L74" s="22">
        <f>(L128*G$37*F$9/F$7)/B$130</f>
        <v>9.381606890062252E-3</v>
      </c>
      <c r="M74" s="24">
        <f>J74/B$76</f>
        <v>1.6997780996619982E-2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625.77424861111569</v>
      </c>
      <c r="AB74" s="156"/>
      <c r="AC74" s="147">
        <f>AC30*$I$83/4</f>
        <v>1597.4326248183063</v>
      </c>
      <c r="AD74" s="156"/>
      <c r="AE74" s="147">
        <f>AE30*$I$83/4</f>
        <v>1578.4571081778697</v>
      </c>
      <c r="AF74" s="156"/>
      <c r="AG74" s="147">
        <f>AG30*$I$83/4</f>
        <v>1301.6465071612035</v>
      </c>
      <c r="AH74" s="155"/>
      <c r="AI74" s="147">
        <f>SUM(AA74,AC74,AE74,AG74)</f>
        <v>5103.3104887684958</v>
      </c>
      <c r="AJ74" s="148">
        <f>(AA74+AC74)</f>
        <v>2223.2068734294221</v>
      </c>
      <c r="AK74" s="147">
        <f>(AE74+AG74)</f>
        <v>2880.1036153390733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127034.05279952424</v>
      </c>
      <c r="K75" s="40">
        <f>B75/B$76</f>
        <v>0.72395446065450009</v>
      </c>
      <c r="L75" s="22">
        <f>(L129*G$37*F$9/F$7)/B$130</f>
        <v>0.430753413464804</v>
      </c>
      <c r="M75" s="24">
        <f>J75/B$76</f>
        <v>0.42311691858679035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11052.406378425516</v>
      </c>
      <c r="AB75" s="158"/>
      <c r="AC75" s="149">
        <f>AA75+AC65-SUM(AC70,AC74)</f>
        <v>17561.830955376921</v>
      </c>
      <c r="AD75" s="158"/>
      <c r="AE75" s="149">
        <f>AC75+AE65-SUM(AE70,AE74)</f>
        <v>24276.563720362949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38608.940750668546</v>
      </c>
      <c r="AJ75" s="151">
        <f>AJ76-SUM(AJ70,AJ74)</f>
        <v>17561.830955376921</v>
      </c>
      <c r="AK75" s="149">
        <f>AJ75+AK76-SUM(AK70,AK74)</f>
        <v>38608.940750668553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226755.3303797468</v>
      </c>
      <c r="J76" s="51">
        <f>J130*I$83</f>
        <v>227181.52939479286</v>
      </c>
      <c r="K76" s="40">
        <f>SUM(K70:K75)</f>
        <v>0.90648402989286547</v>
      </c>
      <c r="L76" s="22">
        <f>SUM(L70:L75)</f>
        <v>0.64635322049867161</v>
      </c>
      <c r="M76" s="24">
        <f>SUM(M70:M75)</f>
        <v>0.64633289972721564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14452.430486994997</v>
      </c>
      <c r="AB76" s="137"/>
      <c r="AC76" s="153">
        <f>AC65</f>
        <v>10881.107061728077</v>
      </c>
      <c r="AD76" s="137"/>
      <c r="AE76" s="153">
        <f>AE65</f>
        <v>11067.439733122261</v>
      </c>
      <c r="AF76" s="137"/>
      <c r="AG76" s="153">
        <f>AG65</f>
        <v>18408.273397425168</v>
      </c>
      <c r="AH76" s="137"/>
      <c r="AI76" s="153">
        <f>SUM(AA76,AC76,AE76,AG76)</f>
        <v>54809.250679270503</v>
      </c>
      <c r="AJ76" s="154">
        <f>SUM(AA76,AC76)</f>
        <v>25333.537548723074</v>
      </c>
      <c r="AK76" s="154">
        <f>SUM(AE76,AG76)</f>
        <v>29475.713130547429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11052.406378425516</v>
      </c>
      <c r="AD78" s="112"/>
      <c r="AE78" s="112">
        <f>AC75</f>
        <v>17561.830955376921</v>
      </c>
      <c r="AF78" s="112"/>
      <c r="AG78" s="112">
        <f>AE75</f>
        <v>24276.563720362949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11678.180627036632</v>
      </c>
      <c r="AB79" s="112"/>
      <c r="AC79" s="112">
        <f>AA79-AA74+AC65-AC70</f>
        <v>19159.263580195227</v>
      </c>
      <c r="AD79" s="112"/>
      <c r="AE79" s="112">
        <f>AC79-AC74+AE65-AE70</f>
        <v>25855.020828540815</v>
      </c>
      <c r="AF79" s="112"/>
      <c r="AG79" s="112">
        <f>AE79-AE74+AG65-AG70</f>
        <v>39910.587257829749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0.22842238774586635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0.22842238774586635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3.4473975103451439E-2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3.4473975103451439E-2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3.918173338612393E-3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3.918173338612393E-3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3.8304416781612706E-2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3.8304416781612706E-2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0.42909090909090908</v>
      </c>
      <c r="I107" s="22">
        <f t="shared" si="59"/>
        <v>13.360902129740749</v>
      </c>
      <c r="J107" s="24">
        <f t="shared" si="60"/>
        <v>13.360902129740749</v>
      </c>
      <c r="K107" s="22">
        <f t="shared" si="61"/>
        <v>31.137695641344969</v>
      </c>
      <c r="L107" s="22">
        <f t="shared" si="62"/>
        <v>13.360902129740749</v>
      </c>
      <c r="M107" s="227">
        <f t="shared" si="63"/>
        <v>13.360902129740749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0.44528461982852724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0.44528461982852724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20.976347184840108</v>
      </c>
      <c r="J119" s="24">
        <f>SUM(J91:J118)</f>
        <v>21.015773373827468</v>
      </c>
      <c r="K119" s="22">
        <f>SUM(K91:K118)</f>
        <v>45.826434060271026</v>
      </c>
      <c r="L119" s="22">
        <f>SUM(L91:L118)</f>
        <v>21.016337754732426</v>
      </c>
      <c r="M119" s="57">
        <f t="shared" si="50"/>
        <v>21.015773373827468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19.94980235094317</v>
      </c>
      <c r="J128" s="228">
        <f>(J30)</f>
        <v>0.47208950909850511</v>
      </c>
      <c r="K128" s="22">
        <f>(B128)</f>
        <v>0.58156372602739725</v>
      </c>
      <c r="L128" s="22">
        <f>IF(L124=L119,0,(L119-L124)/(B119-B124)*K128)</f>
        <v>0.26056096334958917</v>
      </c>
      <c r="M128" s="57">
        <f t="shared" si="90"/>
        <v>0.47208950909850511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11.751478526910674</v>
      </c>
      <c r="K129" s="29">
        <f>(B129)</f>
        <v>33.176251353822522</v>
      </c>
      <c r="L129" s="60">
        <f>IF(SUM(L124:L128)&gt;L130,0,L130-SUM(L124:L128))</f>
        <v>11.963571453564548</v>
      </c>
      <c r="M129" s="57">
        <f t="shared" si="90"/>
        <v>11.751478526910674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20.976347184840108</v>
      </c>
      <c r="J130" s="228">
        <f>(J119)</f>
        <v>21.015773373827468</v>
      </c>
      <c r="K130" s="22">
        <f>(B130)</f>
        <v>45.826434060271026</v>
      </c>
      <c r="L130" s="22">
        <f>(L119)</f>
        <v>21.016337754732426</v>
      </c>
      <c r="M130" s="57">
        <f t="shared" si="90"/>
        <v>21.015773373827468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7" workbookViewId="0">
      <selection activeCell="T85" sqref="T8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1405.0834301542359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4724.5123076408008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5127.4567818881378</v>
      </c>
      <c r="I76" s="109">
        <f>Rich!T11</f>
        <v>13094.588507483795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945.34239996056874</v>
      </c>
      <c r="G77" s="109">
        <f>Poor!T12</f>
        <v>811.86871820674025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1159.9640742644297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25488</v>
      </c>
      <c r="I79" s="109">
        <f>Rich!T14</f>
        <v>173318.39999999999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3050.1532990519895</v>
      </c>
      <c r="G81" s="109">
        <f>Poor!T16</f>
        <v>3472.2719474374148</v>
      </c>
      <c r="H81" s="109">
        <f>Middle!T16</f>
        <v>3029.1094739349514</v>
      </c>
      <c r="I81" s="109">
        <f>Rich!T16</f>
        <v>5776.2580029306828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36117.090113658283</v>
      </c>
      <c r="G88" s="109">
        <f>Poor!T23</f>
        <v>43717.487054126614</v>
      </c>
      <c r="H88" s="109">
        <f>Middle!T23</f>
        <v>79037.026449335812</v>
      </c>
      <c r="I88" s="109">
        <f>Rich!T23</f>
        <v>274593.15472533903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2456.1693246649593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27009.609324664962</v>
      </c>
      <c r="G100" s="239">
        <f t="shared" si="0"/>
        <v>19409.212384196631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2016-08-12T04:06:02Z</dcterms:modified>
  <cp:category/>
</cp:coreProperties>
</file>