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10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I8" i="8"/>
  <c r="B9" i="8"/>
  <c r="C9" i="8"/>
  <c r="D9" i="8"/>
  <c r="E9" i="7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7"/>
  <c r="E40" i="8"/>
  <c r="G40" i="8"/>
  <c r="F40" i="7"/>
  <c r="F40" i="8"/>
  <c r="H94" i="8"/>
  <c r="I94" i="8"/>
  <c r="B41" i="8"/>
  <c r="B95" i="8"/>
  <c r="C41" i="8"/>
  <c r="C95" i="8"/>
  <c r="D95" i="8"/>
  <c r="E41" i="7"/>
  <c r="E41" i="8"/>
  <c r="G41" i="8"/>
  <c r="F41" i="7"/>
  <c r="F41" i="8"/>
  <c r="H95" i="8"/>
  <c r="I95" i="8"/>
  <c r="B42" i="8"/>
  <c r="B96" i="8"/>
  <c r="C42" i="8"/>
  <c r="C96" i="8"/>
  <c r="D96" i="8"/>
  <c r="E42" i="7"/>
  <c r="E42" i="8"/>
  <c r="G42" i="8"/>
  <c r="F42" i="7"/>
  <c r="F42" i="8"/>
  <c r="H96" i="8"/>
  <c r="I96" i="8"/>
  <c r="B43" i="8"/>
  <c r="B97" i="8"/>
  <c r="C43" i="8"/>
  <c r="C97" i="8"/>
  <c r="D97" i="8"/>
  <c r="E43" i="7"/>
  <c r="E43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E47" i="7"/>
  <c r="E47" i="8"/>
  <c r="G47" i="8"/>
  <c r="F47" i="7"/>
  <c r="F47" i="8"/>
  <c r="H101" i="8"/>
  <c r="I101" i="8"/>
  <c r="B48" i="8"/>
  <c r="B102" i="8"/>
  <c r="C48" i="8"/>
  <c r="C102" i="8"/>
  <c r="D102" i="8"/>
  <c r="E48" i="7"/>
  <c r="E48" i="8"/>
  <c r="G48" i="8"/>
  <c r="F48" i="7"/>
  <c r="F48" i="8"/>
  <c r="H102" i="8"/>
  <c r="I102" i="8"/>
  <c r="B49" i="8"/>
  <c r="B103" i="8"/>
  <c r="C49" i="8"/>
  <c r="C103" i="8"/>
  <c r="D103" i="8"/>
  <c r="E49" i="7"/>
  <c r="E49" i="8"/>
  <c r="G49" i="8"/>
  <c r="F49" i="7"/>
  <c r="F49" i="8"/>
  <c r="H103" i="8"/>
  <c r="I103" i="8"/>
  <c r="B50" i="8"/>
  <c r="B104" i="8"/>
  <c r="C50" i="8"/>
  <c r="C104" i="8"/>
  <c r="D104" i="8"/>
  <c r="E50" i="7"/>
  <c r="E50" i="8"/>
  <c r="G50" i="8"/>
  <c r="F50" i="7"/>
  <c r="F50" i="8"/>
  <c r="H104" i="8"/>
  <c r="I104" i="8"/>
  <c r="B51" i="8"/>
  <c r="B105" i="8"/>
  <c r="C51" i="8"/>
  <c r="C105" i="8"/>
  <c r="D105" i="8"/>
  <c r="E51" i="7"/>
  <c r="E51" i="8"/>
  <c r="G51" i="8"/>
  <c r="F51" i="7"/>
  <c r="F51" i="8"/>
  <c r="H105" i="8"/>
  <c r="I105" i="8"/>
  <c r="B52" i="8"/>
  <c r="B106" i="8"/>
  <c r="C52" i="8"/>
  <c r="C106" i="8"/>
  <c r="D106" i="8"/>
  <c r="E52" i="7"/>
  <c r="E52" i="8"/>
  <c r="G52" i="8"/>
  <c r="F52" i="7"/>
  <c r="F52" i="8"/>
  <c r="H106" i="8"/>
  <c r="I106" i="8"/>
  <c r="B53" i="8"/>
  <c r="B107" i="8"/>
  <c r="C53" i="8"/>
  <c r="C107" i="8"/>
  <c r="D107" i="8"/>
  <c r="E53" i="7"/>
  <c r="E53" i="8"/>
  <c r="G53" i="8"/>
  <c r="F53" i="7"/>
  <c r="F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F57" i="7"/>
  <c r="F57" i="8"/>
  <c r="H111" i="8"/>
  <c r="I111" i="8"/>
  <c r="B58" i="8"/>
  <c r="B112" i="8"/>
  <c r="C58" i="8"/>
  <c r="C112" i="8"/>
  <c r="D112" i="8"/>
  <c r="E58" i="7"/>
  <c r="E58" i="8"/>
  <c r="G58" i="8"/>
  <c r="F58" i="7"/>
  <c r="F58" i="8"/>
  <c r="H112" i="8"/>
  <c r="I112" i="8"/>
  <c r="B59" i="8"/>
  <c r="B113" i="8"/>
  <c r="C59" i="8"/>
  <c r="C113" i="8"/>
  <c r="D113" i="8"/>
  <c r="E59" i="7"/>
  <c r="E59" i="8"/>
  <c r="G59" i="8"/>
  <c r="H113" i="8"/>
  <c r="I113" i="8"/>
  <c r="B60" i="8"/>
  <c r="B114" i="8"/>
  <c r="C60" i="8"/>
  <c r="C114" i="8"/>
  <c r="D114" i="8"/>
  <c r="E60" i="7"/>
  <c r="E60" i="8"/>
  <c r="G60" i="8"/>
  <c r="F60" i="7"/>
  <c r="F60" i="8"/>
  <c r="H114" i="8"/>
  <c r="I114" i="8"/>
  <c r="B61" i="8"/>
  <c r="B115" i="8"/>
  <c r="C61" i="8"/>
  <c r="C115" i="8"/>
  <c r="D115" i="8"/>
  <c r="G61" i="8"/>
  <c r="F61" i="7"/>
  <c r="F61" i="8"/>
  <c r="H115" i="8"/>
  <c r="I115" i="8"/>
  <c r="B62" i="8"/>
  <c r="B116" i="8"/>
  <c r="C62" i="8"/>
  <c r="C116" i="8"/>
  <c r="D116" i="8"/>
  <c r="G62" i="8"/>
  <c r="F62" i="7"/>
  <c r="F62" i="8"/>
  <c r="H116" i="8"/>
  <c r="I116" i="8"/>
  <c r="B63" i="8"/>
  <c r="B117" i="8"/>
  <c r="C63" i="8"/>
  <c r="C117" i="8"/>
  <c r="D117" i="8"/>
  <c r="G63" i="8"/>
  <c r="F63" i="7"/>
  <c r="F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7" i="8"/>
  <c r="M97" i="8"/>
  <c r="J98" i="8"/>
  <c r="M98" i="8"/>
  <c r="J99" i="8"/>
  <c r="M99" i="8"/>
  <c r="J100" i="8"/>
  <c r="M100" i="8"/>
  <c r="J91" i="8"/>
  <c r="M91" i="8"/>
  <c r="J92" i="8"/>
  <c r="M92" i="8"/>
  <c r="J93" i="8"/>
  <c r="M93" i="8"/>
  <c r="J94" i="8"/>
  <c r="M94" i="8"/>
  <c r="J95" i="8"/>
  <c r="M95" i="8"/>
  <c r="J96" i="8"/>
  <c r="M96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I8" i="7"/>
  <c r="B9" i="7"/>
  <c r="C9" i="7"/>
  <c r="D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7" i="7"/>
  <c r="M97" i="7"/>
  <c r="J98" i="7"/>
  <c r="M98" i="7"/>
  <c r="J99" i="7"/>
  <c r="M99" i="7"/>
  <c r="J100" i="7"/>
  <c r="M100" i="7"/>
  <c r="J91" i="7"/>
  <c r="M91" i="7"/>
  <c r="J92" i="7"/>
  <c r="M92" i="7"/>
  <c r="J93" i="7"/>
  <c r="M93" i="7"/>
  <c r="J94" i="7"/>
  <c r="M94" i="7"/>
  <c r="J95" i="7"/>
  <c r="M95" i="7"/>
  <c r="J96" i="7"/>
  <c r="M96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I8" i="12"/>
  <c r="B9" i="12"/>
  <c r="C9" i="12"/>
  <c r="D9" i="12"/>
  <c r="E9" i="12"/>
  <c r="H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E39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E41" i="12"/>
  <c r="G41" i="12"/>
  <c r="F41" i="12"/>
  <c r="H95" i="12"/>
  <c r="I95" i="12"/>
  <c r="B42" i="12"/>
  <c r="B96" i="12"/>
  <c r="C42" i="12"/>
  <c r="C96" i="12"/>
  <c r="D96" i="12"/>
  <c r="E42" i="12"/>
  <c r="G42" i="12"/>
  <c r="F42" i="12"/>
  <c r="H96" i="12"/>
  <c r="I96" i="12"/>
  <c r="B43" i="12"/>
  <c r="B97" i="12"/>
  <c r="C43" i="12"/>
  <c r="C97" i="12"/>
  <c r="D97" i="12"/>
  <c r="E43" i="12"/>
  <c r="G43" i="12"/>
  <c r="F43" i="12"/>
  <c r="H97" i="12"/>
  <c r="I97" i="12"/>
  <c r="B44" i="12"/>
  <c r="B98" i="12"/>
  <c r="C44" i="12"/>
  <c r="C98" i="12"/>
  <c r="D98" i="12"/>
  <c r="E44" i="12"/>
  <c r="G44" i="12"/>
  <c r="F44" i="12"/>
  <c r="H98" i="12"/>
  <c r="I98" i="12"/>
  <c r="B45" i="12"/>
  <c r="B99" i="12"/>
  <c r="C45" i="12"/>
  <c r="C99" i="12"/>
  <c r="D99" i="12"/>
  <c r="E45" i="12"/>
  <c r="G45" i="12"/>
  <c r="F45" i="12"/>
  <c r="H99" i="12"/>
  <c r="I99" i="12"/>
  <c r="B46" i="12"/>
  <c r="B100" i="12"/>
  <c r="C46" i="12"/>
  <c r="C100" i="12"/>
  <c r="D100" i="12"/>
  <c r="E46" i="12"/>
  <c r="G46" i="12"/>
  <c r="F46" i="12"/>
  <c r="H100" i="12"/>
  <c r="I100" i="12"/>
  <c r="B47" i="12"/>
  <c r="B101" i="12"/>
  <c r="C47" i="12"/>
  <c r="C101" i="12"/>
  <c r="D101" i="12"/>
  <c r="E47" i="12"/>
  <c r="G47" i="12"/>
  <c r="F47" i="12"/>
  <c r="H101" i="12"/>
  <c r="I101" i="12"/>
  <c r="B48" i="12"/>
  <c r="B102" i="12"/>
  <c r="C48" i="12"/>
  <c r="C102" i="12"/>
  <c r="D102" i="12"/>
  <c r="E48" i="12"/>
  <c r="G48" i="12"/>
  <c r="F48" i="12"/>
  <c r="H102" i="12"/>
  <c r="I102" i="12"/>
  <c r="B49" i="12"/>
  <c r="B103" i="12"/>
  <c r="C49" i="12"/>
  <c r="C103" i="12"/>
  <c r="D103" i="12"/>
  <c r="E49" i="12"/>
  <c r="G49" i="12"/>
  <c r="F49" i="12"/>
  <c r="H103" i="12"/>
  <c r="I103" i="12"/>
  <c r="B50" i="12"/>
  <c r="B104" i="12"/>
  <c r="C50" i="12"/>
  <c r="C104" i="12"/>
  <c r="D104" i="12"/>
  <c r="E50" i="12"/>
  <c r="G50" i="12"/>
  <c r="F50" i="12"/>
  <c r="H104" i="12"/>
  <c r="I104" i="12"/>
  <c r="B51" i="12"/>
  <c r="B105" i="12"/>
  <c r="C51" i="12"/>
  <c r="C105" i="12"/>
  <c r="D105" i="12"/>
  <c r="E51" i="12"/>
  <c r="G51" i="12"/>
  <c r="F51" i="12"/>
  <c r="H105" i="12"/>
  <c r="I105" i="12"/>
  <c r="B52" i="12"/>
  <c r="B106" i="12"/>
  <c r="C52" i="12"/>
  <c r="C106" i="12"/>
  <c r="D106" i="12"/>
  <c r="E52" i="12"/>
  <c r="G52" i="12"/>
  <c r="F52" i="12"/>
  <c r="H106" i="12"/>
  <c r="I106" i="12"/>
  <c r="B53" i="12"/>
  <c r="B107" i="12"/>
  <c r="C53" i="12"/>
  <c r="C107" i="12"/>
  <c r="D107" i="12"/>
  <c r="E53" i="12"/>
  <c r="G53" i="12"/>
  <c r="F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F57" i="12"/>
  <c r="H111" i="12"/>
  <c r="I111" i="12"/>
  <c r="B58" i="12"/>
  <c r="B112" i="12"/>
  <c r="C58" i="12"/>
  <c r="C112" i="12"/>
  <c r="D112" i="12"/>
  <c r="E58" i="12"/>
  <c r="G58" i="12"/>
  <c r="F58" i="12"/>
  <c r="H112" i="12"/>
  <c r="I112" i="12"/>
  <c r="B59" i="12"/>
  <c r="B113" i="12"/>
  <c r="C59" i="12"/>
  <c r="C113" i="12"/>
  <c r="D113" i="12"/>
  <c r="E59" i="12"/>
  <c r="G59" i="12"/>
  <c r="H113" i="12"/>
  <c r="I113" i="12"/>
  <c r="B60" i="12"/>
  <c r="B114" i="12"/>
  <c r="C60" i="12"/>
  <c r="C114" i="12"/>
  <c r="D114" i="12"/>
  <c r="E60" i="12"/>
  <c r="G60" i="12"/>
  <c r="F60" i="12"/>
  <c r="H114" i="12"/>
  <c r="I114" i="12"/>
  <c r="B61" i="12"/>
  <c r="B115" i="12"/>
  <c r="C61" i="12"/>
  <c r="C115" i="12"/>
  <c r="D115" i="12"/>
  <c r="G61" i="12"/>
  <c r="F61" i="12"/>
  <c r="H115" i="12"/>
  <c r="I115" i="12"/>
  <c r="B62" i="12"/>
  <c r="B116" i="12"/>
  <c r="C62" i="12"/>
  <c r="C116" i="12"/>
  <c r="D116" i="12"/>
  <c r="G62" i="12"/>
  <c r="F62" i="12"/>
  <c r="H116" i="12"/>
  <c r="I116" i="12"/>
  <c r="B63" i="12"/>
  <c r="B117" i="12"/>
  <c r="C63" i="12"/>
  <c r="C117" i="12"/>
  <c r="D117" i="12"/>
  <c r="G63" i="12"/>
  <c r="F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7" i="12"/>
  <c r="M97" i="12"/>
  <c r="J98" i="12"/>
  <c r="M98" i="12"/>
  <c r="J99" i="12"/>
  <c r="M99" i="12"/>
  <c r="J100" i="12"/>
  <c r="M100" i="12"/>
  <c r="J91" i="12"/>
  <c r="M91" i="12"/>
  <c r="J92" i="12"/>
  <c r="M92" i="12"/>
  <c r="J93" i="12"/>
  <c r="M93" i="12"/>
  <c r="J94" i="12"/>
  <c r="M94" i="12"/>
  <c r="J95" i="12"/>
  <c r="M95" i="12"/>
  <c r="J96" i="12"/>
  <c r="M96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43" i="1"/>
  <c r="B80" i="1"/>
  <c r="B82" i="1"/>
  <c r="B83" i="1"/>
  <c r="B97" i="1"/>
  <c r="K97" i="1"/>
  <c r="B44" i="1"/>
  <c r="B98" i="1"/>
  <c r="K98" i="1"/>
  <c r="B45" i="1"/>
  <c r="B99" i="1"/>
  <c r="K99" i="1"/>
  <c r="B46" i="1"/>
  <c r="B100" i="1"/>
  <c r="K100" i="1"/>
  <c r="B37" i="1"/>
  <c r="B91" i="1"/>
  <c r="K91" i="1"/>
  <c r="B38" i="1"/>
  <c r="B92" i="1"/>
  <c r="K92" i="1"/>
  <c r="B39" i="1"/>
  <c r="B93" i="1"/>
  <c r="K93" i="1"/>
  <c r="B40" i="1"/>
  <c r="B94" i="1"/>
  <c r="K94" i="1"/>
  <c r="B41" i="1"/>
  <c r="B95" i="1"/>
  <c r="K95" i="1"/>
  <c r="B42" i="1"/>
  <c r="B96" i="1"/>
  <c r="K96" i="1"/>
  <c r="B47" i="1"/>
  <c r="B101" i="1"/>
  <c r="K101" i="1"/>
  <c r="B48" i="1"/>
  <c r="B102" i="1"/>
  <c r="K102" i="1"/>
  <c r="B49" i="1"/>
  <c r="B103" i="1"/>
  <c r="K103" i="1"/>
  <c r="B50" i="1"/>
  <c r="B104" i="1"/>
  <c r="K104" i="1"/>
  <c r="B51" i="1"/>
  <c r="B105" i="1"/>
  <c r="K105" i="1"/>
  <c r="B52" i="1"/>
  <c r="B106" i="1"/>
  <c r="K106" i="1"/>
  <c r="B53" i="1"/>
  <c r="B107" i="1"/>
  <c r="K107" i="1"/>
  <c r="B54" i="1"/>
  <c r="B108" i="1"/>
  <c r="K108" i="1"/>
  <c r="B55" i="1"/>
  <c r="B109" i="1"/>
  <c r="K109" i="1"/>
  <c r="B56" i="1"/>
  <c r="B110" i="1"/>
  <c r="K110" i="1"/>
  <c r="B57" i="1"/>
  <c r="B111" i="1"/>
  <c r="K111" i="1"/>
  <c r="B58" i="1"/>
  <c r="B112" i="1"/>
  <c r="K112" i="1"/>
  <c r="B59" i="1"/>
  <c r="B113" i="1"/>
  <c r="K113" i="1"/>
  <c r="B60" i="1"/>
  <c r="B114" i="1"/>
  <c r="K114" i="1"/>
  <c r="B61" i="1"/>
  <c r="B115" i="1"/>
  <c r="K115" i="1"/>
  <c r="B62" i="1"/>
  <c r="B116" i="1"/>
  <c r="K116" i="1"/>
  <c r="B63" i="1"/>
  <c r="B117" i="1"/>
  <c r="K117" i="1"/>
  <c r="B64" i="1"/>
  <c r="B118" i="1"/>
  <c r="K118" i="1"/>
  <c r="B70" i="1"/>
  <c r="B29" i="1"/>
  <c r="C29" i="1"/>
  <c r="D29" i="1"/>
  <c r="B84" i="1"/>
  <c r="F7" i="1"/>
  <c r="H29" i="1"/>
  <c r="H83" i="1"/>
  <c r="I83" i="1"/>
  <c r="H70" i="1"/>
  <c r="I84" i="1"/>
  <c r="H84" i="1"/>
  <c r="R8" i="1"/>
  <c r="H97" i="1"/>
  <c r="L97" i="1"/>
  <c r="H98" i="1"/>
  <c r="L98" i="1"/>
  <c r="H99" i="1"/>
  <c r="L99" i="1"/>
  <c r="H100" i="1"/>
  <c r="L100" i="1"/>
  <c r="H91" i="1"/>
  <c r="L91" i="1"/>
  <c r="H92" i="1"/>
  <c r="L92" i="1"/>
  <c r="H93" i="1"/>
  <c r="L93" i="1"/>
  <c r="H94" i="1"/>
  <c r="L94" i="1"/>
  <c r="H95" i="1"/>
  <c r="L95" i="1"/>
  <c r="H96" i="1"/>
  <c r="L96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S8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I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97" i="1"/>
  <c r="M97" i="1"/>
  <c r="J98" i="1"/>
  <c r="M98" i="1"/>
  <c r="J99" i="1"/>
  <c r="M99" i="1"/>
  <c r="J100" i="1"/>
  <c r="M100" i="1"/>
  <c r="J91" i="1"/>
  <c r="M91" i="1"/>
  <c r="J92" i="1"/>
  <c r="M92" i="1"/>
  <c r="J93" i="1"/>
  <c r="M93" i="1"/>
  <c r="J94" i="1"/>
  <c r="M94" i="1"/>
  <c r="J95" i="1"/>
  <c r="M95" i="1"/>
  <c r="J96" i="1"/>
  <c r="M96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R9" i="1"/>
  <c r="S9" i="1"/>
  <c r="J6" i="1"/>
  <c r="M6" i="1"/>
  <c r="J7" i="1"/>
  <c r="M7" i="1"/>
  <c r="T9" i="1"/>
  <c r="R10" i="1"/>
  <c r="S10" i="1"/>
  <c r="T10" i="1"/>
  <c r="R11" i="1"/>
  <c r="S11" i="1"/>
  <c r="T11" i="1"/>
  <c r="R12" i="1"/>
  <c r="S12" i="1"/>
  <c r="J21" i="1"/>
  <c r="M21" i="1"/>
  <c r="T12" i="1"/>
  <c r="R13" i="1"/>
  <c r="S13" i="1"/>
  <c r="J22" i="1"/>
  <c r="M22" i="1"/>
  <c r="J23" i="1"/>
  <c r="M2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J26" i="1"/>
  <c r="M26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7" i="1"/>
  <c r="H71" i="1"/>
  <c r="H72" i="1"/>
  <c r="T26" i="1"/>
  <c r="S26" i="1"/>
  <c r="R26" i="1"/>
  <c r="T25" i="1"/>
  <c r="S25" i="1"/>
  <c r="R25" i="1"/>
  <c r="T24" i="1"/>
  <c r="S24" i="1"/>
  <c r="R24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4" i="1"/>
  <c r="M24" i="1"/>
  <c r="J25" i="1"/>
  <c r="M25" i="1"/>
  <c r="J27" i="1"/>
  <c r="M27" i="1"/>
  <c r="J28" i="1"/>
  <c r="M28" i="1"/>
  <c r="T7" i="1"/>
  <c r="S7" i="1"/>
  <c r="T23" i="1"/>
  <c r="T32" i="1"/>
  <c r="S23" i="1"/>
  <c r="S32" i="1"/>
  <c r="R23" i="1"/>
  <c r="R32" i="1"/>
  <c r="T31" i="1"/>
  <c r="S31" i="1"/>
  <c r="R31" i="1"/>
  <c r="T30" i="1"/>
  <c r="S30" i="1"/>
  <c r="R30" i="1"/>
  <c r="J29" i="12"/>
  <c r="J30" i="12"/>
  <c r="J31" i="12"/>
  <c r="J29" i="1"/>
  <c r="J30" i="1"/>
  <c r="J31" i="1"/>
  <c r="J29" i="7"/>
  <c r="J30" i="7"/>
  <c r="J31" i="7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5" i="12"/>
  <c r="E56" i="12"/>
  <c r="E57" i="12"/>
  <c r="F59" i="12"/>
  <c r="E61" i="12"/>
  <c r="E62" i="12"/>
  <c r="E63" i="12"/>
  <c r="E64" i="12"/>
  <c r="F64" i="12"/>
  <c r="E30" i="12"/>
  <c r="E8" i="12"/>
  <c r="H8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5" i="7"/>
  <c r="E56" i="7"/>
  <c r="E57" i="7"/>
  <c r="F59" i="7"/>
  <c r="E61" i="7"/>
  <c r="E62" i="7"/>
  <c r="E63" i="7"/>
  <c r="E64" i="7"/>
  <c r="F64" i="7"/>
  <c r="E30" i="7"/>
  <c r="E8" i="7"/>
  <c r="H8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5" i="8"/>
  <c r="E56" i="8"/>
  <c r="E57" i="8"/>
  <c r="F59" i="8"/>
  <c r="E61" i="8"/>
  <c r="E62" i="8"/>
  <c r="E63" i="8"/>
  <c r="E64" i="8"/>
  <c r="F64" i="8"/>
  <c r="E30" i="8"/>
  <c r="E8" i="8"/>
  <c r="H8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<sst xmlns="http://schemas.openxmlformats.org/spreadsheetml/2006/main" count="790" uniqueCount="146">
  <si>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</si>
  <si>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</si>
  <si>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</si>
  <si>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</si>
  <si>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</si>
  <si>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</si>
  <si>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</si>
  <si>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</si>
  <si>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</si>
  <si>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</si>
  <si>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</si>
  <si>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</si>
  <si>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</si>
  <si>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</si>
  <si>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</si>
  <si>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</si>
  <si>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</si>
  <si>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</si>
  <si>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</si>
  <si>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</si>
  <si>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</si>
  <si>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</si>
  <si>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</si>
  <si>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</si>
  <si>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</si>
  <si>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</si>
  <si>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</si>
  <si>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</si>
  <si>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</si>
  <si>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</si>
  <si>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</si>
  <si>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</si>
  <si>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</si>
  <si>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</si>
  <si>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</si>
  <si>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</si>
  <si>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</si>
  <si>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</si>
  <si>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</si>
  <si>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</si>
  <si>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</si>
  <si>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</si>
  <si>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</si>
  <si>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</si>
  <si>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</si>
  <si>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</si>
  <si>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</si>
  <si>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</si>
  <si>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</si>
  <si>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</si>
  <si>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</si>
  <si>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</si>
  <si>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</si>
  <si>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</si>
  <si>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</si>
  <si>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</si>
  <si>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</si>
  <si>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</si>
  <si>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</si>
  <si>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</si>
  <si>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</si>
  <si>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</si>
  <si>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</si>
  <si>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</si>
  <si>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</si>
  <si>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</si>
  <si>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</si>
  <si>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</si>
  <si>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</si>
  <si>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</si>
  <si>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</si>
  <si>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</si>
  <si>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</si>
  <si>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</si>
  <si>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</si>
  <si>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</si>
  <si>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</si>
  <si>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</si>
  <si>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</si>
  <si>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</si>
  <si>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</si>
  <si>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</si>
  <si>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</si>
  <si>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</si>
  <si>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</si>
  <si>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</si>
  <si>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</si>
  <si>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</si>
  <si>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</si>
  <si>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</si>
  <si>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</si>
  <si>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</si>
  <si>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</si>
  <si>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</si>
  <si>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</si>
  <si>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</si>
  <si>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</si>
  <si>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</si>
  <si>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</si>
  <si>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</si>
  <si>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</si>
  <si>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</si>
  <si>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</si>
  <si>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</si>
  <si>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</si>
  <si>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</si>
  <si>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</si>
  <si>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</si>
  <si>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</si>
  <si>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</si>
  <si>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</si>
  <si>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</si>
  <si>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</si>
  <si>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</si>
  <si>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</si>
  <si>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</si>
  <si>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</si>
  <si>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</si>
  <si>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</si>
  <si>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</si>
  <si>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</si>
  <si>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</si>
  <si>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</si>
  <si>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</si>
  <si>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</si>
  <si>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</si>
  <si>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</si>
  <si>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</si>
  <si>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</si>
  <si>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</si>
  <si>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</si>
  <si>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</si>
  <si>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</si>
  <si>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</si>
  <si>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</si>
  <si>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</si>
  <si>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</si>
  <si>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</si>
  <si>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</si>
  <si>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</si>
  <si>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</si>
  <si>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</si>
  <si>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</si>
  <si>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</si>
  <si>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</si>
  <si>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Own crops consumed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</si>
</sst>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8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0.0400431183063512</c:v>
                </c:pt>
                <c:pt idx="1">
                  <c:v>0.0200215591531756</c:v>
                </c:pt>
                <c:pt idx="2" formatCode="0.0%">
                  <c:v>0.0200215591531756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0.0324242839352428</c:v>
                </c:pt>
                <c:pt idx="1">
                  <c:v>0.0162121419676214</c:v>
                </c:pt>
                <c:pt idx="2" formatCode="0.0%">
                  <c:v>0.0162121419676214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0.0615115479452055</c:v>
                </c:pt>
                <c:pt idx="1">
                  <c:v>0.067047587260274</c:v>
                </c:pt>
                <c:pt idx="2" formatCode="0.0%">
                  <c:v>0.067047587260274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7.84557907845579E-5</c:v>
                </c:pt>
                <c:pt idx="1">
                  <c:v>7.84557907845579E-5</c:v>
                </c:pt>
                <c:pt idx="2" formatCode="0.0%">
                  <c:v>0.000496886674968867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-0.00106382316313823</c:v>
                </c:pt>
                <c:pt idx="1">
                  <c:v>-0.00106382316313823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0.00883561643835616</c:v>
                </c:pt>
                <c:pt idx="1">
                  <c:v>0.00883561643835616</c:v>
                </c:pt>
                <c:pt idx="2" formatCode="0.0%">
                  <c:v>0.00883561643835616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0.000494271481942715</c:v>
                </c:pt>
                <c:pt idx="1">
                  <c:v>0.000494271481942715</c:v>
                </c:pt>
                <c:pt idx="2" formatCode="0.0%">
                  <c:v>0.00222422166874222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-0.000182129514321295</c:v>
                </c:pt>
                <c:pt idx="1">
                  <c:v>-0.000182129514321295</c:v>
                </c:pt>
                <c:pt idx="2" formatCode="0.0%">
                  <c:v>-0.000142304398522669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0.0117310087173101</c:v>
                </c:pt>
                <c:pt idx="1">
                  <c:v>0.0117310087173101</c:v>
                </c:pt>
                <c:pt idx="2" formatCode="0.0%">
                  <c:v>0.011823948786881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0.0010167198007472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0.0946331506849315</c:v>
                </c:pt>
                <c:pt idx="1">
                  <c:v>0.0946331506849315</c:v>
                </c:pt>
                <c:pt idx="2" formatCode="0.0%">
                  <c:v>0.0946331506849315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0.208498468841843</c:v>
                </c:pt>
                <c:pt idx="1">
                  <c:v>0.208498468841843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0.714409899377335</c:v>
                </c:pt>
                <c:pt idx="1">
                  <c:v>0.436798841251959</c:v>
                </c:pt>
                <c:pt idx="2" formatCode="0.0%">
                  <c:v>0.393907983735113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5422728"/>
        <c:axId val="-2005405096"/>
      </c:barChart>
      <c:catAx>
        <c:axId val="-200542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5405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5405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5422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0.0386454760639583</c:v>
                </c:pt>
                <c:pt idx="1">
                  <c:v>0.0228008308777354</c:v>
                </c:pt>
                <c:pt idx="2">
                  <c:v>0.0289006044155491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0.0144920535239843</c:v>
                </c:pt>
                <c:pt idx="1">
                  <c:v>0.00855031157915076</c:v>
                </c:pt>
                <c:pt idx="2">
                  <c:v>0.00855031157915076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0.0676295831119269</c:v>
                </c:pt>
                <c:pt idx="1">
                  <c:v>0.063842326457659</c:v>
                </c:pt>
                <c:pt idx="2">
                  <c:v>0.063842326457659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0.0649243997874499</c:v>
                </c:pt>
                <c:pt idx="1">
                  <c:v>0.0612886333993527</c:v>
                </c:pt>
                <c:pt idx="2">
                  <c:v>0.0394270450398282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0.00579682140959374</c:v>
                </c:pt>
                <c:pt idx="1">
                  <c:v>0.00547219941065649</c:v>
                </c:pt>
                <c:pt idx="2">
                  <c:v>0.00547219941065649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0.00405777498671562</c:v>
                </c:pt>
                <c:pt idx="1">
                  <c:v>0.00478817448432443</c:v>
                </c:pt>
                <c:pt idx="2">
                  <c:v>0.00478817448432443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0.0724602676199217</c:v>
                </c:pt>
                <c:pt idx="1">
                  <c:v>0.110574368388001</c:v>
                </c:pt>
                <c:pt idx="2">
                  <c:v>0.0514117343708156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0.00405777498671562</c:v>
                </c:pt>
                <c:pt idx="2">
                  <c:v>0.00188666915122259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0.00753586783247186</c:v>
                </c:pt>
                <c:pt idx="1">
                  <c:v>0.0105502149654606</c:v>
                </c:pt>
                <c:pt idx="2">
                  <c:v>0.00998572744823242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0.00289841070479687</c:v>
                </c:pt>
                <c:pt idx="1">
                  <c:v>0.00405777498671562</c:v>
                </c:pt>
                <c:pt idx="2">
                  <c:v>0.00514332790446213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0.00486932998405874</c:v>
                </c:pt>
                <c:pt idx="2">
                  <c:v>0.00519499585938269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0.00043476160571953</c:v>
                </c:pt>
                <c:pt idx="1">
                  <c:v>0.000608666248007342</c:v>
                </c:pt>
                <c:pt idx="2">
                  <c:v>0.000283000372683389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0.00202888749335781</c:v>
                </c:pt>
                <c:pt idx="1">
                  <c:v>0.00284044249070093</c:v>
                </c:pt>
                <c:pt idx="2">
                  <c:v>0.00132066840585581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0.00159412588763828</c:v>
                </c:pt>
                <c:pt idx="1">
                  <c:v>0.00223177624269359</c:v>
                </c:pt>
                <c:pt idx="2">
                  <c:v>0.00103766803317243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0.0533790638133423</c:v>
                </c:pt>
                <c:pt idx="1">
                  <c:v>0.0747306893386793</c:v>
                </c:pt>
                <c:pt idx="2">
                  <c:v>0.0347461568683494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0.00347809284575624</c:v>
                </c:pt>
                <c:pt idx="1">
                  <c:v>0.00486932998405874</c:v>
                </c:pt>
                <c:pt idx="2">
                  <c:v>0.00226400298146711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0.023187285638375</c:v>
                </c:pt>
                <c:pt idx="1">
                  <c:v>0.0257378870585962</c:v>
                </c:pt>
                <c:pt idx="2">
                  <c:v>0.0257378870585962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0.260856963431718</c:v>
                </c:pt>
                <c:pt idx="1">
                  <c:v>0.289551229409207</c:v>
                </c:pt>
                <c:pt idx="2">
                  <c:v>0.289551229409207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0.197091927926187</c:v>
                </c:pt>
                <c:pt idx="1">
                  <c:v>0.15767354234095</c:v>
                </c:pt>
                <c:pt idx="2">
                  <c:v>0.174546136262496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0.0811554997343123</c:v>
                </c:pt>
                <c:pt idx="1">
                  <c:v>0.0766107917491909</c:v>
                </c:pt>
                <c:pt idx="2">
                  <c:v>0.0766107917491909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0.0823148640162311</c:v>
                </c:pt>
                <c:pt idx="1">
                  <c:v>0.0971315395391527</c:v>
                </c:pt>
                <c:pt idx="2">
                  <c:v>0.0971315395391527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0.00966136901598956</c:v>
                </c:pt>
                <c:pt idx="1">
                  <c:v>0.0107241196077484</c:v>
                </c:pt>
                <c:pt idx="2">
                  <c:v>0.0107241196077484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9831112"/>
        <c:axId val="-1999804120"/>
      </c:barChart>
      <c:catAx>
        <c:axId val="-199983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804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804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831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0.0333609116869946</c:v>
                </c:pt>
                <c:pt idx="1">
                  <c:v>0.0196829378953268</c:v>
                </c:pt>
                <c:pt idx="2">
                  <c:v>0.0194628134668938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0.0467052763617924</c:v>
                </c:pt>
                <c:pt idx="1">
                  <c:v>0.044089780885532</c:v>
                </c:pt>
                <c:pt idx="2">
                  <c:v>0.043678881952457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0.0098247884918199</c:v>
                </c:pt>
                <c:pt idx="1">
                  <c:v>0.00927460033627799</c:v>
                </c:pt>
                <c:pt idx="2">
                  <c:v>0.00913630349537445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0.00216845925965465</c:v>
                </c:pt>
                <c:pt idx="1">
                  <c:v>0.00204702554111399</c:v>
                </c:pt>
                <c:pt idx="2">
                  <c:v>0.00204702554111399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0.00350289572713443</c:v>
                </c:pt>
                <c:pt idx="1">
                  <c:v>0.00413341695801863</c:v>
                </c:pt>
                <c:pt idx="2">
                  <c:v>0.00413341695801863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0.0500413675304919</c:v>
                </c:pt>
                <c:pt idx="1">
                  <c:v>0.0763631268515306</c:v>
                </c:pt>
                <c:pt idx="2">
                  <c:v>0.079209820731097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0.00290678241215035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0.00193493287784569</c:v>
                </c:pt>
                <c:pt idx="1">
                  <c:v>0.00270890602898396</c:v>
                </c:pt>
                <c:pt idx="2">
                  <c:v>0.00258267648386557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0.00276749463822661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0.00300248205182951</c:v>
                </c:pt>
                <c:pt idx="1">
                  <c:v>0.00420347487256132</c:v>
                </c:pt>
                <c:pt idx="2">
                  <c:v>0.00416430018614526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0.000667218233739891</c:v>
                </c:pt>
                <c:pt idx="1">
                  <c:v>0.000934105527235848</c:v>
                </c:pt>
                <c:pt idx="2">
                  <c:v>0.000968927470716782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0.00165136512850623</c:v>
                </c:pt>
                <c:pt idx="1">
                  <c:v>0.00231191117990872</c:v>
                </c:pt>
                <c:pt idx="2">
                  <c:v>0.00239809549002404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0.000840694974512263</c:v>
                </c:pt>
                <c:pt idx="1">
                  <c:v>0.00117697296431717</c:v>
                </c:pt>
                <c:pt idx="2">
                  <c:v>0.00122084861310315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0.00100082735060984</c:v>
                </c:pt>
                <c:pt idx="1">
                  <c:v>0.00140115829085377</c:v>
                </c:pt>
                <c:pt idx="2">
                  <c:v>0.00145339120607517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0.00290678241215035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0.0232191945341482</c:v>
                </c:pt>
                <c:pt idx="1">
                  <c:v>0.0325068723478075</c:v>
                </c:pt>
                <c:pt idx="2">
                  <c:v>0.033718675980944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0.00200165470121967</c:v>
                </c:pt>
                <c:pt idx="1">
                  <c:v>0.00280231658170754</c:v>
                </c:pt>
                <c:pt idx="2">
                  <c:v>0.00290678241215035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0.30825482398783</c:v>
                </c:pt>
                <c:pt idx="1">
                  <c:v>0.290992553844511</c:v>
                </c:pt>
                <c:pt idx="2">
                  <c:v>0.290992553844511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0.472390509487843</c:v>
                </c:pt>
                <c:pt idx="1">
                  <c:v>0.445936640956524</c:v>
                </c:pt>
                <c:pt idx="2">
                  <c:v>0.445936640956524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0.0284234967573194</c:v>
                </c:pt>
                <c:pt idx="1">
                  <c:v>0.0335397261736369</c:v>
                </c:pt>
                <c:pt idx="2">
                  <c:v>0.0335397261736369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0.00500413675304919</c:v>
                </c:pt>
                <c:pt idx="1">
                  <c:v>0.0055545917958846</c:v>
                </c:pt>
                <c:pt idx="2">
                  <c:v>0.0055545917958846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0390824"/>
        <c:axId val="-1996786264"/>
      </c:barChart>
      <c:catAx>
        <c:axId val="-200039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786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786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39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0.0133600534402138</c:v>
                </c:pt>
                <c:pt idx="1">
                  <c:v>0.0126118904475618</c:v>
                </c:pt>
                <c:pt idx="2">
                  <c:v>0.0126118904475618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0.00283395072974231</c:v>
                </c:pt>
                <c:pt idx="1">
                  <c:v>0.00334406186109593</c:v>
                </c:pt>
                <c:pt idx="2">
                  <c:v>0.00334406186109593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0.00303637578186676</c:v>
                </c:pt>
                <c:pt idx="1">
                  <c:v>0.00425092609461347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0.00931155239772474</c:v>
                </c:pt>
                <c:pt idx="1">
                  <c:v>0.0130361733568146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0.00121455031274671</c:v>
                </c:pt>
                <c:pt idx="1">
                  <c:v>0.00170037043784539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0.000809700208497803</c:v>
                </c:pt>
                <c:pt idx="1">
                  <c:v>0.00113358029189692</c:v>
                </c:pt>
                <c:pt idx="2">
                  <c:v>0.00107925021210039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0.0018420679743325</c:v>
                </c:pt>
                <c:pt idx="1">
                  <c:v>0.0025788951640655</c:v>
                </c:pt>
                <c:pt idx="2">
                  <c:v>0.00245529423252839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0.121455031274671</c:v>
                </c:pt>
                <c:pt idx="1">
                  <c:v>0.134815084714884</c:v>
                </c:pt>
                <c:pt idx="2">
                  <c:v>0.134815084714884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0.573267747616445</c:v>
                </c:pt>
                <c:pt idx="1">
                  <c:v>0.676455942187405</c:v>
                </c:pt>
                <c:pt idx="2">
                  <c:v>0.676455942187405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0.252626465051315</c:v>
                </c:pt>
                <c:pt idx="1">
                  <c:v>0.298099228760551</c:v>
                </c:pt>
                <c:pt idx="2">
                  <c:v>0.298099228760551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0.0202425052124451</c:v>
                </c:pt>
                <c:pt idx="1">
                  <c:v>0.022469180785814</c:v>
                </c:pt>
                <c:pt idx="2">
                  <c:v>0.0224691807858141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812952"/>
        <c:axId val="-1999882328"/>
      </c:barChart>
      <c:catAx>
        <c:axId val="-199681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882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9882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6812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ZANFL - Non-Affected Area with Grants</a:t>
            </a:r>
          </a:p>
        </c:rich>
      </c:tx>
      <c:layout>
        <c:manualLayout>
          <c:xMode val="edge"/>
          <c:yMode val="edge"/>
          <c:x val="0.314990684454599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  <c:pt idx="4">
                  <c:v>3275.328750715406</c:v>
                </c:pt>
                <c:pt idx="5">
                  <c:v>3693.727358022644</c:v>
                </c:pt>
                <c:pt idx="6">
                  <c:v>7108.708312548004</c:v>
                </c:pt>
                <c:pt idx="7">
                  <c:v>18152.10512048037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  <c:pt idx="4">
                  <c:v>174.6100301091065</c:v>
                </c:pt>
                <c:pt idx="5">
                  <c:v>350.0000000000001</c:v>
                </c:pt>
                <c:pt idx="6">
                  <c:v>11724.4203392061</c:v>
                </c:pt>
                <c:pt idx="7">
                  <c:v>51409.18334455189</c:v>
                </c:pt>
              </c:numCache>
            </c:numRef>
          </c:val>
        </c:ser>
        <c:ser>
          <c:idx val="5"/>
          <c:order val="3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  <c:pt idx="4">
                  <c:v>565.791711478315</c:v>
                </c:pt>
                <c:pt idx="5">
                  <c:v>1118.705092214178</c:v>
                </c:pt>
                <c:pt idx="6">
                  <c:v>1319.956799967936</c:v>
                </c:pt>
                <c:pt idx="7">
                  <c:v>1843.483157462461</c:v>
                </c:pt>
              </c:numCache>
            </c:numRef>
          </c:val>
        </c:ser>
        <c:ser>
          <c:idx val="16"/>
          <c:order val="9"/>
          <c:tx>
            <c:strRef>
              <c:f>Income!$A$75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FFF00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Income!$B$75:$I$75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8316.951190178257</c:v>
                </c:pt>
                <c:pt idx="3">
                  <c:v>18902.16179585968</c:v>
                </c:pt>
                <c:pt idx="4">
                  <c:v>0.0</c:v>
                </c:pt>
                <c:pt idx="5">
                  <c:v>0.0</c:v>
                </c:pt>
                <c:pt idx="6">
                  <c:v>3876.357060031411</c:v>
                </c:pt>
                <c:pt idx="7">
                  <c:v>7292.521577910421</c:v>
                </c:pt>
              </c:numCache>
            </c:numRef>
          </c:val>
        </c:ser>
        <c:ser>
          <c:idx val="7"/>
          <c:order val="10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  <c:pt idx="4">
                  <c:v>788.24</c:v>
                </c:pt>
                <c:pt idx="5">
                  <c:v>2845.688</c:v>
                </c:pt>
                <c:pt idx="6">
                  <c:v>11750.89629684742</c:v>
                </c:pt>
                <c:pt idx="7">
                  <c:v>22105.07183544798</c:v>
                </c:pt>
              </c:numCache>
            </c:numRef>
          </c:val>
        </c:ser>
        <c:ser>
          <c:idx val="8"/>
          <c:order val="11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12420.17666813588</c:v>
                </c:pt>
                <c:pt idx="1">
                  <c:v>25541.76611317044</c:v>
                </c:pt>
                <c:pt idx="2">
                  <c:v>48608.33691145476</c:v>
                </c:pt>
                <c:pt idx="3">
                  <c:v>0.0</c:v>
                </c:pt>
                <c:pt idx="4">
                  <c:v>10312.21410899218</c:v>
                </c:pt>
                <c:pt idx="5">
                  <c:v>19704.97128719375</c:v>
                </c:pt>
                <c:pt idx="6">
                  <c:v>37162.74549515031</c:v>
                </c:pt>
                <c:pt idx="7">
                  <c:v>0.0</c:v>
                </c:pt>
              </c:numCache>
            </c:numRef>
          </c:val>
        </c:ser>
        <c:ser>
          <c:idx val="4"/>
          <c:order val="13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174655.9749937434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109032.0</c:v>
                </c:pt>
              </c:numCache>
            </c:numRef>
          </c:val>
        </c:ser>
        <c:ser>
          <c:idx val="0"/>
          <c:order val="14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14726.4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5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18066.3978338496</c:v>
                </c:pt>
                <c:pt idx="7">
                  <c:v>0.0</c:v>
                </c:pt>
              </c:numCache>
            </c:numRef>
          </c:val>
        </c:ser>
        <c:ser>
          <c:idx val="3"/>
          <c:order val="16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  <c:pt idx="4">
                  <c:v>0.0</c:v>
                </c:pt>
                <c:pt idx="5">
                  <c:v>0.0</c:v>
                </c:pt>
                <c:pt idx="6">
                  <c:v>7929.6</c:v>
                </c:pt>
                <c:pt idx="7">
                  <c:v>167088.0</c:v>
                </c:pt>
              </c:numCache>
            </c:numRef>
          </c:val>
        </c:ser>
        <c:ser>
          <c:idx val="9"/>
          <c:order val="17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  <c:pt idx="4">
                  <c:v>4043.117067191207</c:v>
                </c:pt>
                <c:pt idx="5">
                  <c:v>4043.117067191207</c:v>
                </c:pt>
                <c:pt idx="6">
                  <c:v>3675.560970173824</c:v>
                </c:pt>
                <c:pt idx="7">
                  <c:v>0.0</c:v>
                </c:pt>
              </c:numCache>
            </c:numRef>
          </c:val>
        </c:ser>
        <c:ser>
          <c:idx val="17"/>
          <c:order val="18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9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  <c:pt idx="4">
                  <c:v>33417.60000000001</c:v>
                </c:pt>
                <c:pt idx="5">
                  <c:v>33417.60000000001</c:v>
                </c:pt>
                <c:pt idx="6">
                  <c:v>10053.6</c:v>
                </c:pt>
                <c:pt idx="7">
                  <c:v>12567.0</c:v>
                </c:pt>
              </c:numCache>
            </c:numRef>
          </c:val>
        </c:ser>
        <c:ser>
          <c:idx val="11"/>
          <c:order val="20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  <c:pt idx="4">
                  <c:v>1110.0</c:v>
                </c:pt>
                <c:pt idx="5">
                  <c:v>0.0</c:v>
                </c:pt>
                <c:pt idx="6">
                  <c:v>1110.0</c:v>
                </c:pt>
                <c:pt idx="7">
                  <c:v>2081.25</c:v>
                </c:pt>
              </c:numCache>
            </c:numRef>
          </c:val>
        </c:ser>
        <c:ser>
          <c:idx val="14"/>
          <c:order val="21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6631384"/>
        <c:axId val="-1996628008"/>
      </c:barChart>
      <c:lineChart>
        <c:grouping val="standard"/>
        <c:varyColors val="0"/>
        <c:ser>
          <c:idx val="13"/>
          <c:order val="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5"/>
          <c:order val="4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48896.47230288047</c:v>
                </c:pt>
                <c:pt idx="5" formatCode="#,##0">
                  <c:v>48896.47230288047</c:v>
                </c:pt>
                <c:pt idx="6" formatCode="#,##0">
                  <c:v>48896.47230288047</c:v>
                </c:pt>
                <c:pt idx="7" formatCode="#,##0">
                  <c:v>48896.47230288049</c:v>
                </c:pt>
              </c:numCache>
            </c:numRef>
          </c:val>
          <c:smooth val="0"/>
        </c:ser>
        <c:ser>
          <c:idx val="18"/>
          <c:order val="5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9"/>
          <c:order val="6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71875.00563621381</c:v>
                </c:pt>
                <c:pt idx="5" formatCode="#,##0">
                  <c:v>71875.00563621381</c:v>
                </c:pt>
                <c:pt idx="6" formatCode="#,##0">
                  <c:v>71875.00563621381</c:v>
                </c:pt>
                <c:pt idx="7" formatCode="#,##0">
                  <c:v>71875.00563621381</c:v>
                </c:pt>
              </c:numCache>
            </c:numRef>
          </c:val>
          <c:smooth val="0"/>
        </c:ser>
        <c:ser>
          <c:idx val="20"/>
          <c:order val="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ser>
          <c:idx val="21"/>
          <c:order val="8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112797.4056362138</c:v>
                </c:pt>
                <c:pt idx="5" formatCode="#,##0">
                  <c:v>112797.4056362138</c:v>
                </c:pt>
                <c:pt idx="6" formatCode="#,##0">
                  <c:v>112797.4056362138</c:v>
                </c:pt>
                <c:pt idx="7" formatCode="#,##0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631384"/>
        <c:axId val="-1996628008"/>
      </c:lineChart>
      <c:catAx>
        <c:axId val="-199663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628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628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631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7"/>
        <c:delete val="1"/>
      </c:legendEntry>
      <c:legendEntry>
        <c:idx val="19"/>
        <c:delete val="1"/>
      </c:legendEntry>
      <c:legendEntry>
        <c:idx val="21"/>
        <c:delete val="1"/>
      </c:legendEntry>
      <c:layout>
        <c:manualLayout>
          <c:xMode val="edge"/>
          <c:yMode val="edge"/>
          <c:x val="0.0889954170236492"/>
          <c:y val="0.792363271664213"/>
          <c:w val="0.889466226048169"/>
          <c:h val="0.1967490344194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ZANFL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2845.620640779103</c:v>
                </c:pt>
                <c:pt idx="1">
                  <c:v>3139.043715789271</c:v>
                </c:pt>
                <c:pt idx="2">
                  <c:v>5752.698213831871</c:v>
                </c:pt>
                <c:pt idx="3">
                  <c:v>16251.42868194088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1211.250527878688</c:v>
                </c:pt>
                <c:pt idx="1">
                  <c:v>3254.196174775201</c:v>
                </c:pt>
                <c:pt idx="2">
                  <c:v>23506.7284093311</c:v>
                </c:pt>
                <c:pt idx="3">
                  <c:v>51200.28565644511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1037.060506484312</c:v>
                </c:pt>
                <c:pt idx="1">
                  <c:v>2050.515845322135</c:v>
                </c:pt>
                <c:pt idx="2">
                  <c:v>2671.995649764851</c:v>
                </c:pt>
                <c:pt idx="3">
                  <c:v>3345.989713560867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1209.73835493502</c:v>
                </c:pt>
                <c:pt idx="1">
                  <c:v>6503.099744247562</c:v>
                </c:pt>
                <c:pt idx="2">
                  <c:v>22289.42918967773</c:v>
                </c:pt>
                <c:pt idx="3">
                  <c:v>35243.08066838037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12420.17666813588</c:v>
                </c:pt>
                <c:pt idx="1">
                  <c:v>25541.76611317044</c:v>
                </c:pt>
                <c:pt idx="2">
                  <c:v>48608.33691145476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174655.9749937434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18871.9183369863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30848.32805084299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12702.2527268177</c:v>
                </c:pt>
                <c:pt idx="3">
                  <c:v>267654.611029373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3705.389234601206</c:v>
                </c:pt>
                <c:pt idx="1">
                  <c:v>3705.389234601206</c:v>
                </c:pt>
                <c:pt idx="2">
                  <c:v>3368.535667819277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42824.7377646997</c:v>
                </c:pt>
                <c:pt idx="1">
                  <c:v>42824.73776469968</c:v>
                </c:pt>
                <c:pt idx="2">
                  <c:v>12883.71348005796</c:v>
                </c:pt>
                <c:pt idx="3">
                  <c:v>16104.64185007245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1512.172943668774</c:v>
                </c:pt>
                <c:pt idx="1">
                  <c:v>0.0</c:v>
                </c:pt>
                <c:pt idx="2">
                  <c:v>1512.172943668774</c:v>
                </c:pt>
                <c:pt idx="3">
                  <c:v>2835.324269378952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6512488"/>
        <c:axId val="-199650925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112797.4056362138</c:v>
                </c:pt>
                <c:pt idx="1">
                  <c:v>112797.4056362138</c:v>
                </c:pt>
                <c:pt idx="2">
                  <c:v>112797.4056362138</c:v>
                </c:pt>
                <c:pt idx="3">
                  <c:v>112797.4056362138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512488"/>
        <c:axId val="-1996509256"/>
      </c:lineChart>
      <c:catAx>
        <c:axId val="-1996512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509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50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512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7483784"/>
        <c:axId val="-19974870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71875.00563621381</c:v>
                </c:pt>
                <c:pt idx="1">
                  <c:v>71875.00563621381</c:v>
                </c:pt>
                <c:pt idx="2">
                  <c:v>71875.00563621381</c:v>
                </c:pt>
                <c:pt idx="3">
                  <c:v>71875.00563621381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7483784"/>
        <c:axId val="-1997487080"/>
      </c:lineChart>
      <c:catAx>
        <c:axId val="-19974837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7487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7487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748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0.35730185451668</c:v>
                </c:pt>
                <c:pt idx="1">
                  <c:v>0.500222596323352</c:v>
                </c:pt>
                <c:pt idx="2">
                  <c:v>0.500222596323352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0.390305824188672</c:v>
                </c:pt>
                <c:pt idx="1">
                  <c:v>0.460560872542633</c:v>
                </c:pt>
                <c:pt idx="2">
                  <c:v>0.460560872542633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0.695094453074109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0.0511098862554492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0.267936062534449</c:v>
                </c:pt>
                <c:pt idx="1">
                  <c:v>0.270301918943167</c:v>
                </c:pt>
                <c:pt idx="2">
                  <c:v>0.243759996215781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-0.460560872542633</c:v>
                </c:pt>
                <c:pt idx="2">
                  <c:v>-0.134312708956096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328152"/>
        <c:axId val="-1996324776"/>
      </c:barChart>
      <c:catAx>
        <c:axId val="-199632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32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32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328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0.172230160634496</c:v>
                </c:pt>
                <c:pt idx="1">
                  <c:v>0.241122224888294</c:v>
                </c:pt>
                <c:pt idx="2">
                  <c:v>0.241122224888294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0.119306532040624</c:v>
                </c:pt>
                <c:pt idx="2">
                  <c:v>0.0683742006064699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0.289841070479687</c:v>
                </c:pt>
                <c:pt idx="1">
                  <c:v>0.0657626992004156</c:v>
                </c:pt>
                <c:pt idx="2">
                  <c:v>0.0116893935149573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0.335056277474518</c:v>
                </c:pt>
                <c:pt idx="1">
                  <c:v>0.395366407419931</c:v>
                </c:pt>
                <c:pt idx="2">
                  <c:v>0.395366407419931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0.123072606374858</c:v>
                </c:pt>
                <c:pt idx="1">
                  <c:v>0.119306532040624</c:v>
                </c:pt>
                <c:pt idx="2">
                  <c:v>0.0683742006064699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266088"/>
        <c:axId val="-1996262680"/>
      </c:barChart>
      <c:catAx>
        <c:axId val="-199626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262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262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266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0.0475771511822399</c:v>
                </c:pt>
                <c:pt idx="1">
                  <c:v>0.0666080116551358</c:v>
                </c:pt>
                <c:pt idx="2">
                  <c:v>0.0666080116551358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0.029499951993955</c:v>
                </c:pt>
                <c:pt idx="2">
                  <c:v>0.0062522308415368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0.145119965838426</c:v>
                </c:pt>
                <c:pt idx="1">
                  <c:v>0.171241559689343</c:v>
                </c:pt>
                <c:pt idx="2">
                  <c:v>0.171241559689343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0.632283278331319</c:v>
                </c:pt>
                <c:pt idx="1">
                  <c:v>0.550174073946432</c:v>
                </c:pt>
                <c:pt idx="2">
                  <c:v>0.577041258543059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0.0304912389768376</c:v>
                </c:pt>
                <c:pt idx="1">
                  <c:v>0.029499951993955</c:v>
                </c:pt>
                <c:pt idx="2">
                  <c:v>0.0062522308415368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210840"/>
        <c:axId val="-1996207336"/>
      </c:barChart>
      <c:catAx>
        <c:axId val="-199621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207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207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210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0.360856719023369</c:v>
                </c:pt>
                <c:pt idx="1">
                  <c:v>0.505199406632717</c:v>
                </c:pt>
                <c:pt idx="2">
                  <c:v>0.505199406632717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0.394189051503681</c:v>
                </c:pt>
                <c:pt idx="1">
                  <c:v>0.465143080774343</c:v>
                </c:pt>
                <c:pt idx="2">
                  <c:v>0.465143080774343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0.702010080767596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0.0323880083399121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0.249770334566994</c:v>
                </c:pt>
                <c:pt idx="1">
                  <c:v>0.259990508131891</c:v>
                </c:pt>
                <c:pt idx="2">
                  <c:v>0.251061006405549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-0.465143080774343</c:v>
                </c:pt>
                <c:pt idx="2">
                  <c:v>-0.0700735606106675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6149880"/>
        <c:axId val="-1996146504"/>
      </c:barChart>
      <c:catAx>
        <c:axId val="-199614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146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6146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6149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0.0525565927770859</c:v>
                </c:pt>
                <c:pt idx="1">
                  <c:v>0.026278296388543</c:v>
                </c:pt>
                <c:pt idx="2" formatCode="0.0%">
                  <c:v>0.0218147537599434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0.0418745641344956</c:v>
                </c:pt>
                <c:pt idx="1">
                  <c:v>0.0209372820672478</c:v>
                </c:pt>
                <c:pt idx="2" formatCode="0.0%">
                  <c:v>0.0209372820672478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0.0757065205479452</c:v>
                </c:pt>
                <c:pt idx="1">
                  <c:v>0.0825201073972603</c:v>
                </c:pt>
                <c:pt idx="2" formatCode="0.0%">
                  <c:v>0.0963176848336507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0.000139925472915757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-0.000125155666251557</c:v>
                </c:pt>
                <c:pt idx="1">
                  <c:v>-0.000125155666251557</c:v>
                </c:pt>
                <c:pt idx="2" formatCode="0.0%">
                  <c:v>-5.81913327847301E-5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0.000546388542963885</c:v>
                </c:pt>
                <c:pt idx="1">
                  <c:v>0.000546388542963885</c:v>
                </c:pt>
                <c:pt idx="2" formatCode="0.0%">
                  <c:v>0.000254044251336322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0.0104535852917921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0.0430666251556662</c:v>
                </c:pt>
                <c:pt idx="1">
                  <c:v>0.0430666251556662</c:v>
                </c:pt>
                <c:pt idx="2" formatCode="0.0%">
                  <c:v>0.043861201948295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0.00296562889165629</c:v>
                </c:pt>
                <c:pt idx="1">
                  <c:v>0.00296562889165629</c:v>
                </c:pt>
                <c:pt idx="2" formatCode="0.0%">
                  <c:v>0.00389123589499402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0.000182129514321295</c:v>
                </c:pt>
                <c:pt idx="1">
                  <c:v>0.000182129514321295</c:v>
                </c:pt>
                <c:pt idx="2" formatCode="0.0%">
                  <c:v>0.000474473805948858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0.0405697384806974</c:v>
                </c:pt>
                <c:pt idx="1">
                  <c:v>0.0405697384806974</c:v>
                </c:pt>
                <c:pt idx="2" formatCode="0.0%">
                  <c:v>0.0450157038046516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0.0010167198007472</c:v>
                </c:pt>
                <c:pt idx="1">
                  <c:v>0.0010167198007472</c:v>
                </c:pt>
                <c:pt idx="2" formatCode="0.0%">
                  <c:v>0.00156071405860777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0.0757065205479452</c:v>
                </c:pt>
                <c:pt idx="1">
                  <c:v>0.0757065205479452</c:v>
                </c:pt>
                <c:pt idx="2" formatCode="0.0%">
                  <c:v>0.0757065205479452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0.0709748630136986</c:v>
                </c:pt>
                <c:pt idx="1">
                  <c:v>0.0709748630136986</c:v>
                </c:pt>
                <c:pt idx="2" formatCode="0.0%">
                  <c:v>0.0709748630136986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0.0305172358655044</c:v>
                </c:pt>
                <c:pt idx="1">
                  <c:v>0.0305172358655044</c:v>
                </c:pt>
                <c:pt idx="2" formatCode="0.0%">
                  <c:v>0.0141890389872586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0.210076991506849</c:v>
                </c:pt>
                <c:pt idx="1">
                  <c:v>0.210076991506849</c:v>
                </c:pt>
                <c:pt idx="2" formatCode="0.0%">
                  <c:v>0.217867179161893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0.680775244184309</c:v>
                </c:pt>
                <c:pt idx="1">
                  <c:v>0.399965594467274</c:v>
                </c:pt>
                <c:pt idx="2" formatCode="0.0%">
                  <c:v>0.229219032051653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1171112"/>
        <c:axId val="-2001109096"/>
      </c:barChart>
      <c:catAx>
        <c:axId val="-200117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110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110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1171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2845.620640779103</c:v>
                </c:pt>
                <c:pt idx="19">
                  <c:v>2845.620640779103</c:v>
                </c:pt>
                <c:pt idx="20">
                  <c:v>2845.620640779103</c:v>
                </c:pt>
                <c:pt idx="21">
                  <c:v>2845.620640779103</c:v>
                </c:pt>
                <c:pt idx="22">
                  <c:v>2845.620640779103</c:v>
                </c:pt>
                <c:pt idx="23">
                  <c:v>2845.620640779103</c:v>
                </c:pt>
                <c:pt idx="24">
                  <c:v>2845.620640779103</c:v>
                </c:pt>
                <c:pt idx="25">
                  <c:v>2845.620640779103</c:v>
                </c:pt>
                <c:pt idx="26">
                  <c:v>2845.620640779103</c:v>
                </c:pt>
                <c:pt idx="27">
                  <c:v>2845.620640779103</c:v>
                </c:pt>
                <c:pt idx="28">
                  <c:v>2845.620640779103</c:v>
                </c:pt>
                <c:pt idx="29">
                  <c:v>2845.620640779103</c:v>
                </c:pt>
                <c:pt idx="30">
                  <c:v>2845.620640779103</c:v>
                </c:pt>
                <c:pt idx="31">
                  <c:v>2845.620640779103</c:v>
                </c:pt>
                <c:pt idx="32">
                  <c:v>2845.620640779103</c:v>
                </c:pt>
                <c:pt idx="33">
                  <c:v>2845.620640779103</c:v>
                </c:pt>
                <c:pt idx="34">
                  <c:v>2845.620640779103</c:v>
                </c:pt>
                <c:pt idx="35">
                  <c:v>3139.043715789271</c:v>
                </c:pt>
                <c:pt idx="36">
                  <c:v>3139.043715789271</c:v>
                </c:pt>
                <c:pt idx="37">
                  <c:v>3139.043715789271</c:v>
                </c:pt>
                <c:pt idx="38">
                  <c:v>3139.043715789271</c:v>
                </c:pt>
                <c:pt idx="39">
                  <c:v>3139.043715789271</c:v>
                </c:pt>
                <c:pt idx="40">
                  <c:v>3139.043715789271</c:v>
                </c:pt>
                <c:pt idx="41">
                  <c:v>3139.043715789271</c:v>
                </c:pt>
                <c:pt idx="42">
                  <c:v>3139.043715789271</c:v>
                </c:pt>
                <c:pt idx="43">
                  <c:v>3139.043715789271</c:v>
                </c:pt>
                <c:pt idx="44">
                  <c:v>3139.043715789271</c:v>
                </c:pt>
                <c:pt idx="45">
                  <c:v>3139.043715789271</c:v>
                </c:pt>
                <c:pt idx="46">
                  <c:v>3139.043715789271</c:v>
                </c:pt>
                <c:pt idx="47">
                  <c:v>3139.043715789271</c:v>
                </c:pt>
                <c:pt idx="48">
                  <c:v>3139.043715789271</c:v>
                </c:pt>
                <c:pt idx="49">
                  <c:v>3139.043715789271</c:v>
                </c:pt>
                <c:pt idx="50">
                  <c:v>3139.043715789271</c:v>
                </c:pt>
                <c:pt idx="51">
                  <c:v>3139.043715789271</c:v>
                </c:pt>
                <c:pt idx="52">
                  <c:v>3139.043715789271</c:v>
                </c:pt>
                <c:pt idx="53">
                  <c:v>3139.043715789271</c:v>
                </c:pt>
                <c:pt idx="54">
                  <c:v>3139.043715789271</c:v>
                </c:pt>
                <c:pt idx="55">
                  <c:v>3139.043715789271</c:v>
                </c:pt>
                <c:pt idx="56">
                  <c:v>3139.043715789271</c:v>
                </c:pt>
                <c:pt idx="57">
                  <c:v>3139.043715789271</c:v>
                </c:pt>
                <c:pt idx="58">
                  <c:v>3139.043715789271</c:v>
                </c:pt>
                <c:pt idx="59">
                  <c:v>3139.043715789271</c:v>
                </c:pt>
                <c:pt idx="60">
                  <c:v>3139.043715789271</c:v>
                </c:pt>
                <c:pt idx="61">
                  <c:v>3139.043715789271</c:v>
                </c:pt>
                <c:pt idx="62">
                  <c:v>3139.043715789271</c:v>
                </c:pt>
                <c:pt idx="63">
                  <c:v>3139.043715789271</c:v>
                </c:pt>
                <c:pt idx="64">
                  <c:v>3139.043715789271</c:v>
                </c:pt>
                <c:pt idx="65">
                  <c:v>3139.043715789271</c:v>
                </c:pt>
                <c:pt idx="66">
                  <c:v>3139.043715789271</c:v>
                </c:pt>
                <c:pt idx="67">
                  <c:v>3139.043715789271</c:v>
                </c:pt>
                <c:pt idx="68">
                  <c:v>3139.043715789271</c:v>
                </c:pt>
                <c:pt idx="69">
                  <c:v>3139.043715789271</c:v>
                </c:pt>
                <c:pt idx="70">
                  <c:v>5752.698213831871</c:v>
                </c:pt>
                <c:pt idx="71">
                  <c:v>5752.698213831871</c:v>
                </c:pt>
                <c:pt idx="72">
                  <c:v>5752.698213831871</c:v>
                </c:pt>
                <c:pt idx="73">
                  <c:v>5752.698213831871</c:v>
                </c:pt>
                <c:pt idx="74">
                  <c:v>5752.698213831871</c:v>
                </c:pt>
                <c:pt idx="75">
                  <c:v>5752.698213831871</c:v>
                </c:pt>
                <c:pt idx="76">
                  <c:v>5752.698213831871</c:v>
                </c:pt>
                <c:pt idx="77">
                  <c:v>5752.698213831871</c:v>
                </c:pt>
                <c:pt idx="78">
                  <c:v>5752.698213831871</c:v>
                </c:pt>
                <c:pt idx="79">
                  <c:v>5752.698213831871</c:v>
                </c:pt>
                <c:pt idx="80">
                  <c:v>5752.698213831871</c:v>
                </c:pt>
                <c:pt idx="81">
                  <c:v>5752.698213831871</c:v>
                </c:pt>
                <c:pt idx="82">
                  <c:v>5752.698213831871</c:v>
                </c:pt>
                <c:pt idx="83">
                  <c:v>5752.698213831871</c:v>
                </c:pt>
                <c:pt idx="84">
                  <c:v>5752.698213831871</c:v>
                </c:pt>
                <c:pt idx="85">
                  <c:v>5752.698213831871</c:v>
                </c:pt>
                <c:pt idx="86">
                  <c:v>5752.698213831871</c:v>
                </c:pt>
                <c:pt idx="87">
                  <c:v>5752.698213831871</c:v>
                </c:pt>
                <c:pt idx="88">
                  <c:v>5752.698213831871</c:v>
                </c:pt>
                <c:pt idx="89">
                  <c:v>5752.698213831871</c:v>
                </c:pt>
                <c:pt idx="90">
                  <c:v>16251.42868194088</c:v>
                </c:pt>
                <c:pt idx="91">
                  <c:v>16251.42868194088</c:v>
                </c:pt>
                <c:pt idx="92">
                  <c:v>16251.42868194088</c:v>
                </c:pt>
                <c:pt idx="93">
                  <c:v>16251.42868194088</c:v>
                </c:pt>
                <c:pt idx="94">
                  <c:v>16251.42868194088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1211.250527878688</c:v>
                </c:pt>
                <c:pt idx="19">
                  <c:v>1211.250527878688</c:v>
                </c:pt>
                <c:pt idx="20">
                  <c:v>1211.250527878688</c:v>
                </c:pt>
                <c:pt idx="21">
                  <c:v>1211.250527878688</c:v>
                </c:pt>
                <c:pt idx="22">
                  <c:v>1211.250527878688</c:v>
                </c:pt>
                <c:pt idx="23">
                  <c:v>1211.250527878688</c:v>
                </c:pt>
                <c:pt idx="24">
                  <c:v>1211.250527878688</c:v>
                </c:pt>
                <c:pt idx="25">
                  <c:v>1211.250527878688</c:v>
                </c:pt>
                <c:pt idx="26">
                  <c:v>1211.250527878688</c:v>
                </c:pt>
                <c:pt idx="27">
                  <c:v>1211.250527878688</c:v>
                </c:pt>
                <c:pt idx="28">
                  <c:v>1211.250527878688</c:v>
                </c:pt>
                <c:pt idx="29">
                  <c:v>1211.250527878688</c:v>
                </c:pt>
                <c:pt idx="30">
                  <c:v>1211.250527878688</c:v>
                </c:pt>
                <c:pt idx="31">
                  <c:v>1211.250527878688</c:v>
                </c:pt>
                <c:pt idx="32">
                  <c:v>1211.250527878688</c:v>
                </c:pt>
                <c:pt idx="33">
                  <c:v>1211.250527878688</c:v>
                </c:pt>
                <c:pt idx="34">
                  <c:v>1211.250527878688</c:v>
                </c:pt>
                <c:pt idx="35">
                  <c:v>3254.196174775201</c:v>
                </c:pt>
                <c:pt idx="36">
                  <c:v>3254.196174775201</c:v>
                </c:pt>
                <c:pt idx="37">
                  <c:v>3254.196174775201</c:v>
                </c:pt>
                <c:pt idx="38">
                  <c:v>3254.196174775201</c:v>
                </c:pt>
                <c:pt idx="39">
                  <c:v>3254.196174775201</c:v>
                </c:pt>
                <c:pt idx="40">
                  <c:v>3254.196174775201</c:v>
                </c:pt>
                <c:pt idx="41">
                  <c:v>3254.196174775201</c:v>
                </c:pt>
                <c:pt idx="42">
                  <c:v>3254.196174775201</c:v>
                </c:pt>
                <c:pt idx="43">
                  <c:v>3254.196174775201</c:v>
                </c:pt>
                <c:pt idx="44">
                  <c:v>3254.196174775201</c:v>
                </c:pt>
                <c:pt idx="45">
                  <c:v>3254.196174775201</c:v>
                </c:pt>
                <c:pt idx="46">
                  <c:v>3254.196174775201</c:v>
                </c:pt>
                <c:pt idx="47">
                  <c:v>3254.196174775201</c:v>
                </c:pt>
                <c:pt idx="48">
                  <c:v>3254.196174775201</c:v>
                </c:pt>
                <c:pt idx="49">
                  <c:v>3254.196174775201</c:v>
                </c:pt>
                <c:pt idx="50">
                  <c:v>3254.196174775201</c:v>
                </c:pt>
                <c:pt idx="51">
                  <c:v>3254.196174775201</c:v>
                </c:pt>
                <c:pt idx="52">
                  <c:v>3254.196174775201</c:v>
                </c:pt>
                <c:pt idx="53">
                  <c:v>3254.196174775201</c:v>
                </c:pt>
                <c:pt idx="54">
                  <c:v>3254.196174775201</c:v>
                </c:pt>
                <c:pt idx="55">
                  <c:v>3254.196174775201</c:v>
                </c:pt>
                <c:pt idx="56">
                  <c:v>3254.196174775201</c:v>
                </c:pt>
                <c:pt idx="57">
                  <c:v>3254.196174775201</c:v>
                </c:pt>
                <c:pt idx="58">
                  <c:v>3254.196174775201</c:v>
                </c:pt>
                <c:pt idx="59">
                  <c:v>3254.196174775201</c:v>
                </c:pt>
                <c:pt idx="60">
                  <c:v>3254.196174775201</c:v>
                </c:pt>
                <c:pt idx="61">
                  <c:v>3254.196174775201</c:v>
                </c:pt>
                <c:pt idx="62">
                  <c:v>3254.196174775201</c:v>
                </c:pt>
                <c:pt idx="63">
                  <c:v>3254.196174775201</c:v>
                </c:pt>
                <c:pt idx="64">
                  <c:v>3254.196174775201</c:v>
                </c:pt>
                <c:pt idx="65">
                  <c:v>3254.196174775201</c:v>
                </c:pt>
                <c:pt idx="66">
                  <c:v>3254.196174775201</c:v>
                </c:pt>
                <c:pt idx="67">
                  <c:v>3254.196174775201</c:v>
                </c:pt>
                <c:pt idx="68">
                  <c:v>3254.196174775201</c:v>
                </c:pt>
                <c:pt idx="69">
                  <c:v>3254.196174775201</c:v>
                </c:pt>
                <c:pt idx="70">
                  <c:v>23506.7284093311</c:v>
                </c:pt>
                <c:pt idx="71">
                  <c:v>23506.7284093311</c:v>
                </c:pt>
                <c:pt idx="72">
                  <c:v>23506.7284093311</c:v>
                </c:pt>
                <c:pt idx="73">
                  <c:v>23506.7284093311</c:v>
                </c:pt>
                <c:pt idx="74">
                  <c:v>23506.7284093311</c:v>
                </c:pt>
                <c:pt idx="75">
                  <c:v>23506.7284093311</c:v>
                </c:pt>
                <c:pt idx="76">
                  <c:v>23506.7284093311</c:v>
                </c:pt>
                <c:pt idx="77">
                  <c:v>23506.7284093311</c:v>
                </c:pt>
                <c:pt idx="78">
                  <c:v>23506.7284093311</c:v>
                </c:pt>
                <c:pt idx="79">
                  <c:v>23506.7284093311</c:v>
                </c:pt>
                <c:pt idx="80">
                  <c:v>23506.7284093311</c:v>
                </c:pt>
                <c:pt idx="81">
                  <c:v>23506.7284093311</c:v>
                </c:pt>
                <c:pt idx="82">
                  <c:v>23506.7284093311</c:v>
                </c:pt>
                <c:pt idx="83">
                  <c:v>23506.7284093311</c:v>
                </c:pt>
                <c:pt idx="84">
                  <c:v>23506.7284093311</c:v>
                </c:pt>
                <c:pt idx="85">
                  <c:v>23506.7284093311</c:v>
                </c:pt>
                <c:pt idx="86">
                  <c:v>23506.7284093311</c:v>
                </c:pt>
                <c:pt idx="87">
                  <c:v>23506.7284093311</c:v>
                </c:pt>
                <c:pt idx="88">
                  <c:v>23506.7284093311</c:v>
                </c:pt>
                <c:pt idx="89">
                  <c:v>23506.7284093311</c:v>
                </c:pt>
                <c:pt idx="90">
                  <c:v>51200.28565644511</c:v>
                </c:pt>
                <c:pt idx="91">
                  <c:v>51200.28565644511</c:v>
                </c:pt>
                <c:pt idx="92">
                  <c:v>51200.28565644511</c:v>
                </c:pt>
                <c:pt idx="93">
                  <c:v>51200.28565644511</c:v>
                </c:pt>
                <c:pt idx="94">
                  <c:v>51200.28565644511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1037.060506484312</c:v>
                </c:pt>
                <c:pt idx="19">
                  <c:v>1037.060506484312</c:v>
                </c:pt>
                <c:pt idx="20">
                  <c:v>1037.060506484312</c:v>
                </c:pt>
                <c:pt idx="21">
                  <c:v>1037.060506484312</c:v>
                </c:pt>
                <c:pt idx="22">
                  <c:v>1037.060506484312</c:v>
                </c:pt>
                <c:pt idx="23">
                  <c:v>1037.060506484312</c:v>
                </c:pt>
                <c:pt idx="24">
                  <c:v>1037.060506484312</c:v>
                </c:pt>
                <c:pt idx="25">
                  <c:v>1037.060506484312</c:v>
                </c:pt>
                <c:pt idx="26">
                  <c:v>1037.060506484312</c:v>
                </c:pt>
                <c:pt idx="27">
                  <c:v>1037.060506484312</c:v>
                </c:pt>
                <c:pt idx="28">
                  <c:v>1037.060506484312</c:v>
                </c:pt>
                <c:pt idx="29">
                  <c:v>1037.060506484312</c:v>
                </c:pt>
                <c:pt idx="30">
                  <c:v>1037.060506484312</c:v>
                </c:pt>
                <c:pt idx="31">
                  <c:v>1037.060506484312</c:v>
                </c:pt>
                <c:pt idx="32">
                  <c:v>1037.060506484312</c:v>
                </c:pt>
                <c:pt idx="33">
                  <c:v>1037.060506484312</c:v>
                </c:pt>
                <c:pt idx="34">
                  <c:v>1037.060506484312</c:v>
                </c:pt>
                <c:pt idx="35">
                  <c:v>2050.515845322135</c:v>
                </c:pt>
                <c:pt idx="36">
                  <c:v>2050.515845322135</c:v>
                </c:pt>
                <c:pt idx="37">
                  <c:v>2050.515845322135</c:v>
                </c:pt>
                <c:pt idx="38">
                  <c:v>2050.515845322135</c:v>
                </c:pt>
                <c:pt idx="39">
                  <c:v>2050.515845322135</c:v>
                </c:pt>
                <c:pt idx="40">
                  <c:v>2050.515845322135</c:v>
                </c:pt>
                <c:pt idx="41">
                  <c:v>2050.515845322135</c:v>
                </c:pt>
                <c:pt idx="42">
                  <c:v>2050.515845322135</c:v>
                </c:pt>
                <c:pt idx="43">
                  <c:v>2050.515845322135</c:v>
                </c:pt>
                <c:pt idx="44">
                  <c:v>2050.515845322135</c:v>
                </c:pt>
                <c:pt idx="45">
                  <c:v>2050.515845322135</c:v>
                </c:pt>
                <c:pt idx="46">
                  <c:v>2050.515845322135</c:v>
                </c:pt>
                <c:pt idx="47">
                  <c:v>2050.515845322135</c:v>
                </c:pt>
                <c:pt idx="48">
                  <c:v>2050.515845322135</c:v>
                </c:pt>
                <c:pt idx="49">
                  <c:v>2050.515845322135</c:v>
                </c:pt>
                <c:pt idx="50">
                  <c:v>2050.515845322135</c:v>
                </c:pt>
                <c:pt idx="51">
                  <c:v>2050.515845322135</c:v>
                </c:pt>
                <c:pt idx="52">
                  <c:v>2050.515845322135</c:v>
                </c:pt>
                <c:pt idx="53">
                  <c:v>2050.515845322135</c:v>
                </c:pt>
                <c:pt idx="54">
                  <c:v>2050.515845322135</c:v>
                </c:pt>
                <c:pt idx="55">
                  <c:v>2050.515845322135</c:v>
                </c:pt>
                <c:pt idx="56">
                  <c:v>2050.515845322135</c:v>
                </c:pt>
                <c:pt idx="57">
                  <c:v>2050.515845322135</c:v>
                </c:pt>
                <c:pt idx="58">
                  <c:v>2050.515845322135</c:v>
                </c:pt>
                <c:pt idx="59">
                  <c:v>2050.515845322135</c:v>
                </c:pt>
                <c:pt idx="60">
                  <c:v>2050.515845322135</c:v>
                </c:pt>
                <c:pt idx="61">
                  <c:v>2050.515845322135</c:v>
                </c:pt>
                <c:pt idx="62">
                  <c:v>2050.515845322135</c:v>
                </c:pt>
                <c:pt idx="63">
                  <c:v>2050.515845322135</c:v>
                </c:pt>
                <c:pt idx="64">
                  <c:v>2050.515845322135</c:v>
                </c:pt>
                <c:pt idx="65">
                  <c:v>2050.515845322135</c:v>
                </c:pt>
                <c:pt idx="66">
                  <c:v>2050.515845322135</c:v>
                </c:pt>
                <c:pt idx="67">
                  <c:v>2050.515845322135</c:v>
                </c:pt>
                <c:pt idx="68">
                  <c:v>2050.515845322135</c:v>
                </c:pt>
                <c:pt idx="69">
                  <c:v>2050.515845322135</c:v>
                </c:pt>
                <c:pt idx="70">
                  <c:v>2671.995649764851</c:v>
                </c:pt>
                <c:pt idx="71">
                  <c:v>2671.995649764851</c:v>
                </c:pt>
                <c:pt idx="72">
                  <c:v>2671.995649764851</c:v>
                </c:pt>
                <c:pt idx="73">
                  <c:v>2671.995649764851</c:v>
                </c:pt>
                <c:pt idx="74">
                  <c:v>2671.995649764851</c:v>
                </c:pt>
                <c:pt idx="75">
                  <c:v>2671.995649764851</c:v>
                </c:pt>
                <c:pt idx="76">
                  <c:v>2671.995649764851</c:v>
                </c:pt>
                <c:pt idx="77">
                  <c:v>2671.995649764851</c:v>
                </c:pt>
                <c:pt idx="78">
                  <c:v>2671.995649764851</c:v>
                </c:pt>
                <c:pt idx="79">
                  <c:v>2671.995649764851</c:v>
                </c:pt>
                <c:pt idx="80">
                  <c:v>2671.995649764851</c:v>
                </c:pt>
                <c:pt idx="81">
                  <c:v>2671.995649764851</c:v>
                </c:pt>
                <c:pt idx="82">
                  <c:v>2671.995649764851</c:v>
                </c:pt>
                <c:pt idx="83">
                  <c:v>2671.995649764851</c:v>
                </c:pt>
                <c:pt idx="84">
                  <c:v>2671.995649764851</c:v>
                </c:pt>
                <c:pt idx="85">
                  <c:v>2671.995649764851</c:v>
                </c:pt>
                <c:pt idx="86">
                  <c:v>2671.995649764851</c:v>
                </c:pt>
                <c:pt idx="87">
                  <c:v>2671.995649764851</c:v>
                </c:pt>
                <c:pt idx="88">
                  <c:v>2671.995649764851</c:v>
                </c:pt>
                <c:pt idx="89">
                  <c:v>2671.995649764851</c:v>
                </c:pt>
                <c:pt idx="90">
                  <c:v>3345.989713560867</c:v>
                </c:pt>
                <c:pt idx="91">
                  <c:v>3345.989713560867</c:v>
                </c:pt>
                <c:pt idx="92">
                  <c:v>3345.989713560867</c:v>
                </c:pt>
                <c:pt idx="93">
                  <c:v>3345.989713560867</c:v>
                </c:pt>
                <c:pt idx="94">
                  <c:v>3345.989713560867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8316.951190178257</c:v>
                </c:pt>
                <c:pt idx="71">
                  <c:v>8316.951190178257</c:v>
                </c:pt>
                <c:pt idx="72">
                  <c:v>8316.951190178257</c:v>
                </c:pt>
                <c:pt idx="73">
                  <c:v>8316.951190178257</c:v>
                </c:pt>
                <c:pt idx="74">
                  <c:v>8316.951190178257</c:v>
                </c:pt>
                <c:pt idx="75">
                  <c:v>8316.951190178257</c:v>
                </c:pt>
                <c:pt idx="76">
                  <c:v>8316.951190178257</c:v>
                </c:pt>
                <c:pt idx="77">
                  <c:v>8316.951190178257</c:v>
                </c:pt>
                <c:pt idx="78">
                  <c:v>8316.951190178257</c:v>
                </c:pt>
                <c:pt idx="79">
                  <c:v>8316.951190178257</c:v>
                </c:pt>
                <c:pt idx="80">
                  <c:v>8316.951190178257</c:v>
                </c:pt>
                <c:pt idx="81">
                  <c:v>8316.951190178257</c:v>
                </c:pt>
                <c:pt idx="82">
                  <c:v>8316.951190178257</c:v>
                </c:pt>
                <c:pt idx="83">
                  <c:v>8316.951190178257</c:v>
                </c:pt>
                <c:pt idx="84">
                  <c:v>8316.951190178257</c:v>
                </c:pt>
                <c:pt idx="85">
                  <c:v>8316.951190178257</c:v>
                </c:pt>
                <c:pt idx="86">
                  <c:v>8316.951190178257</c:v>
                </c:pt>
                <c:pt idx="87">
                  <c:v>8316.951190178257</c:v>
                </c:pt>
                <c:pt idx="88">
                  <c:v>8316.951190178257</c:v>
                </c:pt>
                <c:pt idx="89">
                  <c:v>8316.951190178257</c:v>
                </c:pt>
                <c:pt idx="90">
                  <c:v>18902.16179585968</c:v>
                </c:pt>
                <c:pt idx="91">
                  <c:v>18902.16179585968</c:v>
                </c:pt>
                <c:pt idx="92">
                  <c:v>18902.16179585968</c:v>
                </c:pt>
                <c:pt idx="93">
                  <c:v>18902.16179585968</c:v>
                </c:pt>
                <c:pt idx="94">
                  <c:v>18902.16179585968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1209.73835493502</c:v>
                </c:pt>
                <c:pt idx="19">
                  <c:v>1209.73835493502</c:v>
                </c:pt>
                <c:pt idx="20">
                  <c:v>1209.73835493502</c:v>
                </c:pt>
                <c:pt idx="21">
                  <c:v>1209.73835493502</c:v>
                </c:pt>
                <c:pt idx="22">
                  <c:v>1209.73835493502</c:v>
                </c:pt>
                <c:pt idx="23">
                  <c:v>1209.73835493502</c:v>
                </c:pt>
                <c:pt idx="24">
                  <c:v>1209.73835493502</c:v>
                </c:pt>
                <c:pt idx="25">
                  <c:v>1209.73835493502</c:v>
                </c:pt>
                <c:pt idx="26">
                  <c:v>1209.73835493502</c:v>
                </c:pt>
                <c:pt idx="27">
                  <c:v>1209.73835493502</c:v>
                </c:pt>
                <c:pt idx="28">
                  <c:v>1209.73835493502</c:v>
                </c:pt>
                <c:pt idx="29">
                  <c:v>1209.73835493502</c:v>
                </c:pt>
                <c:pt idx="30">
                  <c:v>1209.73835493502</c:v>
                </c:pt>
                <c:pt idx="31">
                  <c:v>1209.73835493502</c:v>
                </c:pt>
                <c:pt idx="32">
                  <c:v>1209.73835493502</c:v>
                </c:pt>
                <c:pt idx="33">
                  <c:v>1209.73835493502</c:v>
                </c:pt>
                <c:pt idx="34">
                  <c:v>1209.73835493502</c:v>
                </c:pt>
                <c:pt idx="35">
                  <c:v>6503.099744247562</c:v>
                </c:pt>
                <c:pt idx="36">
                  <c:v>6503.099744247562</c:v>
                </c:pt>
                <c:pt idx="37">
                  <c:v>6503.099744247562</c:v>
                </c:pt>
                <c:pt idx="38">
                  <c:v>6503.099744247562</c:v>
                </c:pt>
                <c:pt idx="39">
                  <c:v>6503.099744247562</c:v>
                </c:pt>
                <c:pt idx="40">
                  <c:v>6503.099744247562</c:v>
                </c:pt>
                <c:pt idx="41">
                  <c:v>6503.099744247562</c:v>
                </c:pt>
                <c:pt idx="42">
                  <c:v>6503.099744247562</c:v>
                </c:pt>
                <c:pt idx="43">
                  <c:v>6503.099744247562</c:v>
                </c:pt>
                <c:pt idx="44">
                  <c:v>6503.099744247562</c:v>
                </c:pt>
                <c:pt idx="45">
                  <c:v>6503.099744247562</c:v>
                </c:pt>
                <c:pt idx="46">
                  <c:v>6503.099744247562</c:v>
                </c:pt>
                <c:pt idx="47">
                  <c:v>6503.099744247562</c:v>
                </c:pt>
                <c:pt idx="48">
                  <c:v>6503.099744247562</c:v>
                </c:pt>
                <c:pt idx="49">
                  <c:v>6503.099744247562</c:v>
                </c:pt>
                <c:pt idx="50">
                  <c:v>6503.099744247562</c:v>
                </c:pt>
                <c:pt idx="51">
                  <c:v>6503.099744247562</c:v>
                </c:pt>
                <c:pt idx="52">
                  <c:v>6503.099744247562</c:v>
                </c:pt>
                <c:pt idx="53">
                  <c:v>6503.099744247562</c:v>
                </c:pt>
                <c:pt idx="54">
                  <c:v>6503.099744247562</c:v>
                </c:pt>
                <c:pt idx="55">
                  <c:v>6503.099744247562</c:v>
                </c:pt>
                <c:pt idx="56">
                  <c:v>6503.099744247562</c:v>
                </c:pt>
                <c:pt idx="57">
                  <c:v>6503.099744247562</c:v>
                </c:pt>
                <c:pt idx="58">
                  <c:v>6503.099744247562</c:v>
                </c:pt>
                <c:pt idx="59">
                  <c:v>6503.099744247562</c:v>
                </c:pt>
                <c:pt idx="60">
                  <c:v>6503.099744247562</c:v>
                </c:pt>
                <c:pt idx="61">
                  <c:v>6503.099744247562</c:v>
                </c:pt>
                <c:pt idx="62">
                  <c:v>6503.099744247562</c:v>
                </c:pt>
                <c:pt idx="63">
                  <c:v>6503.099744247562</c:v>
                </c:pt>
                <c:pt idx="64">
                  <c:v>6503.099744247562</c:v>
                </c:pt>
                <c:pt idx="65">
                  <c:v>6503.099744247562</c:v>
                </c:pt>
                <c:pt idx="66">
                  <c:v>6503.099744247562</c:v>
                </c:pt>
                <c:pt idx="67">
                  <c:v>6503.099744247562</c:v>
                </c:pt>
                <c:pt idx="68">
                  <c:v>6503.099744247562</c:v>
                </c:pt>
                <c:pt idx="69">
                  <c:v>6503.099744247562</c:v>
                </c:pt>
                <c:pt idx="70">
                  <c:v>22289.42918967773</c:v>
                </c:pt>
                <c:pt idx="71">
                  <c:v>22289.42918967773</c:v>
                </c:pt>
                <c:pt idx="72">
                  <c:v>22289.42918967773</c:v>
                </c:pt>
                <c:pt idx="73">
                  <c:v>22289.42918967773</c:v>
                </c:pt>
                <c:pt idx="74">
                  <c:v>22289.42918967773</c:v>
                </c:pt>
                <c:pt idx="75">
                  <c:v>22289.42918967773</c:v>
                </c:pt>
                <c:pt idx="76">
                  <c:v>22289.42918967773</c:v>
                </c:pt>
                <c:pt idx="77">
                  <c:v>22289.42918967773</c:v>
                </c:pt>
                <c:pt idx="78">
                  <c:v>22289.42918967773</c:v>
                </c:pt>
                <c:pt idx="79">
                  <c:v>22289.42918967773</c:v>
                </c:pt>
                <c:pt idx="80">
                  <c:v>22289.42918967773</c:v>
                </c:pt>
                <c:pt idx="81">
                  <c:v>22289.42918967773</c:v>
                </c:pt>
                <c:pt idx="82">
                  <c:v>22289.42918967773</c:v>
                </c:pt>
                <c:pt idx="83">
                  <c:v>22289.42918967773</c:v>
                </c:pt>
                <c:pt idx="84">
                  <c:v>22289.42918967773</c:v>
                </c:pt>
                <c:pt idx="85">
                  <c:v>22289.42918967773</c:v>
                </c:pt>
                <c:pt idx="86">
                  <c:v>22289.42918967773</c:v>
                </c:pt>
                <c:pt idx="87">
                  <c:v>22289.42918967773</c:v>
                </c:pt>
                <c:pt idx="88">
                  <c:v>22289.42918967773</c:v>
                </c:pt>
                <c:pt idx="89">
                  <c:v>22289.42918967773</c:v>
                </c:pt>
                <c:pt idx="90">
                  <c:v>35243.08066838037</c:v>
                </c:pt>
                <c:pt idx="91">
                  <c:v>35243.08066838037</c:v>
                </c:pt>
                <c:pt idx="92">
                  <c:v>35243.08066838037</c:v>
                </c:pt>
                <c:pt idx="93">
                  <c:v>35243.08066838037</c:v>
                </c:pt>
                <c:pt idx="94">
                  <c:v>35243.08066838037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12420.17666813588</c:v>
                </c:pt>
                <c:pt idx="19">
                  <c:v>12420.17666813588</c:v>
                </c:pt>
                <c:pt idx="20">
                  <c:v>12420.17666813588</c:v>
                </c:pt>
                <c:pt idx="21">
                  <c:v>12420.17666813588</c:v>
                </c:pt>
                <c:pt idx="22">
                  <c:v>12420.17666813588</c:v>
                </c:pt>
                <c:pt idx="23">
                  <c:v>12420.17666813588</c:v>
                </c:pt>
                <c:pt idx="24">
                  <c:v>12420.17666813588</c:v>
                </c:pt>
                <c:pt idx="25">
                  <c:v>12420.17666813588</c:v>
                </c:pt>
                <c:pt idx="26">
                  <c:v>12420.17666813588</c:v>
                </c:pt>
                <c:pt idx="27">
                  <c:v>12420.17666813588</c:v>
                </c:pt>
                <c:pt idx="28">
                  <c:v>12420.17666813588</c:v>
                </c:pt>
                <c:pt idx="29">
                  <c:v>12420.17666813588</c:v>
                </c:pt>
                <c:pt idx="30">
                  <c:v>12420.17666813588</c:v>
                </c:pt>
                <c:pt idx="31">
                  <c:v>12420.17666813588</c:v>
                </c:pt>
                <c:pt idx="32">
                  <c:v>12420.17666813588</c:v>
                </c:pt>
                <c:pt idx="33">
                  <c:v>12420.17666813588</c:v>
                </c:pt>
                <c:pt idx="34">
                  <c:v>12420.17666813588</c:v>
                </c:pt>
                <c:pt idx="35">
                  <c:v>25541.76611317044</c:v>
                </c:pt>
                <c:pt idx="36">
                  <c:v>25541.76611317044</c:v>
                </c:pt>
                <c:pt idx="37">
                  <c:v>25541.76611317044</c:v>
                </c:pt>
                <c:pt idx="38">
                  <c:v>25541.76611317044</c:v>
                </c:pt>
                <c:pt idx="39">
                  <c:v>25541.76611317044</c:v>
                </c:pt>
                <c:pt idx="40">
                  <c:v>25541.76611317044</c:v>
                </c:pt>
                <c:pt idx="41">
                  <c:v>25541.76611317044</c:v>
                </c:pt>
                <c:pt idx="42">
                  <c:v>25541.76611317044</c:v>
                </c:pt>
                <c:pt idx="43">
                  <c:v>25541.76611317044</c:v>
                </c:pt>
                <c:pt idx="44">
                  <c:v>25541.76611317044</c:v>
                </c:pt>
                <c:pt idx="45">
                  <c:v>25541.76611317044</c:v>
                </c:pt>
                <c:pt idx="46">
                  <c:v>25541.76611317044</c:v>
                </c:pt>
                <c:pt idx="47">
                  <c:v>25541.76611317044</c:v>
                </c:pt>
                <c:pt idx="48">
                  <c:v>25541.76611317044</c:v>
                </c:pt>
                <c:pt idx="49">
                  <c:v>25541.76611317044</c:v>
                </c:pt>
                <c:pt idx="50">
                  <c:v>25541.76611317044</c:v>
                </c:pt>
                <c:pt idx="51">
                  <c:v>25541.76611317044</c:v>
                </c:pt>
                <c:pt idx="52">
                  <c:v>25541.76611317044</c:v>
                </c:pt>
                <c:pt idx="53">
                  <c:v>25541.76611317044</c:v>
                </c:pt>
                <c:pt idx="54">
                  <c:v>25541.76611317044</c:v>
                </c:pt>
                <c:pt idx="55">
                  <c:v>25541.76611317044</c:v>
                </c:pt>
                <c:pt idx="56">
                  <c:v>25541.76611317044</c:v>
                </c:pt>
                <c:pt idx="57">
                  <c:v>25541.76611317044</c:v>
                </c:pt>
                <c:pt idx="58">
                  <c:v>25541.76611317044</c:v>
                </c:pt>
                <c:pt idx="59">
                  <c:v>25541.76611317044</c:v>
                </c:pt>
                <c:pt idx="60">
                  <c:v>25541.76611317044</c:v>
                </c:pt>
                <c:pt idx="61">
                  <c:v>25541.76611317044</c:v>
                </c:pt>
                <c:pt idx="62">
                  <c:v>25541.76611317044</c:v>
                </c:pt>
                <c:pt idx="63">
                  <c:v>25541.76611317044</c:v>
                </c:pt>
                <c:pt idx="64">
                  <c:v>25541.76611317044</c:v>
                </c:pt>
                <c:pt idx="65">
                  <c:v>25541.76611317044</c:v>
                </c:pt>
                <c:pt idx="66">
                  <c:v>25541.76611317044</c:v>
                </c:pt>
                <c:pt idx="67">
                  <c:v>25541.76611317044</c:v>
                </c:pt>
                <c:pt idx="68">
                  <c:v>25541.76611317044</c:v>
                </c:pt>
                <c:pt idx="69">
                  <c:v>25541.76611317044</c:v>
                </c:pt>
                <c:pt idx="70">
                  <c:v>48608.33691145476</c:v>
                </c:pt>
                <c:pt idx="71">
                  <c:v>48608.33691145476</c:v>
                </c:pt>
                <c:pt idx="72">
                  <c:v>48608.33691145476</c:v>
                </c:pt>
                <c:pt idx="73">
                  <c:v>48608.33691145476</c:v>
                </c:pt>
                <c:pt idx="74">
                  <c:v>48608.33691145476</c:v>
                </c:pt>
                <c:pt idx="75">
                  <c:v>48608.33691145476</c:v>
                </c:pt>
                <c:pt idx="76">
                  <c:v>48608.33691145476</c:v>
                </c:pt>
                <c:pt idx="77">
                  <c:v>48608.33691145476</c:v>
                </c:pt>
                <c:pt idx="78">
                  <c:v>48608.33691145476</c:v>
                </c:pt>
                <c:pt idx="79">
                  <c:v>48608.33691145476</c:v>
                </c:pt>
                <c:pt idx="80">
                  <c:v>48608.33691145476</c:v>
                </c:pt>
                <c:pt idx="81">
                  <c:v>48608.33691145476</c:v>
                </c:pt>
                <c:pt idx="82">
                  <c:v>48608.33691145476</c:v>
                </c:pt>
                <c:pt idx="83">
                  <c:v>48608.33691145476</c:v>
                </c:pt>
                <c:pt idx="84">
                  <c:v>48608.33691145476</c:v>
                </c:pt>
                <c:pt idx="85">
                  <c:v>48608.33691145476</c:v>
                </c:pt>
                <c:pt idx="86">
                  <c:v>48608.33691145476</c:v>
                </c:pt>
                <c:pt idx="87">
                  <c:v>48608.33691145476</c:v>
                </c:pt>
                <c:pt idx="88">
                  <c:v>48608.33691145476</c:v>
                </c:pt>
                <c:pt idx="89">
                  <c:v>48608.33691145476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174655.9749937434</c:v>
                </c:pt>
                <c:pt idx="91">
                  <c:v>174655.9749937434</c:v>
                </c:pt>
                <c:pt idx="92">
                  <c:v>174655.9749937434</c:v>
                </c:pt>
                <c:pt idx="93">
                  <c:v>174655.9749937434</c:v>
                </c:pt>
                <c:pt idx="94">
                  <c:v>174655.9749937434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30848.32805084299</c:v>
                </c:pt>
                <c:pt idx="71">
                  <c:v>30848.32805084299</c:v>
                </c:pt>
                <c:pt idx="72">
                  <c:v>30848.32805084299</c:v>
                </c:pt>
                <c:pt idx="73">
                  <c:v>30848.32805084299</c:v>
                </c:pt>
                <c:pt idx="74">
                  <c:v>30848.32805084299</c:v>
                </c:pt>
                <c:pt idx="75">
                  <c:v>30848.32805084299</c:v>
                </c:pt>
                <c:pt idx="76">
                  <c:v>30848.32805084299</c:v>
                </c:pt>
                <c:pt idx="77">
                  <c:v>30848.32805084299</c:v>
                </c:pt>
                <c:pt idx="78">
                  <c:v>30848.32805084299</c:v>
                </c:pt>
                <c:pt idx="79">
                  <c:v>30848.32805084299</c:v>
                </c:pt>
                <c:pt idx="80">
                  <c:v>30848.32805084299</c:v>
                </c:pt>
                <c:pt idx="81">
                  <c:v>30848.32805084299</c:v>
                </c:pt>
                <c:pt idx="82">
                  <c:v>30848.32805084299</c:v>
                </c:pt>
                <c:pt idx="83">
                  <c:v>30848.32805084299</c:v>
                </c:pt>
                <c:pt idx="84">
                  <c:v>30848.32805084299</c:v>
                </c:pt>
                <c:pt idx="85">
                  <c:v>30848.32805084299</c:v>
                </c:pt>
                <c:pt idx="86">
                  <c:v>30848.32805084299</c:v>
                </c:pt>
                <c:pt idx="87">
                  <c:v>30848.32805084299</c:v>
                </c:pt>
                <c:pt idx="88">
                  <c:v>30848.32805084299</c:v>
                </c:pt>
                <c:pt idx="89">
                  <c:v>30848.32805084299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12702.2527268177</c:v>
                </c:pt>
                <c:pt idx="71">
                  <c:v>12702.2527268177</c:v>
                </c:pt>
                <c:pt idx="72">
                  <c:v>12702.2527268177</c:v>
                </c:pt>
                <c:pt idx="73">
                  <c:v>12702.2527268177</c:v>
                </c:pt>
                <c:pt idx="74">
                  <c:v>12702.2527268177</c:v>
                </c:pt>
                <c:pt idx="75">
                  <c:v>12702.2527268177</c:v>
                </c:pt>
                <c:pt idx="76">
                  <c:v>12702.2527268177</c:v>
                </c:pt>
                <c:pt idx="77">
                  <c:v>12702.2527268177</c:v>
                </c:pt>
                <c:pt idx="78">
                  <c:v>12702.2527268177</c:v>
                </c:pt>
                <c:pt idx="79">
                  <c:v>12702.2527268177</c:v>
                </c:pt>
                <c:pt idx="80">
                  <c:v>12702.2527268177</c:v>
                </c:pt>
                <c:pt idx="81">
                  <c:v>12702.2527268177</c:v>
                </c:pt>
                <c:pt idx="82">
                  <c:v>12702.2527268177</c:v>
                </c:pt>
                <c:pt idx="83">
                  <c:v>12702.2527268177</c:v>
                </c:pt>
                <c:pt idx="84">
                  <c:v>12702.2527268177</c:v>
                </c:pt>
                <c:pt idx="85">
                  <c:v>12702.2527268177</c:v>
                </c:pt>
                <c:pt idx="86">
                  <c:v>12702.2527268177</c:v>
                </c:pt>
                <c:pt idx="87">
                  <c:v>12702.2527268177</c:v>
                </c:pt>
                <c:pt idx="88">
                  <c:v>12702.2527268177</c:v>
                </c:pt>
                <c:pt idx="89">
                  <c:v>12702.2527268177</c:v>
                </c:pt>
                <c:pt idx="90">
                  <c:v>267654.611029373</c:v>
                </c:pt>
                <c:pt idx="91">
                  <c:v>267654.611029373</c:v>
                </c:pt>
                <c:pt idx="92">
                  <c:v>267654.611029373</c:v>
                </c:pt>
                <c:pt idx="93">
                  <c:v>267654.611029373</c:v>
                </c:pt>
                <c:pt idx="94">
                  <c:v>267654.611029373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3705.389234601206</c:v>
                </c:pt>
                <c:pt idx="54">
                  <c:v>3705.389234601206</c:v>
                </c:pt>
                <c:pt idx="55">
                  <c:v>3705.389234601206</c:v>
                </c:pt>
                <c:pt idx="56">
                  <c:v>3705.389234601206</c:v>
                </c:pt>
                <c:pt idx="57">
                  <c:v>3705.389234601206</c:v>
                </c:pt>
                <c:pt idx="58">
                  <c:v>3705.389234601206</c:v>
                </c:pt>
                <c:pt idx="59">
                  <c:v>3705.389234601206</c:v>
                </c:pt>
                <c:pt idx="60">
                  <c:v>3705.389234601206</c:v>
                </c:pt>
                <c:pt idx="61">
                  <c:v>3705.389234601206</c:v>
                </c:pt>
                <c:pt idx="62">
                  <c:v>3705.389234601206</c:v>
                </c:pt>
                <c:pt idx="63">
                  <c:v>3705.389234601206</c:v>
                </c:pt>
                <c:pt idx="64">
                  <c:v>3705.389234601206</c:v>
                </c:pt>
                <c:pt idx="65">
                  <c:v>3705.389234601206</c:v>
                </c:pt>
                <c:pt idx="66">
                  <c:v>3705.389234601206</c:v>
                </c:pt>
                <c:pt idx="67">
                  <c:v>3705.389234601206</c:v>
                </c:pt>
                <c:pt idx="68">
                  <c:v>3705.389234601206</c:v>
                </c:pt>
                <c:pt idx="69">
                  <c:v>3705.389234601206</c:v>
                </c:pt>
                <c:pt idx="70">
                  <c:v>3368.535667819277</c:v>
                </c:pt>
                <c:pt idx="71">
                  <c:v>3368.535667819277</c:v>
                </c:pt>
                <c:pt idx="72">
                  <c:v>3368.535667819277</c:v>
                </c:pt>
                <c:pt idx="73">
                  <c:v>3368.535667819277</c:v>
                </c:pt>
                <c:pt idx="74">
                  <c:v>3368.535667819277</c:v>
                </c:pt>
                <c:pt idx="75">
                  <c:v>3368.535667819277</c:v>
                </c:pt>
                <c:pt idx="76">
                  <c:v>3368.535667819277</c:v>
                </c:pt>
                <c:pt idx="77">
                  <c:v>3368.535667819277</c:v>
                </c:pt>
                <c:pt idx="78">
                  <c:v>3368.535667819277</c:v>
                </c:pt>
                <c:pt idx="79">
                  <c:v>3368.535667819277</c:v>
                </c:pt>
                <c:pt idx="80">
                  <c:v>3368.535667819277</c:v>
                </c:pt>
                <c:pt idx="81">
                  <c:v>3368.535667819277</c:v>
                </c:pt>
                <c:pt idx="82">
                  <c:v>3368.535667819277</c:v>
                </c:pt>
                <c:pt idx="83">
                  <c:v>3368.535667819277</c:v>
                </c:pt>
                <c:pt idx="84">
                  <c:v>3368.535667819277</c:v>
                </c:pt>
                <c:pt idx="85">
                  <c:v>3368.535667819277</c:v>
                </c:pt>
                <c:pt idx="86">
                  <c:v>3368.535667819277</c:v>
                </c:pt>
                <c:pt idx="87">
                  <c:v>3368.535667819277</c:v>
                </c:pt>
                <c:pt idx="88">
                  <c:v>3368.535667819277</c:v>
                </c:pt>
                <c:pt idx="89">
                  <c:v>3368.535667819277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42824.7377646997</c:v>
                </c:pt>
                <c:pt idx="28">
                  <c:v>42824.7377646997</c:v>
                </c:pt>
                <c:pt idx="29">
                  <c:v>42824.7377646997</c:v>
                </c:pt>
                <c:pt idx="30">
                  <c:v>42824.7377646997</c:v>
                </c:pt>
                <c:pt idx="31">
                  <c:v>42824.7377646997</c:v>
                </c:pt>
                <c:pt idx="32">
                  <c:v>42824.7377646997</c:v>
                </c:pt>
                <c:pt idx="33">
                  <c:v>42824.7377646997</c:v>
                </c:pt>
                <c:pt idx="34">
                  <c:v>42824.7377646997</c:v>
                </c:pt>
                <c:pt idx="35">
                  <c:v>42824.73776469968</c:v>
                </c:pt>
                <c:pt idx="36">
                  <c:v>42824.73776469968</c:v>
                </c:pt>
                <c:pt idx="37">
                  <c:v>42824.73776469968</c:v>
                </c:pt>
                <c:pt idx="38">
                  <c:v>42824.73776469968</c:v>
                </c:pt>
                <c:pt idx="39">
                  <c:v>42824.73776469968</c:v>
                </c:pt>
                <c:pt idx="40">
                  <c:v>42824.73776469968</c:v>
                </c:pt>
                <c:pt idx="41">
                  <c:v>42824.73776469968</c:v>
                </c:pt>
                <c:pt idx="42">
                  <c:v>42824.73776469968</c:v>
                </c:pt>
                <c:pt idx="43">
                  <c:v>42824.73776469968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42824.73776469968</c:v>
                </c:pt>
                <c:pt idx="54">
                  <c:v>42824.73776469968</c:v>
                </c:pt>
                <c:pt idx="55">
                  <c:v>42824.73776469968</c:v>
                </c:pt>
                <c:pt idx="56">
                  <c:v>42824.73776469968</c:v>
                </c:pt>
                <c:pt idx="57">
                  <c:v>42824.73776469968</c:v>
                </c:pt>
                <c:pt idx="58">
                  <c:v>42824.73776469968</c:v>
                </c:pt>
                <c:pt idx="59">
                  <c:v>42824.73776469968</c:v>
                </c:pt>
                <c:pt idx="60">
                  <c:v>42824.73776469968</c:v>
                </c:pt>
                <c:pt idx="61">
                  <c:v>42824.73776469968</c:v>
                </c:pt>
                <c:pt idx="62">
                  <c:v>42824.73776469968</c:v>
                </c:pt>
                <c:pt idx="63">
                  <c:v>42824.73776469968</c:v>
                </c:pt>
                <c:pt idx="64">
                  <c:v>42824.73776469968</c:v>
                </c:pt>
                <c:pt idx="65">
                  <c:v>42824.73776469968</c:v>
                </c:pt>
                <c:pt idx="66">
                  <c:v>42824.73776469968</c:v>
                </c:pt>
                <c:pt idx="67">
                  <c:v>42824.73776469968</c:v>
                </c:pt>
                <c:pt idx="68">
                  <c:v>42824.73776469968</c:v>
                </c:pt>
                <c:pt idx="69">
                  <c:v>42824.73776469968</c:v>
                </c:pt>
                <c:pt idx="70">
                  <c:v>12883.71348005796</c:v>
                </c:pt>
                <c:pt idx="71">
                  <c:v>12883.71348005796</c:v>
                </c:pt>
                <c:pt idx="72">
                  <c:v>12883.71348005796</c:v>
                </c:pt>
                <c:pt idx="73">
                  <c:v>12883.71348005796</c:v>
                </c:pt>
                <c:pt idx="74">
                  <c:v>12883.71348005796</c:v>
                </c:pt>
                <c:pt idx="75">
                  <c:v>12883.71348005796</c:v>
                </c:pt>
                <c:pt idx="76">
                  <c:v>12883.71348005796</c:v>
                </c:pt>
                <c:pt idx="77">
                  <c:v>12883.71348005796</c:v>
                </c:pt>
                <c:pt idx="78">
                  <c:v>12883.71348005796</c:v>
                </c:pt>
                <c:pt idx="79">
                  <c:v>12883.71348005796</c:v>
                </c:pt>
                <c:pt idx="80">
                  <c:v>12883.71348005796</c:v>
                </c:pt>
                <c:pt idx="81">
                  <c:v>12883.71348005796</c:v>
                </c:pt>
                <c:pt idx="82">
                  <c:v>12883.71348005796</c:v>
                </c:pt>
                <c:pt idx="83">
                  <c:v>12883.71348005796</c:v>
                </c:pt>
                <c:pt idx="84">
                  <c:v>12883.71348005796</c:v>
                </c:pt>
                <c:pt idx="85">
                  <c:v>12883.71348005796</c:v>
                </c:pt>
                <c:pt idx="86">
                  <c:v>12883.71348005796</c:v>
                </c:pt>
                <c:pt idx="87">
                  <c:v>12883.71348005796</c:v>
                </c:pt>
                <c:pt idx="88">
                  <c:v>12883.71348005796</c:v>
                </c:pt>
                <c:pt idx="89">
                  <c:v>12883.71348005796</c:v>
                </c:pt>
                <c:pt idx="90">
                  <c:v>16104.64185007245</c:v>
                </c:pt>
                <c:pt idx="91">
                  <c:v>16104.64185007245</c:v>
                </c:pt>
                <c:pt idx="92">
                  <c:v>16104.64185007245</c:v>
                </c:pt>
                <c:pt idx="93">
                  <c:v>16104.64185007245</c:v>
                </c:pt>
                <c:pt idx="94">
                  <c:v>16104.64185007245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1512.172943668774</c:v>
                </c:pt>
                <c:pt idx="19">
                  <c:v>1512.172943668774</c:v>
                </c:pt>
                <c:pt idx="20">
                  <c:v>1512.172943668774</c:v>
                </c:pt>
                <c:pt idx="21">
                  <c:v>1512.172943668774</c:v>
                </c:pt>
                <c:pt idx="22">
                  <c:v>1512.172943668774</c:v>
                </c:pt>
                <c:pt idx="23">
                  <c:v>1512.172943668774</c:v>
                </c:pt>
                <c:pt idx="24">
                  <c:v>1512.172943668774</c:v>
                </c:pt>
                <c:pt idx="25">
                  <c:v>1512.172943668774</c:v>
                </c:pt>
                <c:pt idx="26">
                  <c:v>1512.172943668774</c:v>
                </c:pt>
                <c:pt idx="27">
                  <c:v>1512.172943668774</c:v>
                </c:pt>
                <c:pt idx="28">
                  <c:v>1512.172943668774</c:v>
                </c:pt>
                <c:pt idx="29">
                  <c:v>1512.172943668774</c:v>
                </c:pt>
                <c:pt idx="30">
                  <c:v>1512.172943668774</c:v>
                </c:pt>
                <c:pt idx="31">
                  <c:v>1512.172943668774</c:v>
                </c:pt>
                <c:pt idx="32">
                  <c:v>1512.172943668774</c:v>
                </c:pt>
                <c:pt idx="33">
                  <c:v>1512.172943668774</c:v>
                </c:pt>
                <c:pt idx="34">
                  <c:v>1512.172943668774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1512.172943668774</c:v>
                </c:pt>
                <c:pt idx="71">
                  <c:v>1512.172943668774</c:v>
                </c:pt>
                <c:pt idx="72">
                  <c:v>1512.172943668774</c:v>
                </c:pt>
                <c:pt idx="73">
                  <c:v>1512.172943668774</c:v>
                </c:pt>
                <c:pt idx="74">
                  <c:v>1512.172943668774</c:v>
                </c:pt>
                <c:pt idx="75">
                  <c:v>1512.172943668774</c:v>
                </c:pt>
                <c:pt idx="76">
                  <c:v>1512.172943668774</c:v>
                </c:pt>
                <c:pt idx="77">
                  <c:v>1512.172943668774</c:v>
                </c:pt>
                <c:pt idx="78">
                  <c:v>1512.172943668774</c:v>
                </c:pt>
                <c:pt idx="79">
                  <c:v>1512.172943668774</c:v>
                </c:pt>
                <c:pt idx="80">
                  <c:v>1512.172943668774</c:v>
                </c:pt>
                <c:pt idx="81">
                  <c:v>1512.172943668774</c:v>
                </c:pt>
                <c:pt idx="82">
                  <c:v>1512.172943668774</c:v>
                </c:pt>
                <c:pt idx="83">
                  <c:v>1512.172943668774</c:v>
                </c:pt>
                <c:pt idx="84">
                  <c:v>1512.172943668774</c:v>
                </c:pt>
                <c:pt idx="85">
                  <c:v>1512.172943668774</c:v>
                </c:pt>
                <c:pt idx="86">
                  <c:v>1512.172943668774</c:v>
                </c:pt>
                <c:pt idx="87">
                  <c:v>1512.172943668774</c:v>
                </c:pt>
                <c:pt idx="88">
                  <c:v>1512.172943668774</c:v>
                </c:pt>
                <c:pt idx="89">
                  <c:v>1512.172943668774</c:v>
                </c:pt>
                <c:pt idx="90">
                  <c:v>2835.324269378952</c:v>
                </c:pt>
                <c:pt idx="91">
                  <c:v>2835.324269378952</c:v>
                </c:pt>
                <c:pt idx="92">
                  <c:v>2835.324269378952</c:v>
                </c:pt>
                <c:pt idx="93">
                  <c:v>2835.324269378952</c:v>
                </c:pt>
                <c:pt idx="94">
                  <c:v>2835.324269378952</c:v>
                </c:pt>
                <c:pt idx="95">
                  <c:v>2835.324269378952</c:v>
                </c:pt>
                <c:pt idx="96">
                  <c:v>2835.324269378952</c:v>
                </c:pt>
                <c:pt idx="97">
                  <c:v>2835.324269378952</c:v>
                </c:pt>
                <c:pt idx="98">
                  <c:v>2835.324269378952</c:v>
                </c:pt>
                <c:pt idx="99">
                  <c:v>2835.324269378952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6003816"/>
        <c:axId val="-199600039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6003816"/>
        <c:axId val="-199600039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85657.7890298038</c:v>
                </c:pt>
                <c:pt idx="6">
                  <c:v>85697.2371330734</c:v>
                </c:pt>
                <c:pt idx="7">
                  <c:v>85736.68523634302</c:v>
                </c:pt>
                <c:pt idx="8">
                  <c:v>85776.13333961264</c:v>
                </c:pt>
                <c:pt idx="9">
                  <c:v>85815.58144288224</c:v>
                </c:pt>
                <c:pt idx="10">
                  <c:v>85855.02954615186</c:v>
                </c:pt>
                <c:pt idx="11">
                  <c:v>85894.47764942147</c:v>
                </c:pt>
                <c:pt idx="12">
                  <c:v>85933.9257526911</c:v>
                </c:pt>
                <c:pt idx="13">
                  <c:v>85973.37385596071</c:v>
                </c:pt>
                <c:pt idx="14">
                  <c:v>86012.8219592303</c:v>
                </c:pt>
                <c:pt idx="15">
                  <c:v>86052.27006249994</c:v>
                </c:pt>
                <c:pt idx="16">
                  <c:v>86091.71816576955</c:v>
                </c:pt>
                <c:pt idx="17">
                  <c:v>86131.16626903917</c:v>
                </c:pt>
                <c:pt idx="18">
                  <c:v>86170.61437230879</c:v>
                </c:pt>
                <c:pt idx="19">
                  <c:v>86210.06247557839</c:v>
                </c:pt>
                <c:pt idx="20">
                  <c:v>86249.51057884801</c:v>
                </c:pt>
                <c:pt idx="21">
                  <c:v>86288.95868211762</c:v>
                </c:pt>
                <c:pt idx="22">
                  <c:v>86328.40678538724</c:v>
                </c:pt>
                <c:pt idx="23">
                  <c:v>86367.85488865686</c:v>
                </c:pt>
                <c:pt idx="24">
                  <c:v>86407.30299192647</c:v>
                </c:pt>
                <c:pt idx="25">
                  <c:v>86446.75109519609</c:v>
                </c:pt>
                <c:pt idx="26">
                  <c:v>86486.1991984657</c:v>
                </c:pt>
                <c:pt idx="27">
                  <c:v>86525.6473017353</c:v>
                </c:pt>
                <c:pt idx="28">
                  <c:v>86565.09540500493</c:v>
                </c:pt>
                <c:pt idx="29">
                  <c:v>86604.54350827454</c:v>
                </c:pt>
                <c:pt idx="30">
                  <c:v>86643.99161154416</c:v>
                </c:pt>
                <c:pt idx="31">
                  <c:v>86683.43971481376</c:v>
                </c:pt>
                <c:pt idx="32">
                  <c:v>86722.88781808338</c:v>
                </c:pt>
                <c:pt idx="33">
                  <c:v>86762.335921353</c:v>
                </c:pt>
                <c:pt idx="34">
                  <c:v>86801.78402462261</c:v>
                </c:pt>
                <c:pt idx="35">
                  <c:v>86841.23212789223</c:v>
                </c:pt>
                <c:pt idx="36">
                  <c:v>86880.68023116184</c:v>
                </c:pt>
                <c:pt idx="37">
                  <c:v>86920.12833443145</c:v>
                </c:pt>
                <c:pt idx="38">
                  <c:v>86959.57643770107</c:v>
                </c:pt>
                <c:pt idx="39">
                  <c:v>86999.02454097068</c:v>
                </c:pt>
                <c:pt idx="40">
                  <c:v>88572.24666243894</c:v>
                </c:pt>
                <c:pt idx="41">
                  <c:v>91679.24280210584</c:v>
                </c:pt>
                <c:pt idx="42">
                  <c:v>94786.23894177275</c:v>
                </c:pt>
                <c:pt idx="43">
                  <c:v>97893.23508143965</c:v>
                </c:pt>
                <c:pt idx="44">
                  <c:v>101000.2312211066</c:v>
                </c:pt>
                <c:pt idx="45">
                  <c:v>104107.2273607735</c:v>
                </c:pt>
                <c:pt idx="46">
                  <c:v>107214.2235004404</c:v>
                </c:pt>
                <c:pt idx="47">
                  <c:v>110321.2196401073</c:v>
                </c:pt>
                <c:pt idx="48">
                  <c:v>113428.2157797742</c:v>
                </c:pt>
                <c:pt idx="49">
                  <c:v>116535.2119194411</c:v>
                </c:pt>
                <c:pt idx="50">
                  <c:v>119642.208059108</c:v>
                </c:pt>
                <c:pt idx="51">
                  <c:v>122749.2041987749</c:v>
                </c:pt>
                <c:pt idx="52">
                  <c:v>125856.2003384418</c:v>
                </c:pt>
                <c:pt idx="53">
                  <c:v>128963.1964781087</c:v>
                </c:pt>
                <c:pt idx="54">
                  <c:v>132070.1926177756</c:v>
                </c:pt>
                <c:pt idx="55">
                  <c:v>135177.1887574425</c:v>
                </c:pt>
                <c:pt idx="56">
                  <c:v>138284.1848971094</c:v>
                </c:pt>
                <c:pt idx="57">
                  <c:v>141391.1810367763</c:v>
                </c:pt>
                <c:pt idx="58">
                  <c:v>144498.1771764432</c:v>
                </c:pt>
                <c:pt idx="59">
                  <c:v>147605.1733161101</c:v>
                </c:pt>
                <c:pt idx="60">
                  <c:v>150712.169455777</c:v>
                </c:pt>
                <c:pt idx="61">
                  <c:v>153819.1655954439</c:v>
                </c:pt>
                <c:pt idx="62">
                  <c:v>156926.1617351108</c:v>
                </c:pt>
                <c:pt idx="63">
                  <c:v>160033.1578747777</c:v>
                </c:pt>
                <c:pt idx="64">
                  <c:v>163140.1540144446</c:v>
                </c:pt>
                <c:pt idx="65">
                  <c:v>166247.1501541115</c:v>
                </c:pt>
                <c:pt idx="66">
                  <c:v>169354.1462937784</c:v>
                </c:pt>
                <c:pt idx="67">
                  <c:v>172461.1424334453</c:v>
                </c:pt>
                <c:pt idx="68">
                  <c:v>200043.2995151326</c:v>
                </c:pt>
                <c:pt idx="69">
                  <c:v>227625.4565968199</c:v>
                </c:pt>
                <c:pt idx="70">
                  <c:v>255207.6136785072</c:v>
                </c:pt>
                <c:pt idx="71">
                  <c:v>282789.7707601945</c:v>
                </c:pt>
                <c:pt idx="72">
                  <c:v>310371.9278418818</c:v>
                </c:pt>
                <c:pt idx="73">
                  <c:v>337954.084923569</c:v>
                </c:pt>
                <c:pt idx="74">
                  <c:v>365536.2420052564</c:v>
                </c:pt>
                <c:pt idx="75">
                  <c:v>393118.3990869436</c:v>
                </c:pt>
                <c:pt idx="76">
                  <c:v>420700.556168631</c:v>
                </c:pt>
                <c:pt idx="77">
                  <c:v>448282.7132503182</c:v>
                </c:pt>
                <c:pt idx="78">
                  <c:v>475864.8703320055</c:v>
                </c:pt>
                <c:pt idx="79">
                  <c:v>503447.0274136928</c:v>
                </c:pt>
                <c:pt idx="80">
                  <c:v>531029.1844953801</c:v>
                </c:pt>
                <c:pt idx="81">
                  <c:v>558611.3415770673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6003816"/>
        <c:axId val="-1996000392"/>
      </c:scatterChart>
      <c:catAx>
        <c:axId val="-19960038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000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60003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60038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4517.152451120823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16251.42868194088</c:v>
                </c:pt>
                <c:pt idx="97">
                  <c:v>16251.42868194088</c:v>
                </c:pt>
                <c:pt idx="98">
                  <c:v>16251.42868194088</c:v>
                </c:pt>
                <c:pt idx="99">
                  <c:v>16251.42868194088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1211.250527878688</c:v>
                </c:pt>
                <c:pt idx="1">
                  <c:v>1211.250527878688</c:v>
                </c:pt>
                <c:pt idx="2">
                  <c:v>1211.250527878688</c:v>
                </c:pt>
                <c:pt idx="3">
                  <c:v>1211.250527878688</c:v>
                </c:pt>
                <c:pt idx="4">
                  <c:v>1211.250527878688</c:v>
                </c:pt>
                <c:pt idx="5">
                  <c:v>1211.250527878688</c:v>
                </c:pt>
                <c:pt idx="6">
                  <c:v>1211.250527878688</c:v>
                </c:pt>
                <c:pt idx="7">
                  <c:v>1211.250527878688</c:v>
                </c:pt>
                <c:pt idx="8">
                  <c:v>1211.250527878688</c:v>
                </c:pt>
                <c:pt idx="9">
                  <c:v>1211.250527878688</c:v>
                </c:pt>
                <c:pt idx="10">
                  <c:v>1211.250527878688</c:v>
                </c:pt>
                <c:pt idx="11">
                  <c:v>1211.250527878688</c:v>
                </c:pt>
                <c:pt idx="12">
                  <c:v>1211.250527878688</c:v>
                </c:pt>
                <c:pt idx="13">
                  <c:v>1211.250527878688</c:v>
                </c:pt>
                <c:pt idx="14">
                  <c:v>1211.250527878688</c:v>
                </c:pt>
                <c:pt idx="15">
                  <c:v>1211.250527878688</c:v>
                </c:pt>
                <c:pt idx="16">
                  <c:v>1211.250527878688</c:v>
                </c:pt>
                <c:pt idx="17">
                  <c:v>1211.250527878688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3166.641361336779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7304.702621686378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18351.53838598959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51200.28565644511</c:v>
                </c:pt>
                <c:pt idx="97">
                  <c:v>51200.28565644511</c:v>
                </c:pt>
                <c:pt idx="98">
                  <c:v>51200.28565644511</c:v>
                </c:pt>
                <c:pt idx="99">
                  <c:v>51200.28565644511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2355.605931139469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2941.593275283257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3166.257963215262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3301.056775974465</c:v>
                </c:pt>
                <c:pt idx="95">
                  <c:v>3345.989713560867</c:v>
                </c:pt>
                <c:pt idx="96">
                  <c:v>3345.989713560867</c:v>
                </c:pt>
                <c:pt idx="97">
                  <c:v>3345.989713560867</c:v>
                </c:pt>
                <c:pt idx="98">
                  <c:v>3345.989713560867</c:v>
                </c:pt>
                <c:pt idx="99">
                  <c:v>3345.989713560867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6804.778246509482</c:v>
                </c:pt>
                <c:pt idx="76">
                  <c:v>7107.212835243237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8014.516601444502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3100.224565403784</c:v>
                </c:pt>
                <c:pt idx="31">
                  <c:v>3251.463462241286</c:v>
                </c:pt>
                <c:pt idx="32">
                  <c:v>3402.702359078787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4310.135740103794</c:v>
                </c:pt>
                <c:pt idx="39">
                  <c:v>4461.374636941296</c:v>
                </c:pt>
                <c:pt idx="40">
                  <c:v>4612.613533778796</c:v>
                </c:pt>
                <c:pt idx="41">
                  <c:v>4763.852430616298</c:v>
                </c:pt>
                <c:pt idx="42">
                  <c:v>4915.091327453798</c:v>
                </c:pt>
                <c:pt idx="43">
                  <c:v>5066.3302242913</c:v>
                </c:pt>
                <c:pt idx="44">
                  <c:v>5217.5691211288</c:v>
                </c:pt>
                <c:pt idx="45">
                  <c:v>5368.808017966303</c:v>
                </c:pt>
                <c:pt idx="46">
                  <c:v>5520.046914803803</c:v>
                </c:pt>
                <c:pt idx="47">
                  <c:v>5671.285811641305</c:v>
                </c:pt>
                <c:pt idx="48">
                  <c:v>5822.524708478806</c:v>
                </c:pt>
                <c:pt idx="49">
                  <c:v>5973.763605316308</c:v>
                </c:pt>
                <c:pt idx="50">
                  <c:v>6125.002502153808</c:v>
                </c:pt>
                <c:pt idx="51">
                  <c:v>6276.24139899131</c:v>
                </c:pt>
                <c:pt idx="52">
                  <c:v>6427.480295828811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7938.220602923032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20567.28415926717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30925.19684214616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12607.62794592209</c:v>
                </c:pt>
                <c:pt idx="19">
                  <c:v>12982.53050149451</c:v>
                </c:pt>
                <c:pt idx="20">
                  <c:v>13357.43305706692</c:v>
                </c:pt>
                <c:pt idx="21">
                  <c:v>13732.33561263934</c:v>
                </c:pt>
                <c:pt idx="22">
                  <c:v>14107.23816821175</c:v>
                </c:pt>
                <c:pt idx="23">
                  <c:v>14482.14072378417</c:v>
                </c:pt>
                <c:pt idx="24">
                  <c:v>14857.04327935659</c:v>
                </c:pt>
                <c:pt idx="25">
                  <c:v>15231.945834929</c:v>
                </c:pt>
                <c:pt idx="26">
                  <c:v>15606.84839050142</c:v>
                </c:pt>
                <c:pt idx="27">
                  <c:v>15981.75094607383</c:v>
                </c:pt>
                <c:pt idx="28">
                  <c:v>16356.65350164625</c:v>
                </c:pt>
                <c:pt idx="29">
                  <c:v>16731.55605721867</c:v>
                </c:pt>
                <c:pt idx="30">
                  <c:v>17106.45861279108</c:v>
                </c:pt>
                <c:pt idx="31">
                  <c:v>17481.3611683635</c:v>
                </c:pt>
                <c:pt idx="32">
                  <c:v>17856.26372393591</c:v>
                </c:pt>
                <c:pt idx="33">
                  <c:v>18231.16627950833</c:v>
                </c:pt>
                <c:pt idx="34">
                  <c:v>18606.06883508075</c:v>
                </c:pt>
                <c:pt idx="35">
                  <c:v>18980.97139065316</c:v>
                </c:pt>
                <c:pt idx="36">
                  <c:v>19355.87394622558</c:v>
                </c:pt>
                <c:pt idx="37">
                  <c:v>19730.77650179799</c:v>
                </c:pt>
                <c:pt idx="38">
                  <c:v>20105.67905737041</c:v>
                </c:pt>
                <c:pt idx="39">
                  <c:v>20480.58161294283</c:v>
                </c:pt>
                <c:pt idx="40">
                  <c:v>20855.48416851524</c:v>
                </c:pt>
                <c:pt idx="41">
                  <c:v>21230.38672408766</c:v>
                </c:pt>
                <c:pt idx="42">
                  <c:v>21605.28927966008</c:v>
                </c:pt>
                <c:pt idx="43">
                  <c:v>21980.1918352325</c:v>
                </c:pt>
                <c:pt idx="44">
                  <c:v>22355.09439080491</c:v>
                </c:pt>
                <c:pt idx="45">
                  <c:v>22729.99694637732</c:v>
                </c:pt>
                <c:pt idx="46">
                  <c:v>23104.89950194974</c:v>
                </c:pt>
                <c:pt idx="47">
                  <c:v>23479.80205752216</c:v>
                </c:pt>
                <c:pt idx="48">
                  <c:v>23854.70461309457</c:v>
                </c:pt>
                <c:pt idx="49">
                  <c:v>24229.60716866699</c:v>
                </c:pt>
                <c:pt idx="50">
                  <c:v>24604.5097242394</c:v>
                </c:pt>
                <c:pt idx="51">
                  <c:v>24979.41227981182</c:v>
                </c:pt>
                <c:pt idx="52">
                  <c:v>25354.31483538423</c:v>
                </c:pt>
                <c:pt idx="53">
                  <c:v>25961.15830950289</c:v>
                </c:pt>
                <c:pt idx="54">
                  <c:v>26799.94270216777</c:v>
                </c:pt>
                <c:pt idx="55">
                  <c:v>27638.72709483265</c:v>
                </c:pt>
                <c:pt idx="56">
                  <c:v>28477.51148749754</c:v>
                </c:pt>
                <c:pt idx="57">
                  <c:v>29316.29588016242</c:v>
                </c:pt>
                <c:pt idx="58">
                  <c:v>30155.08027282731</c:v>
                </c:pt>
                <c:pt idx="59">
                  <c:v>30993.86466549219</c:v>
                </c:pt>
                <c:pt idx="60">
                  <c:v>31832.64905815708</c:v>
                </c:pt>
                <c:pt idx="61">
                  <c:v>32671.43345082196</c:v>
                </c:pt>
                <c:pt idx="62">
                  <c:v>33510.21784348685</c:v>
                </c:pt>
                <c:pt idx="63">
                  <c:v>34349.00223615173</c:v>
                </c:pt>
                <c:pt idx="64">
                  <c:v>35187.78662881662</c:v>
                </c:pt>
                <c:pt idx="65">
                  <c:v>36026.5710214815</c:v>
                </c:pt>
                <c:pt idx="66">
                  <c:v>36865.35541414638</c:v>
                </c:pt>
                <c:pt idx="67">
                  <c:v>37704.13980681127</c:v>
                </c:pt>
                <c:pt idx="68">
                  <c:v>38542.92419947615</c:v>
                </c:pt>
                <c:pt idx="69">
                  <c:v>39381.70859214104</c:v>
                </c:pt>
                <c:pt idx="70">
                  <c:v>40220.49298480593</c:v>
                </c:pt>
                <c:pt idx="71">
                  <c:v>41059.2773774708</c:v>
                </c:pt>
                <c:pt idx="72">
                  <c:v>41898.06177013569</c:v>
                </c:pt>
                <c:pt idx="73">
                  <c:v>42736.84616280057</c:v>
                </c:pt>
                <c:pt idx="74">
                  <c:v>43575.63055546546</c:v>
                </c:pt>
                <c:pt idx="75">
                  <c:v>44414.41494813035</c:v>
                </c:pt>
                <c:pt idx="76">
                  <c:v>45253.19934079523</c:v>
                </c:pt>
                <c:pt idx="77">
                  <c:v>46091.98373346012</c:v>
                </c:pt>
                <c:pt idx="78">
                  <c:v>46930.768126125</c:v>
                </c:pt>
                <c:pt idx="79">
                  <c:v>47769.55251878988</c:v>
                </c:pt>
                <c:pt idx="80">
                  <c:v>48608.33691145476</c:v>
                </c:pt>
                <c:pt idx="81">
                  <c:v>45367.78111735779</c:v>
                </c:pt>
                <c:pt idx="82">
                  <c:v>42127.2253232608</c:v>
                </c:pt>
                <c:pt idx="83">
                  <c:v>38886.66952916382</c:v>
                </c:pt>
                <c:pt idx="84">
                  <c:v>35646.11373506683</c:v>
                </c:pt>
                <c:pt idx="85">
                  <c:v>32405.55794096985</c:v>
                </c:pt>
                <c:pt idx="86">
                  <c:v>29165.00214687286</c:v>
                </c:pt>
                <c:pt idx="87">
                  <c:v>25924.44635277588</c:v>
                </c:pt>
                <c:pt idx="88">
                  <c:v>22683.89055867889</c:v>
                </c:pt>
                <c:pt idx="89">
                  <c:v>19443.3347645819</c:v>
                </c:pt>
                <c:pt idx="90">
                  <c:v>16202.77897048492</c:v>
                </c:pt>
                <c:pt idx="91">
                  <c:v>12962.22317638794</c:v>
                </c:pt>
                <c:pt idx="92">
                  <c:v>9721.667382290951</c:v>
                </c:pt>
                <c:pt idx="93">
                  <c:v>6481.11158819397</c:v>
                </c:pt>
                <c:pt idx="94">
                  <c:v>3240.555794096988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11643.73166624956</c:v>
                </c:pt>
                <c:pt idx="82">
                  <c:v>23287.46333249913</c:v>
                </c:pt>
                <c:pt idx="83">
                  <c:v>34931.19499874869</c:v>
                </c:pt>
                <c:pt idx="84">
                  <c:v>46574.92666499825</c:v>
                </c:pt>
                <c:pt idx="85">
                  <c:v>58218.65833124781</c:v>
                </c:pt>
                <c:pt idx="86">
                  <c:v>69862.38999749737</c:v>
                </c:pt>
                <c:pt idx="87">
                  <c:v>81506.12166374693</c:v>
                </c:pt>
                <c:pt idx="88">
                  <c:v>93149.8533299965</c:v>
                </c:pt>
                <c:pt idx="89">
                  <c:v>104793.5849962461</c:v>
                </c:pt>
                <c:pt idx="90">
                  <c:v>116437.3166624956</c:v>
                </c:pt>
                <c:pt idx="91">
                  <c:v>128081.0483287452</c:v>
                </c:pt>
                <c:pt idx="92">
                  <c:v>139724.7799949948</c:v>
                </c:pt>
                <c:pt idx="93">
                  <c:v>151368.5116612443</c:v>
                </c:pt>
                <c:pt idx="94">
                  <c:v>163012.2433274939</c:v>
                </c:pt>
                <c:pt idx="95">
                  <c:v>174655.9749937434</c:v>
                </c:pt>
                <c:pt idx="96">
                  <c:v>174655.9749937434</c:v>
                </c:pt>
                <c:pt idx="97">
                  <c:v>174655.9749937434</c:v>
                </c:pt>
                <c:pt idx="98">
                  <c:v>174655.9749937434</c:v>
                </c:pt>
                <c:pt idx="99">
                  <c:v>174655.9749937434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6169.665610168597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9534.937761169652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19630.75421417282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22996.02636517387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5311.851140305583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63692.72438732877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216664.139368862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267654.611029373</c:v>
                </c:pt>
                <c:pt idx="97">
                  <c:v>267654.611029373</c:v>
                </c:pt>
                <c:pt idx="98">
                  <c:v>267654.611029373</c:v>
                </c:pt>
                <c:pt idx="99">
                  <c:v>267654.611029373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898.276178085141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16150.00703838251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12883.71348005796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16104.64185007245</c:v>
                </c:pt>
                <c:pt idx="97">
                  <c:v>16104.64185007245</c:v>
                </c:pt>
                <c:pt idx="98">
                  <c:v>16104.64185007245</c:v>
                </c:pt>
                <c:pt idx="99">
                  <c:v>16104.64185007245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1490.570473044934</c:v>
                </c:pt>
                <c:pt idx="19">
                  <c:v>1447.365531797255</c:v>
                </c:pt>
                <c:pt idx="20">
                  <c:v>1404.160590549576</c:v>
                </c:pt>
                <c:pt idx="21">
                  <c:v>1360.955649301897</c:v>
                </c:pt>
                <c:pt idx="22">
                  <c:v>1317.750708054218</c:v>
                </c:pt>
                <c:pt idx="23">
                  <c:v>1274.545766806538</c:v>
                </c:pt>
                <c:pt idx="24">
                  <c:v>1231.340825558859</c:v>
                </c:pt>
                <c:pt idx="25">
                  <c:v>1188.13588431118</c:v>
                </c:pt>
                <c:pt idx="26">
                  <c:v>1144.930943063501</c:v>
                </c:pt>
                <c:pt idx="27">
                  <c:v>1101.726001815821</c:v>
                </c:pt>
                <c:pt idx="28">
                  <c:v>1058.521060568142</c:v>
                </c:pt>
                <c:pt idx="29">
                  <c:v>1015.316119320463</c:v>
                </c:pt>
                <c:pt idx="30">
                  <c:v>972.1111780727834</c:v>
                </c:pt>
                <c:pt idx="31">
                  <c:v>928.9062368251042</c:v>
                </c:pt>
                <c:pt idx="32">
                  <c:v>885.701295577425</c:v>
                </c:pt>
                <c:pt idx="33">
                  <c:v>842.4963543297456</c:v>
                </c:pt>
                <c:pt idx="34">
                  <c:v>799.2914130820663</c:v>
                </c:pt>
                <c:pt idx="35">
                  <c:v>756.086471834387</c:v>
                </c:pt>
                <c:pt idx="36">
                  <c:v>712.8815305867078</c:v>
                </c:pt>
                <c:pt idx="37">
                  <c:v>669.6765893390285</c:v>
                </c:pt>
                <c:pt idx="38">
                  <c:v>626.4716480913494</c:v>
                </c:pt>
                <c:pt idx="39">
                  <c:v>583.2667068436701</c:v>
                </c:pt>
                <c:pt idx="40">
                  <c:v>540.0617655959907</c:v>
                </c:pt>
                <c:pt idx="41">
                  <c:v>496.8568243483114</c:v>
                </c:pt>
                <c:pt idx="42">
                  <c:v>453.6518831006324</c:v>
                </c:pt>
                <c:pt idx="43">
                  <c:v>410.4469418529532</c:v>
                </c:pt>
                <c:pt idx="44">
                  <c:v>367.242000605274</c:v>
                </c:pt>
                <c:pt idx="45">
                  <c:v>324.0370593575944</c:v>
                </c:pt>
                <c:pt idx="46">
                  <c:v>280.8321181099152</c:v>
                </c:pt>
                <c:pt idx="47">
                  <c:v>237.627176862236</c:v>
                </c:pt>
                <c:pt idx="48">
                  <c:v>194.4222356145567</c:v>
                </c:pt>
                <c:pt idx="49">
                  <c:v>151.2172943668775</c:v>
                </c:pt>
                <c:pt idx="50">
                  <c:v>108.0123531191982</c:v>
                </c:pt>
                <c:pt idx="51">
                  <c:v>64.80741187151898</c:v>
                </c:pt>
                <c:pt idx="52">
                  <c:v>21.60247062383951</c:v>
                </c:pt>
                <c:pt idx="53">
                  <c:v>27.49405352125044</c:v>
                </c:pt>
                <c:pt idx="54">
                  <c:v>82.48216056375131</c:v>
                </c:pt>
                <c:pt idx="55">
                  <c:v>137.4702676062522</c:v>
                </c:pt>
                <c:pt idx="56">
                  <c:v>192.4583746487531</c:v>
                </c:pt>
                <c:pt idx="57">
                  <c:v>247.446481691254</c:v>
                </c:pt>
                <c:pt idx="58">
                  <c:v>302.4345887337548</c:v>
                </c:pt>
                <c:pt idx="59">
                  <c:v>357.4226957762557</c:v>
                </c:pt>
                <c:pt idx="60">
                  <c:v>412.4108028187565</c:v>
                </c:pt>
                <c:pt idx="61">
                  <c:v>467.3989098612574</c:v>
                </c:pt>
                <c:pt idx="62">
                  <c:v>522.3870169037583</c:v>
                </c:pt>
                <c:pt idx="63">
                  <c:v>577.3751239462591</c:v>
                </c:pt>
                <c:pt idx="64">
                  <c:v>632.3632309887601</c:v>
                </c:pt>
                <c:pt idx="65">
                  <c:v>687.351338031261</c:v>
                </c:pt>
                <c:pt idx="66">
                  <c:v>742.3394450737617</c:v>
                </c:pt>
                <c:pt idx="67">
                  <c:v>797.3275521162626</c:v>
                </c:pt>
                <c:pt idx="68">
                  <c:v>852.3156591587635</c:v>
                </c:pt>
                <c:pt idx="69">
                  <c:v>907.3037662012644</c:v>
                </c:pt>
                <c:pt idx="70">
                  <c:v>962.2918732437652</c:v>
                </c:pt>
                <c:pt idx="71">
                  <c:v>1017.279980286266</c:v>
                </c:pt>
                <c:pt idx="72">
                  <c:v>1072.268087328767</c:v>
                </c:pt>
                <c:pt idx="73">
                  <c:v>1127.256194371268</c:v>
                </c:pt>
                <c:pt idx="74">
                  <c:v>1182.244301413769</c:v>
                </c:pt>
                <c:pt idx="75">
                  <c:v>1237.23240845627</c:v>
                </c:pt>
                <c:pt idx="76">
                  <c:v>1292.220515498771</c:v>
                </c:pt>
                <c:pt idx="77">
                  <c:v>1347.208622541272</c:v>
                </c:pt>
                <c:pt idx="78">
                  <c:v>1402.196729583772</c:v>
                </c:pt>
                <c:pt idx="79">
                  <c:v>1457.184836626273</c:v>
                </c:pt>
                <c:pt idx="80">
                  <c:v>1512.172943668774</c:v>
                </c:pt>
                <c:pt idx="81">
                  <c:v>1600.383032049453</c:v>
                </c:pt>
                <c:pt idx="82">
                  <c:v>1688.593120430131</c:v>
                </c:pt>
                <c:pt idx="83">
                  <c:v>1776.80320881081</c:v>
                </c:pt>
                <c:pt idx="84">
                  <c:v>1865.013297191488</c:v>
                </c:pt>
                <c:pt idx="85">
                  <c:v>1953.223385572167</c:v>
                </c:pt>
                <c:pt idx="86">
                  <c:v>2041.433473952845</c:v>
                </c:pt>
                <c:pt idx="87">
                  <c:v>2129.643562333523</c:v>
                </c:pt>
                <c:pt idx="88">
                  <c:v>2217.853650714203</c:v>
                </c:pt>
                <c:pt idx="89">
                  <c:v>2306.063739094881</c:v>
                </c:pt>
                <c:pt idx="90">
                  <c:v>2394.27382747556</c:v>
                </c:pt>
                <c:pt idx="91">
                  <c:v>2482.483915856238</c:v>
                </c:pt>
                <c:pt idx="92">
                  <c:v>2570.694004236916</c:v>
                </c:pt>
                <c:pt idx="93">
                  <c:v>2658.904092617595</c:v>
                </c:pt>
                <c:pt idx="94">
                  <c:v>2747.114180998274</c:v>
                </c:pt>
                <c:pt idx="95">
                  <c:v>2835.324269378952</c:v>
                </c:pt>
                <c:pt idx="96">
                  <c:v>2835.324269378952</c:v>
                </c:pt>
                <c:pt idx="97">
                  <c:v>2835.324269378952</c:v>
                </c:pt>
                <c:pt idx="98">
                  <c:v>2835.324269378952</c:v>
                </c:pt>
                <c:pt idx="99">
                  <c:v>2835.324269378952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9214024"/>
        <c:axId val="-199921066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214024"/>
        <c:axId val="-1999210664"/>
      </c:lineChart>
      <c:catAx>
        <c:axId val="-19992140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92106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92106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92140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8.383516428861938</c:v>
                </c:pt>
                <c:pt idx="1">
                  <c:v>95.04198174700367</c:v>
                </c:pt>
                <c:pt idx="2">
                  <c:v>699.9153645406006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58.36987562561465</c:v>
                </c:pt>
                <c:pt idx="1">
                  <c:v>736.4557176202142</c:v>
                </c:pt>
                <c:pt idx="2">
                  <c:v>1846.237149807602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1121.757383667018</c:v>
                </c:pt>
                <c:pt idx="2">
                  <c:v>-2056.555203389533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-1.2992781453899E-14</c:v>
                </c:pt>
                <c:pt idx="1">
                  <c:v>-12.24922061025194</c:v>
                </c:pt>
                <c:pt idx="2">
                  <c:v>-224.5690445212852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-4.15769006524767E-13</c:v>
                </c:pt>
                <c:pt idx="1">
                  <c:v>-1088.764519441517</c:v>
                </c:pt>
                <c:pt idx="2">
                  <c:v>214.7285580009661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024104"/>
        <c:axId val="-19990208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28.9558668239378</c:v>
                </c:pt>
                <c:pt idx="1">
                  <c:v>22.59926561609877</c:v>
                </c:pt>
                <c:pt idx="2">
                  <c:v>44.93293758640102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302.4345887337548</c:v>
                </c:pt>
                <c:pt idx="2">
                  <c:v>705.6807070454282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151.2388968375012</c:v>
                </c:pt>
                <c:pt idx="1">
                  <c:v>574.0483434701878</c:v>
                </c:pt>
                <c:pt idx="2">
                  <c:v>863.5767652468425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374.9025555724161</c:v>
                </c:pt>
                <c:pt idx="1">
                  <c:v>838.7843926648845</c:v>
                </c:pt>
                <c:pt idx="2">
                  <c:v>-3240.555794096984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11643.73166624956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461.9000991570073</c:v>
                </c:pt>
                <c:pt idx="2">
                  <c:v>16996.82388683702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70.0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-43.20494124767927</c:v>
                </c:pt>
                <c:pt idx="1">
                  <c:v>54.98810704250087</c:v>
                </c:pt>
                <c:pt idx="2">
                  <c:v>88.21008838067854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017224"/>
        <c:axId val="-1999014232"/>
      </c:scatterChart>
      <c:valAx>
        <c:axId val="-199902410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9020824"/>
        <c:crosses val="autoZero"/>
        <c:crossBetween val="midCat"/>
      </c:valAx>
      <c:valAx>
        <c:axId val="-19990208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9024104"/>
        <c:crosses val="autoZero"/>
        <c:crossBetween val="midCat"/>
      </c:valAx>
      <c:valAx>
        <c:axId val="-19990172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1999014232"/>
        <c:crosses val="autoZero"/>
        <c:crossBetween val="midCat"/>
      </c:valAx>
      <c:valAx>
        <c:axId val="-19990142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90172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2845.620640779103</c:v>
                </c:pt>
                <c:pt idx="1">
                  <c:v>2845.620640779103</c:v>
                </c:pt>
                <c:pt idx="2">
                  <c:v>2845.620640779103</c:v>
                </c:pt>
                <c:pt idx="3">
                  <c:v>2845.620640779103</c:v>
                </c:pt>
                <c:pt idx="4">
                  <c:v>2845.620640779103</c:v>
                </c:pt>
                <c:pt idx="5">
                  <c:v>2845.620640779103</c:v>
                </c:pt>
                <c:pt idx="6">
                  <c:v>2845.620640779103</c:v>
                </c:pt>
                <c:pt idx="7">
                  <c:v>2845.620640779103</c:v>
                </c:pt>
                <c:pt idx="8">
                  <c:v>2845.620640779103</c:v>
                </c:pt>
                <c:pt idx="9">
                  <c:v>2845.620640779103</c:v>
                </c:pt>
                <c:pt idx="10">
                  <c:v>2845.620640779103</c:v>
                </c:pt>
                <c:pt idx="11">
                  <c:v>2845.620640779103</c:v>
                </c:pt>
                <c:pt idx="12">
                  <c:v>2845.620640779103</c:v>
                </c:pt>
                <c:pt idx="13">
                  <c:v>2845.620640779103</c:v>
                </c:pt>
                <c:pt idx="14">
                  <c:v>2845.620640779103</c:v>
                </c:pt>
                <c:pt idx="15">
                  <c:v>2845.620640779103</c:v>
                </c:pt>
                <c:pt idx="16">
                  <c:v>2845.620640779103</c:v>
                </c:pt>
                <c:pt idx="17">
                  <c:v>2845.620640779103</c:v>
                </c:pt>
                <c:pt idx="18">
                  <c:v>2849.812398993533</c:v>
                </c:pt>
                <c:pt idx="19">
                  <c:v>2858.195915422396</c:v>
                </c:pt>
                <c:pt idx="20">
                  <c:v>2866.579431851258</c:v>
                </c:pt>
                <c:pt idx="21">
                  <c:v>2874.96294828012</c:v>
                </c:pt>
                <c:pt idx="22">
                  <c:v>2883.346464708981</c:v>
                </c:pt>
                <c:pt idx="23">
                  <c:v>2891.729981137843</c:v>
                </c:pt>
                <c:pt idx="24">
                  <c:v>2900.113497566706</c:v>
                </c:pt>
                <c:pt idx="25">
                  <c:v>2908.497013995567</c:v>
                </c:pt>
                <c:pt idx="26">
                  <c:v>2916.88053042443</c:v>
                </c:pt>
                <c:pt idx="27">
                  <c:v>2925.264046853291</c:v>
                </c:pt>
                <c:pt idx="28">
                  <c:v>2933.647563282153</c:v>
                </c:pt>
                <c:pt idx="29">
                  <c:v>2942.031079711015</c:v>
                </c:pt>
                <c:pt idx="30">
                  <c:v>2950.414596139877</c:v>
                </c:pt>
                <c:pt idx="31">
                  <c:v>2958.798112568739</c:v>
                </c:pt>
                <c:pt idx="32">
                  <c:v>2967.181628997601</c:v>
                </c:pt>
                <c:pt idx="33">
                  <c:v>2975.565145426463</c:v>
                </c:pt>
                <c:pt idx="34">
                  <c:v>2983.948661855325</c:v>
                </c:pt>
                <c:pt idx="35">
                  <c:v>2992.332178284186</c:v>
                </c:pt>
                <c:pt idx="36">
                  <c:v>3000.715694713049</c:v>
                </c:pt>
                <c:pt idx="37">
                  <c:v>3009.09921114191</c:v>
                </c:pt>
                <c:pt idx="38">
                  <c:v>3017.482727570773</c:v>
                </c:pt>
                <c:pt idx="39">
                  <c:v>3025.866243999635</c:v>
                </c:pt>
                <c:pt idx="40">
                  <c:v>3034.249760428496</c:v>
                </c:pt>
                <c:pt idx="41">
                  <c:v>3042.633276857358</c:v>
                </c:pt>
                <c:pt idx="42">
                  <c:v>3051.01679328622</c:v>
                </c:pt>
                <c:pt idx="43">
                  <c:v>3059.400309715082</c:v>
                </c:pt>
                <c:pt idx="44">
                  <c:v>3067.783826143944</c:v>
                </c:pt>
                <c:pt idx="45">
                  <c:v>3076.167342572806</c:v>
                </c:pt>
                <c:pt idx="46">
                  <c:v>3084.550859001668</c:v>
                </c:pt>
                <c:pt idx="47">
                  <c:v>3092.93437543053</c:v>
                </c:pt>
                <c:pt idx="48">
                  <c:v>3101.317891859392</c:v>
                </c:pt>
                <c:pt idx="49">
                  <c:v>3109.701408288254</c:v>
                </c:pt>
                <c:pt idx="50">
                  <c:v>3118.084924717116</c:v>
                </c:pt>
                <c:pt idx="51">
                  <c:v>3126.468441145978</c:v>
                </c:pt>
                <c:pt idx="52">
                  <c:v>3134.85195757484</c:v>
                </c:pt>
                <c:pt idx="53">
                  <c:v>3186.564706662773</c:v>
                </c:pt>
                <c:pt idx="54">
                  <c:v>3281.606688409776</c:v>
                </c:pt>
                <c:pt idx="55">
                  <c:v>3376.64867015678</c:v>
                </c:pt>
                <c:pt idx="56">
                  <c:v>3471.690651903783</c:v>
                </c:pt>
                <c:pt idx="57">
                  <c:v>3566.732633650787</c:v>
                </c:pt>
                <c:pt idx="58">
                  <c:v>3661.774615397791</c:v>
                </c:pt>
                <c:pt idx="59">
                  <c:v>3756.816597144794</c:v>
                </c:pt>
                <c:pt idx="60">
                  <c:v>3851.858578891798</c:v>
                </c:pt>
                <c:pt idx="61">
                  <c:v>3946.900560638802</c:v>
                </c:pt>
                <c:pt idx="62">
                  <c:v>4041.942542385806</c:v>
                </c:pt>
                <c:pt idx="63">
                  <c:v>4136.98452413281</c:v>
                </c:pt>
                <c:pt idx="64">
                  <c:v>4232.026505879813</c:v>
                </c:pt>
                <c:pt idx="65">
                  <c:v>4327.068487626817</c:v>
                </c:pt>
                <c:pt idx="66">
                  <c:v>4422.11046937382</c:v>
                </c:pt>
                <c:pt idx="67">
                  <c:v>4517.152451120824</c:v>
                </c:pt>
                <c:pt idx="68">
                  <c:v>4612.194432867827</c:v>
                </c:pt>
                <c:pt idx="69">
                  <c:v>4707.236414614831</c:v>
                </c:pt>
                <c:pt idx="70">
                  <c:v>4802.278396361835</c:v>
                </c:pt>
                <c:pt idx="71">
                  <c:v>4897.320378108838</c:v>
                </c:pt>
                <c:pt idx="72">
                  <c:v>4992.362359855842</c:v>
                </c:pt>
                <c:pt idx="73">
                  <c:v>5087.404341602846</c:v>
                </c:pt>
                <c:pt idx="74">
                  <c:v>5182.44632334985</c:v>
                </c:pt>
                <c:pt idx="75">
                  <c:v>5277.488305096853</c:v>
                </c:pt>
                <c:pt idx="76">
                  <c:v>5372.530286843857</c:v>
                </c:pt>
                <c:pt idx="77">
                  <c:v>5467.57226859086</c:v>
                </c:pt>
                <c:pt idx="78">
                  <c:v>5562.614250337864</c:v>
                </c:pt>
                <c:pt idx="79">
                  <c:v>5657.656232084867</c:v>
                </c:pt>
                <c:pt idx="80">
                  <c:v>5752.698213831871</c:v>
                </c:pt>
                <c:pt idx="81">
                  <c:v>6452.613578372472</c:v>
                </c:pt>
                <c:pt idx="82">
                  <c:v>7152.528942913073</c:v>
                </c:pt>
                <c:pt idx="83">
                  <c:v>7852.444307453674</c:v>
                </c:pt>
                <c:pt idx="84">
                  <c:v>8552.359671994274</c:v>
                </c:pt>
                <c:pt idx="85">
                  <c:v>9252.275036534875</c:v>
                </c:pt>
                <c:pt idx="86">
                  <c:v>9952.190401075476</c:v>
                </c:pt>
                <c:pt idx="87">
                  <c:v>10652.10576561608</c:v>
                </c:pt>
                <c:pt idx="88">
                  <c:v>11352.02113015668</c:v>
                </c:pt>
                <c:pt idx="89">
                  <c:v>12051.93649469728</c:v>
                </c:pt>
                <c:pt idx="90">
                  <c:v>12751.85185923788</c:v>
                </c:pt>
                <c:pt idx="91">
                  <c:v>13451.76722377848</c:v>
                </c:pt>
                <c:pt idx="92">
                  <c:v>14151.68258831908</c:v>
                </c:pt>
                <c:pt idx="93">
                  <c:v>14851.59795285968</c:v>
                </c:pt>
                <c:pt idx="94">
                  <c:v>15551.51331740028</c:v>
                </c:pt>
                <c:pt idx="95">
                  <c:v>16251.42868194088</c:v>
                </c:pt>
                <c:pt idx="96">
                  <c:v>16357.78868194088</c:v>
                </c:pt>
                <c:pt idx="97">
                  <c:v>16464.14868194088</c:v>
                </c:pt>
                <c:pt idx="98">
                  <c:v>16570.50868194088</c:v>
                </c:pt>
                <c:pt idx="99">
                  <c:v>16676.86868194088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7165.800527878688</c:v>
                </c:pt>
                <c:pt idx="1">
                  <c:v>6825.540527878688</c:v>
                </c:pt>
                <c:pt idx="2">
                  <c:v>6485.280527878688</c:v>
                </c:pt>
                <c:pt idx="3">
                  <c:v>6145.020527878687</c:v>
                </c:pt>
                <c:pt idx="4">
                  <c:v>5804.760527878688</c:v>
                </c:pt>
                <c:pt idx="5">
                  <c:v>5464.500527878688</c:v>
                </c:pt>
                <c:pt idx="6">
                  <c:v>5124.240527878688</c:v>
                </c:pt>
                <c:pt idx="7">
                  <c:v>4783.980527878688</c:v>
                </c:pt>
                <c:pt idx="8">
                  <c:v>4443.720527878687</c:v>
                </c:pt>
                <c:pt idx="9">
                  <c:v>4103.460527878688</c:v>
                </c:pt>
                <c:pt idx="10">
                  <c:v>3763.200527878688</c:v>
                </c:pt>
                <c:pt idx="11">
                  <c:v>3422.940527878688</c:v>
                </c:pt>
                <c:pt idx="12">
                  <c:v>3082.680527878688</c:v>
                </c:pt>
                <c:pt idx="13">
                  <c:v>2742.420527878688</c:v>
                </c:pt>
                <c:pt idx="14">
                  <c:v>2402.160527878688</c:v>
                </c:pt>
                <c:pt idx="15">
                  <c:v>2061.900527878688</c:v>
                </c:pt>
                <c:pt idx="16">
                  <c:v>1721.640527878688</c:v>
                </c:pt>
                <c:pt idx="17">
                  <c:v>1381.380527878688</c:v>
                </c:pt>
                <c:pt idx="18">
                  <c:v>1240.435465691495</c:v>
                </c:pt>
                <c:pt idx="19">
                  <c:v>1298.80534131711</c:v>
                </c:pt>
                <c:pt idx="20">
                  <c:v>1357.175216942725</c:v>
                </c:pt>
                <c:pt idx="21">
                  <c:v>1415.545092568339</c:v>
                </c:pt>
                <c:pt idx="22">
                  <c:v>1473.914968193954</c:v>
                </c:pt>
                <c:pt idx="23">
                  <c:v>1532.284843819569</c:v>
                </c:pt>
                <c:pt idx="24">
                  <c:v>1590.654719445183</c:v>
                </c:pt>
                <c:pt idx="25">
                  <c:v>1649.024595070798</c:v>
                </c:pt>
                <c:pt idx="26">
                  <c:v>1707.394470696413</c:v>
                </c:pt>
                <c:pt idx="27">
                  <c:v>1765.764346322027</c:v>
                </c:pt>
                <c:pt idx="28">
                  <c:v>1824.134221947642</c:v>
                </c:pt>
                <c:pt idx="29">
                  <c:v>1882.504097573257</c:v>
                </c:pt>
                <c:pt idx="30">
                  <c:v>1940.873973198871</c:v>
                </c:pt>
                <c:pt idx="31">
                  <c:v>1999.243848824486</c:v>
                </c:pt>
                <c:pt idx="32">
                  <c:v>2057.613724450101</c:v>
                </c:pt>
                <c:pt idx="33">
                  <c:v>2115.983600075715</c:v>
                </c:pt>
                <c:pt idx="34">
                  <c:v>2174.35347570133</c:v>
                </c:pt>
                <c:pt idx="35">
                  <c:v>2232.723351326945</c:v>
                </c:pt>
                <c:pt idx="36">
                  <c:v>2291.09322695256</c:v>
                </c:pt>
                <c:pt idx="37">
                  <c:v>2349.463102578173</c:v>
                </c:pt>
                <c:pt idx="38">
                  <c:v>2407.832978203788</c:v>
                </c:pt>
                <c:pt idx="39">
                  <c:v>2466.202853829403</c:v>
                </c:pt>
                <c:pt idx="40">
                  <c:v>2524.572729455018</c:v>
                </c:pt>
                <c:pt idx="41">
                  <c:v>2582.942605080632</c:v>
                </c:pt>
                <c:pt idx="42">
                  <c:v>2641.312480706247</c:v>
                </c:pt>
                <c:pt idx="43">
                  <c:v>2699.682356331862</c:v>
                </c:pt>
                <c:pt idx="44">
                  <c:v>2758.052231957477</c:v>
                </c:pt>
                <c:pt idx="45">
                  <c:v>2816.422107583091</c:v>
                </c:pt>
                <c:pt idx="46">
                  <c:v>2874.791983208706</c:v>
                </c:pt>
                <c:pt idx="47">
                  <c:v>2933.161858834321</c:v>
                </c:pt>
                <c:pt idx="48">
                  <c:v>2991.531734459935</c:v>
                </c:pt>
                <c:pt idx="49">
                  <c:v>3049.90161008555</c:v>
                </c:pt>
                <c:pt idx="50">
                  <c:v>3108.271485711164</c:v>
                </c:pt>
                <c:pt idx="51">
                  <c:v>3166.64136133678</c:v>
                </c:pt>
                <c:pt idx="52">
                  <c:v>3225.011236962393</c:v>
                </c:pt>
                <c:pt idx="53">
                  <c:v>3622.424033585308</c:v>
                </c:pt>
                <c:pt idx="54">
                  <c:v>4358.879751205523</c:v>
                </c:pt>
                <c:pt idx="55">
                  <c:v>5095.335468825736</c:v>
                </c:pt>
                <c:pt idx="56">
                  <c:v>5831.79118644595</c:v>
                </c:pt>
                <c:pt idx="57">
                  <c:v>6568.246904066165</c:v>
                </c:pt>
                <c:pt idx="58">
                  <c:v>7304.70262168638</c:v>
                </c:pt>
                <c:pt idx="59">
                  <c:v>8041.158339306593</c:v>
                </c:pt>
                <c:pt idx="60">
                  <c:v>8777.614056926806</c:v>
                </c:pt>
                <c:pt idx="61">
                  <c:v>9514.069774547021</c:v>
                </c:pt>
                <c:pt idx="62">
                  <c:v>10250.52549216723</c:v>
                </c:pt>
                <c:pt idx="63">
                  <c:v>10986.98120978745</c:v>
                </c:pt>
                <c:pt idx="64">
                  <c:v>11723.43692740766</c:v>
                </c:pt>
                <c:pt idx="65">
                  <c:v>12459.89264502788</c:v>
                </c:pt>
                <c:pt idx="66">
                  <c:v>13196.34836264809</c:v>
                </c:pt>
                <c:pt idx="67">
                  <c:v>13932.80408026831</c:v>
                </c:pt>
                <c:pt idx="68">
                  <c:v>14669.25979788852</c:v>
                </c:pt>
                <c:pt idx="69">
                  <c:v>15405.71551550873</c:v>
                </c:pt>
                <c:pt idx="70">
                  <c:v>16142.17123312895</c:v>
                </c:pt>
                <c:pt idx="71">
                  <c:v>16878.62695074916</c:v>
                </c:pt>
                <c:pt idx="72">
                  <c:v>17615.08266836938</c:v>
                </c:pt>
                <c:pt idx="73">
                  <c:v>18351.5383859896</c:v>
                </c:pt>
                <c:pt idx="74">
                  <c:v>19087.9941036098</c:v>
                </c:pt>
                <c:pt idx="75">
                  <c:v>19824.44982123002</c:v>
                </c:pt>
                <c:pt idx="76">
                  <c:v>20560.90553885023</c:v>
                </c:pt>
                <c:pt idx="77">
                  <c:v>21297.36125647045</c:v>
                </c:pt>
                <c:pt idx="78">
                  <c:v>22033.81697409066</c:v>
                </c:pt>
                <c:pt idx="79">
                  <c:v>22770.27269171087</c:v>
                </c:pt>
                <c:pt idx="80">
                  <c:v>23506.72840933109</c:v>
                </c:pt>
                <c:pt idx="81">
                  <c:v>25352.96555913869</c:v>
                </c:pt>
                <c:pt idx="82">
                  <c:v>27199.20270894629</c:v>
                </c:pt>
                <c:pt idx="83">
                  <c:v>29045.4398587539</c:v>
                </c:pt>
                <c:pt idx="84">
                  <c:v>30891.6770085615</c:v>
                </c:pt>
                <c:pt idx="85">
                  <c:v>32737.9141583691</c:v>
                </c:pt>
                <c:pt idx="86">
                  <c:v>34584.1513081767</c:v>
                </c:pt>
                <c:pt idx="87">
                  <c:v>36430.3884579843</c:v>
                </c:pt>
                <c:pt idx="88">
                  <c:v>38276.6256077919</c:v>
                </c:pt>
                <c:pt idx="89">
                  <c:v>40122.8627575995</c:v>
                </c:pt>
                <c:pt idx="90">
                  <c:v>41969.09990740711</c:v>
                </c:pt>
                <c:pt idx="91">
                  <c:v>43815.33705721471</c:v>
                </c:pt>
                <c:pt idx="92">
                  <c:v>45661.5742070223</c:v>
                </c:pt>
                <c:pt idx="93">
                  <c:v>47507.81135682991</c:v>
                </c:pt>
                <c:pt idx="94">
                  <c:v>49354.04850663751</c:v>
                </c:pt>
                <c:pt idx="95">
                  <c:v>51200.28565644511</c:v>
                </c:pt>
                <c:pt idx="96">
                  <c:v>51925.14565644511</c:v>
                </c:pt>
                <c:pt idx="97">
                  <c:v>52650.00565644511</c:v>
                </c:pt>
                <c:pt idx="98">
                  <c:v>53374.86565644511</c:v>
                </c:pt>
                <c:pt idx="99">
                  <c:v>54099.72565644512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1037.060506484312</c:v>
                </c:pt>
                <c:pt idx="1">
                  <c:v>1037.060506484312</c:v>
                </c:pt>
                <c:pt idx="2">
                  <c:v>1037.060506484312</c:v>
                </c:pt>
                <c:pt idx="3">
                  <c:v>1037.060506484312</c:v>
                </c:pt>
                <c:pt idx="4">
                  <c:v>1037.060506484312</c:v>
                </c:pt>
                <c:pt idx="5">
                  <c:v>1037.060506484312</c:v>
                </c:pt>
                <c:pt idx="6">
                  <c:v>1037.060506484312</c:v>
                </c:pt>
                <c:pt idx="7">
                  <c:v>1037.060506484312</c:v>
                </c:pt>
                <c:pt idx="8">
                  <c:v>1037.060506484312</c:v>
                </c:pt>
                <c:pt idx="9">
                  <c:v>1037.060506484312</c:v>
                </c:pt>
                <c:pt idx="10">
                  <c:v>1037.060506484312</c:v>
                </c:pt>
                <c:pt idx="11">
                  <c:v>1037.060506484312</c:v>
                </c:pt>
                <c:pt idx="12">
                  <c:v>1037.060506484312</c:v>
                </c:pt>
                <c:pt idx="13">
                  <c:v>1037.060506484312</c:v>
                </c:pt>
                <c:pt idx="14">
                  <c:v>1037.060506484312</c:v>
                </c:pt>
                <c:pt idx="15">
                  <c:v>1037.060506484312</c:v>
                </c:pt>
                <c:pt idx="16">
                  <c:v>1037.060506484312</c:v>
                </c:pt>
                <c:pt idx="17">
                  <c:v>1037.060506484312</c:v>
                </c:pt>
                <c:pt idx="18">
                  <c:v>1051.538439896281</c:v>
                </c:pt>
                <c:pt idx="19">
                  <c:v>1080.49430672022</c:v>
                </c:pt>
                <c:pt idx="20">
                  <c:v>1109.450173544157</c:v>
                </c:pt>
                <c:pt idx="21">
                  <c:v>1138.406040368095</c:v>
                </c:pt>
                <c:pt idx="22">
                  <c:v>1167.361907192033</c:v>
                </c:pt>
                <c:pt idx="23">
                  <c:v>1196.31777401597</c:v>
                </c:pt>
                <c:pt idx="24">
                  <c:v>1225.273640839908</c:v>
                </c:pt>
                <c:pt idx="25">
                  <c:v>1254.229507663846</c:v>
                </c:pt>
                <c:pt idx="26">
                  <c:v>1283.185374487784</c:v>
                </c:pt>
                <c:pt idx="27">
                  <c:v>1312.141241311721</c:v>
                </c:pt>
                <c:pt idx="28">
                  <c:v>1341.097108135659</c:v>
                </c:pt>
                <c:pt idx="29">
                  <c:v>1370.052974959597</c:v>
                </c:pt>
                <c:pt idx="30">
                  <c:v>1399.008841783535</c:v>
                </c:pt>
                <c:pt idx="31">
                  <c:v>1427.964708607473</c:v>
                </c:pt>
                <c:pt idx="32">
                  <c:v>1456.92057543141</c:v>
                </c:pt>
                <c:pt idx="33">
                  <c:v>1485.876442255348</c:v>
                </c:pt>
                <c:pt idx="34">
                  <c:v>1514.832309079286</c:v>
                </c:pt>
                <c:pt idx="35">
                  <c:v>1543.788175903224</c:v>
                </c:pt>
                <c:pt idx="36">
                  <c:v>1572.744042727162</c:v>
                </c:pt>
                <c:pt idx="37">
                  <c:v>1601.699909551099</c:v>
                </c:pt>
                <c:pt idx="38">
                  <c:v>1630.655776375037</c:v>
                </c:pt>
                <c:pt idx="39">
                  <c:v>1659.611643198975</c:v>
                </c:pt>
                <c:pt idx="40">
                  <c:v>1688.567510022913</c:v>
                </c:pt>
                <c:pt idx="41">
                  <c:v>1717.523376846851</c:v>
                </c:pt>
                <c:pt idx="42">
                  <c:v>1746.479243670788</c:v>
                </c:pt>
                <c:pt idx="43">
                  <c:v>1775.435110494726</c:v>
                </c:pt>
                <c:pt idx="44">
                  <c:v>1804.390977318664</c:v>
                </c:pt>
                <c:pt idx="45">
                  <c:v>1833.346844142602</c:v>
                </c:pt>
                <c:pt idx="46">
                  <c:v>1862.30271096654</c:v>
                </c:pt>
                <c:pt idx="47">
                  <c:v>1891.258577790477</c:v>
                </c:pt>
                <c:pt idx="48">
                  <c:v>1920.214444614415</c:v>
                </c:pt>
                <c:pt idx="49">
                  <c:v>1949.170311438353</c:v>
                </c:pt>
                <c:pt idx="50">
                  <c:v>1978.126178262291</c:v>
                </c:pt>
                <c:pt idx="51">
                  <c:v>2007.082045086228</c:v>
                </c:pt>
                <c:pt idx="52">
                  <c:v>2036.037911910166</c:v>
                </c:pt>
                <c:pt idx="53">
                  <c:v>2061.815478130184</c:v>
                </c:pt>
                <c:pt idx="54">
                  <c:v>2084.414743746283</c:v>
                </c:pt>
                <c:pt idx="55">
                  <c:v>2107.014009362382</c:v>
                </c:pt>
                <c:pt idx="56">
                  <c:v>2129.613274978481</c:v>
                </c:pt>
                <c:pt idx="57">
                  <c:v>2152.21254059458</c:v>
                </c:pt>
                <c:pt idx="58">
                  <c:v>2174.811806210678</c:v>
                </c:pt>
                <c:pt idx="59">
                  <c:v>2197.411071826777</c:v>
                </c:pt>
                <c:pt idx="60">
                  <c:v>2220.010337442876</c:v>
                </c:pt>
                <c:pt idx="61">
                  <c:v>2242.609603058975</c:v>
                </c:pt>
                <c:pt idx="62">
                  <c:v>2265.208868675074</c:v>
                </c:pt>
                <c:pt idx="63">
                  <c:v>2287.808134291172</c:v>
                </c:pt>
                <c:pt idx="64">
                  <c:v>2310.407399907271</c:v>
                </c:pt>
                <c:pt idx="65">
                  <c:v>2333.00666552337</c:v>
                </c:pt>
                <c:pt idx="66">
                  <c:v>2355.605931139468</c:v>
                </c:pt>
                <c:pt idx="67">
                  <c:v>2378.205196755567</c:v>
                </c:pt>
                <c:pt idx="68">
                  <c:v>2400.804462371666</c:v>
                </c:pt>
                <c:pt idx="69">
                  <c:v>2423.403727987765</c:v>
                </c:pt>
                <c:pt idx="70">
                  <c:v>2446.002993603864</c:v>
                </c:pt>
                <c:pt idx="71">
                  <c:v>2468.602259219962</c:v>
                </c:pt>
                <c:pt idx="72">
                  <c:v>2491.201524836061</c:v>
                </c:pt>
                <c:pt idx="73">
                  <c:v>2513.80079045216</c:v>
                </c:pt>
                <c:pt idx="74">
                  <c:v>2536.400056068259</c:v>
                </c:pt>
                <c:pt idx="75">
                  <c:v>2558.999321684358</c:v>
                </c:pt>
                <c:pt idx="76">
                  <c:v>2581.598587300457</c:v>
                </c:pt>
                <c:pt idx="77">
                  <c:v>2604.197852916555</c:v>
                </c:pt>
                <c:pt idx="78">
                  <c:v>2626.797118532653</c:v>
                </c:pt>
                <c:pt idx="79">
                  <c:v>2649.396384148753</c:v>
                </c:pt>
                <c:pt idx="80">
                  <c:v>2671.995649764851</c:v>
                </c:pt>
                <c:pt idx="81">
                  <c:v>2716.928587351252</c:v>
                </c:pt>
                <c:pt idx="82">
                  <c:v>2761.861524937653</c:v>
                </c:pt>
                <c:pt idx="83">
                  <c:v>2806.794462524054</c:v>
                </c:pt>
                <c:pt idx="84">
                  <c:v>2851.727400110456</c:v>
                </c:pt>
                <c:pt idx="85">
                  <c:v>2896.660337696856</c:v>
                </c:pt>
                <c:pt idx="86">
                  <c:v>2941.593275283258</c:v>
                </c:pt>
                <c:pt idx="87">
                  <c:v>2986.526212869659</c:v>
                </c:pt>
                <c:pt idx="88">
                  <c:v>3031.45915045606</c:v>
                </c:pt>
                <c:pt idx="89">
                  <c:v>3076.392088042461</c:v>
                </c:pt>
                <c:pt idx="90">
                  <c:v>3121.325025628862</c:v>
                </c:pt>
                <c:pt idx="91">
                  <c:v>3166.257963215263</c:v>
                </c:pt>
                <c:pt idx="92">
                  <c:v>3211.190900801664</c:v>
                </c:pt>
                <c:pt idx="93">
                  <c:v>3256.123838388065</c:v>
                </c:pt>
                <c:pt idx="94">
                  <c:v>3301.056775974466</c:v>
                </c:pt>
                <c:pt idx="95">
                  <c:v>3345.989713560867</c:v>
                </c:pt>
                <c:pt idx="96">
                  <c:v>3354.420713560867</c:v>
                </c:pt>
                <c:pt idx="97">
                  <c:v>3362.851713560866</c:v>
                </c:pt>
                <c:pt idx="98">
                  <c:v>3371.282713560867</c:v>
                </c:pt>
                <c:pt idx="99">
                  <c:v>3379.713713560867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151.2172943668774</c:v>
                </c:pt>
                <c:pt idx="54">
                  <c:v>453.6518831006322</c:v>
                </c:pt>
                <c:pt idx="55">
                  <c:v>756.086471834387</c:v>
                </c:pt>
                <c:pt idx="56">
                  <c:v>1058.521060568142</c:v>
                </c:pt>
                <c:pt idx="57">
                  <c:v>1360.955649301897</c:v>
                </c:pt>
                <c:pt idx="58">
                  <c:v>1663.390238035651</c:v>
                </c:pt>
                <c:pt idx="59">
                  <c:v>1965.824826769406</c:v>
                </c:pt>
                <c:pt idx="60">
                  <c:v>2268.259415503161</c:v>
                </c:pt>
                <c:pt idx="61">
                  <c:v>2570.694004236916</c:v>
                </c:pt>
                <c:pt idx="62">
                  <c:v>2873.128592970671</c:v>
                </c:pt>
                <c:pt idx="63">
                  <c:v>3175.563181704425</c:v>
                </c:pt>
                <c:pt idx="64">
                  <c:v>3477.99777043818</c:v>
                </c:pt>
                <c:pt idx="65">
                  <c:v>3780.432359171935</c:v>
                </c:pt>
                <c:pt idx="66">
                  <c:v>4082.86694790569</c:v>
                </c:pt>
                <c:pt idx="67">
                  <c:v>4385.301536639444</c:v>
                </c:pt>
                <c:pt idx="68">
                  <c:v>4687.7361253732</c:v>
                </c:pt>
                <c:pt idx="69">
                  <c:v>4990.170714106955</c:v>
                </c:pt>
                <c:pt idx="70">
                  <c:v>5292.60530284071</c:v>
                </c:pt>
                <c:pt idx="71">
                  <c:v>5595.039891574464</c:v>
                </c:pt>
                <c:pt idx="72">
                  <c:v>5897.474480308219</c:v>
                </c:pt>
                <c:pt idx="73">
                  <c:v>6199.909069041973</c:v>
                </c:pt>
                <c:pt idx="74">
                  <c:v>6502.343657775728</c:v>
                </c:pt>
                <c:pt idx="75">
                  <c:v>6804.778246509483</c:v>
                </c:pt>
                <c:pt idx="76">
                  <c:v>7107.212835243238</c:v>
                </c:pt>
                <c:pt idx="77">
                  <c:v>7409.647423976993</c:v>
                </c:pt>
                <c:pt idx="78">
                  <c:v>7712.082012710748</c:v>
                </c:pt>
                <c:pt idx="79">
                  <c:v>8014.516601444503</c:v>
                </c:pt>
                <c:pt idx="80">
                  <c:v>8316.951190178257</c:v>
                </c:pt>
                <c:pt idx="81">
                  <c:v>9022.631897223685</c:v>
                </c:pt>
                <c:pt idx="82">
                  <c:v>9728.312604269113</c:v>
                </c:pt>
                <c:pt idx="83">
                  <c:v>10433.99331131454</c:v>
                </c:pt>
                <c:pt idx="84">
                  <c:v>11139.67401835997</c:v>
                </c:pt>
                <c:pt idx="85">
                  <c:v>11845.3547254054</c:v>
                </c:pt>
                <c:pt idx="86">
                  <c:v>12551.03543245083</c:v>
                </c:pt>
                <c:pt idx="87">
                  <c:v>13256.71613949625</c:v>
                </c:pt>
                <c:pt idx="88">
                  <c:v>13962.39684654168</c:v>
                </c:pt>
                <c:pt idx="89">
                  <c:v>14668.07755358711</c:v>
                </c:pt>
                <c:pt idx="90">
                  <c:v>15373.75826063254</c:v>
                </c:pt>
                <c:pt idx="91">
                  <c:v>16079.43896767797</c:v>
                </c:pt>
                <c:pt idx="92">
                  <c:v>16785.1196747234</c:v>
                </c:pt>
                <c:pt idx="93">
                  <c:v>17490.80038176882</c:v>
                </c:pt>
                <c:pt idx="94">
                  <c:v>18196.48108881425</c:v>
                </c:pt>
                <c:pt idx="95">
                  <c:v>18902.16179585968</c:v>
                </c:pt>
                <c:pt idx="96">
                  <c:v>18902.16179585968</c:v>
                </c:pt>
                <c:pt idx="97">
                  <c:v>18902.16179585968</c:v>
                </c:pt>
                <c:pt idx="98">
                  <c:v>18902.16179585968</c:v>
                </c:pt>
                <c:pt idx="99">
                  <c:v>18902.16179585968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1209.73835493502</c:v>
                </c:pt>
                <c:pt idx="1">
                  <c:v>1209.73835493502</c:v>
                </c:pt>
                <c:pt idx="2">
                  <c:v>1209.73835493502</c:v>
                </c:pt>
                <c:pt idx="3">
                  <c:v>1209.73835493502</c:v>
                </c:pt>
                <c:pt idx="4">
                  <c:v>1209.73835493502</c:v>
                </c:pt>
                <c:pt idx="5">
                  <c:v>1209.73835493502</c:v>
                </c:pt>
                <c:pt idx="6">
                  <c:v>1209.73835493502</c:v>
                </c:pt>
                <c:pt idx="7">
                  <c:v>1209.73835493502</c:v>
                </c:pt>
                <c:pt idx="8">
                  <c:v>1209.73835493502</c:v>
                </c:pt>
                <c:pt idx="9">
                  <c:v>1209.73835493502</c:v>
                </c:pt>
                <c:pt idx="10">
                  <c:v>1209.73835493502</c:v>
                </c:pt>
                <c:pt idx="11">
                  <c:v>1209.73835493502</c:v>
                </c:pt>
                <c:pt idx="12">
                  <c:v>1209.73835493502</c:v>
                </c:pt>
                <c:pt idx="13">
                  <c:v>1209.73835493502</c:v>
                </c:pt>
                <c:pt idx="14">
                  <c:v>1209.73835493502</c:v>
                </c:pt>
                <c:pt idx="15">
                  <c:v>1209.73835493502</c:v>
                </c:pt>
                <c:pt idx="16">
                  <c:v>1209.73835493502</c:v>
                </c:pt>
                <c:pt idx="17">
                  <c:v>1209.73835493502</c:v>
                </c:pt>
                <c:pt idx="18">
                  <c:v>1285.35780335377</c:v>
                </c:pt>
                <c:pt idx="19">
                  <c:v>1436.596700191271</c:v>
                </c:pt>
                <c:pt idx="20">
                  <c:v>1587.835597028773</c:v>
                </c:pt>
                <c:pt idx="21">
                  <c:v>1739.074493866274</c:v>
                </c:pt>
                <c:pt idx="22">
                  <c:v>1890.313390703775</c:v>
                </c:pt>
                <c:pt idx="23">
                  <c:v>2041.552287541276</c:v>
                </c:pt>
                <c:pt idx="24">
                  <c:v>2192.791184378777</c:v>
                </c:pt>
                <c:pt idx="25">
                  <c:v>2344.030081216279</c:v>
                </c:pt>
                <c:pt idx="26">
                  <c:v>2495.26897805378</c:v>
                </c:pt>
                <c:pt idx="27">
                  <c:v>2646.507874891281</c:v>
                </c:pt>
                <c:pt idx="28">
                  <c:v>2797.746771728782</c:v>
                </c:pt>
                <c:pt idx="29">
                  <c:v>2948.985668566283</c:v>
                </c:pt>
                <c:pt idx="30">
                  <c:v>3100.224565403785</c:v>
                </c:pt>
                <c:pt idx="31">
                  <c:v>3251.463462241286</c:v>
                </c:pt>
                <c:pt idx="32">
                  <c:v>3402.702359078788</c:v>
                </c:pt>
                <c:pt idx="33">
                  <c:v>3553.941255916288</c:v>
                </c:pt>
                <c:pt idx="34">
                  <c:v>3705.18015275379</c:v>
                </c:pt>
                <c:pt idx="35">
                  <c:v>3856.419049591291</c:v>
                </c:pt>
                <c:pt idx="36">
                  <c:v>4007.657946428792</c:v>
                </c:pt>
                <c:pt idx="37">
                  <c:v>4158.896843266293</c:v>
                </c:pt>
                <c:pt idx="38">
                  <c:v>4310.135740103795</c:v>
                </c:pt>
                <c:pt idx="39">
                  <c:v>4461.374636941296</c:v>
                </c:pt>
                <c:pt idx="40">
                  <c:v>4612.613533778797</c:v>
                </c:pt>
                <c:pt idx="41">
                  <c:v>4763.852430616298</c:v>
                </c:pt>
                <c:pt idx="42">
                  <c:v>4915.0913274538</c:v>
                </c:pt>
                <c:pt idx="43">
                  <c:v>5066.3302242913</c:v>
                </c:pt>
                <c:pt idx="44">
                  <c:v>5217.569121128802</c:v>
                </c:pt>
                <c:pt idx="45">
                  <c:v>5368.808017966303</c:v>
                </c:pt>
                <c:pt idx="46">
                  <c:v>5520.046914803804</c:v>
                </c:pt>
                <c:pt idx="47">
                  <c:v>5671.285811641305</c:v>
                </c:pt>
                <c:pt idx="48">
                  <c:v>5822.524708478807</c:v>
                </c:pt>
                <c:pt idx="49">
                  <c:v>5973.763605316308</c:v>
                </c:pt>
                <c:pt idx="50">
                  <c:v>6125.00250215381</c:v>
                </c:pt>
                <c:pt idx="51">
                  <c:v>6276.24139899131</c:v>
                </c:pt>
                <c:pt idx="52">
                  <c:v>6427.480295828812</c:v>
                </c:pt>
                <c:pt idx="53">
                  <c:v>6790.123915982655</c:v>
                </c:pt>
                <c:pt idx="54">
                  <c:v>7364.172259452843</c:v>
                </c:pt>
                <c:pt idx="55">
                  <c:v>7938.220602923031</c:v>
                </c:pt>
                <c:pt idx="56">
                  <c:v>8512.26894639322</c:v>
                </c:pt>
                <c:pt idx="57">
                  <c:v>9086.317289863407</c:v>
                </c:pt>
                <c:pt idx="58">
                  <c:v>9660.365633333595</c:v>
                </c:pt>
                <c:pt idx="59">
                  <c:v>10234.41397680378</c:v>
                </c:pt>
                <c:pt idx="60">
                  <c:v>10808.46232027397</c:v>
                </c:pt>
                <c:pt idx="61">
                  <c:v>11382.51066374416</c:v>
                </c:pt>
                <c:pt idx="62">
                  <c:v>11956.55900721435</c:v>
                </c:pt>
                <c:pt idx="63">
                  <c:v>12530.60735068454</c:v>
                </c:pt>
                <c:pt idx="64">
                  <c:v>13104.65569415472</c:v>
                </c:pt>
                <c:pt idx="65">
                  <c:v>13678.70403762491</c:v>
                </c:pt>
                <c:pt idx="66">
                  <c:v>14252.7523810951</c:v>
                </c:pt>
                <c:pt idx="67">
                  <c:v>14826.80072456529</c:v>
                </c:pt>
                <c:pt idx="68">
                  <c:v>15400.84906803547</c:v>
                </c:pt>
                <c:pt idx="69">
                  <c:v>15974.89741150566</c:v>
                </c:pt>
                <c:pt idx="70">
                  <c:v>16548.94575497585</c:v>
                </c:pt>
                <c:pt idx="71">
                  <c:v>17122.99409844604</c:v>
                </c:pt>
                <c:pt idx="72">
                  <c:v>17697.04244191623</c:v>
                </c:pt>
                <c:pt idx="73">
                  <c:v>18271.09078538641</c:v>
                </c:pt>
                <c:pt idx="74">
                  <c:v>18845.1391288566</c:v>
                </c:pt>
                <c:pt idx="75">
                  <c:v>19419.1874723268</c:v>
                </c:pt>
                <c:pt idx="76">
                  <c:v>19993.23581579698</c:v>
                </c:pt>
                <c:pt idx="77">
                  <c:v>20567.28415926716</c:v>
                </c:pt>
                <c:pt idx="78">
                  <c:v>21141.33250273735</c:v>
                </c:pt>
                <c:pt idx="79">
                  <c:v>21715.38084620754</c:v>
                </c:pt>
                <c:pt idx="80">
                  <c:v>22289.42918967773</c:v>
                </c:pt>
                <c:pt idx="81">
                  <c:v>23153.00595492457</c:v>
                </c:pt>
                <c:pt idx="82">
                  <c:v>24016.58272017141</c:v>
                </c:pt>
                <c:pt idx="83">
                  <c:v>24880.15948541825</c:v>
                </c:pt>
                <c:pt idx="84">
                  <c:v>25743.7362506651</c:v>
                </c:pt>
                <c:pt idx="85">
                  <c:v>26607.31301591194</c:v>
                </c:pt>
                <c:pt idx="86">
                  <c:v>27470.88978115878</c:v>
                </c:pt>
                <c:pt idx="87">
                  <c:v>28334.46654640563</c:v>
                </c:pt>
                <c:pt idx="88">
                  <c:v>29198.04331165247</c:v>
                </c:pt>
                <c:pt idx="89">
                  <c:v>30061.62007689931</c:v>
                </c:pt>
                <c:pt idx="90">
                  <c:v>30925.19684214615</c:v>
                </c:pt>
                <c:pt idx="91">
                  <c:v>31788.773607393</c:v>
                </c:pt>
                <c:pt idx="92">
                  <c:v>32652.35037263984</c:v>
                </c:pt>
                <c:pt idx="93">
                  <c:v>33515.92713788668</c:v>
                </c:pt>
                <c:pt idx="94">
                  <c:v>34379.50390313353</c:v>
                </c:pt>
                <c:pt idx="95">
                  <c:v>35243.08066838037</c:v>
                </c:pt>
                <c:pt idx="96">
                  <c:v>35243.08066838037</c:v>
                </c:pt>
                <c:pt idx="97">
                  <c:v>35243.08066838037</c:v>
                </c:pt>
                <c:pt idx="98">
                  <c:v>35243.08066838037</c:v>
                </c:pt>
                <c:pt idx="99">
                  <c:v>35243.08066838037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12420.17666813588</c:v>
                </c:pt>
                <c:pt idx="1">
                  <c:v>12420.17666813588</c:v>
                </c:pt>
                <c:pt idx="2">
                  <c:v>12420.17666813588</c:v>
                </c:pt>
                <c:pt idx="3">
                  <c:v>12420.17666813588</c:v>
                </c:pt>
                <c:pt idx="4">
                  <c:v>12420.17666813588</c:v>
                </c:pt>
                <c:pt idx="5">
                  <c:v>12420.17666813588</c:v>
                </c:pt>
                <c:pt idx="6">
                  <c:v>12420.17666813588</c:v>
                </c:pt>
                <c:pt idx="7">
                  <c:v>12420.17666813588</c:v>
                </c:pt>
                <c:pt idx="8">
                  <c:v>12420.17666813588</c:v>
                </c:pt>
                <c:pt idx="9">
                  <c:v>12420.17666813588</c:v>
                </c:pt>
                <c:pt idx="10">
                  <c:v>12420.17666813588</c:v>
                </c:pt>
                <c:pt idx="11">
                  <c:v>12420.17666813588</c:v>
                </c:pt>
                <c:pt idx="12">
                  <c:v>12420.17666813588</c:v>
                </c:pt>
                <c:pt idx="13">
                  <c:v>12420.17666813588</c:v>
                </c:pt>
                <c:pt idx="14">
                  <c:v>12420.17666813588</c:v>
                </c:pt>
                <c:pt idx="15">
                  <c:v>12420.17666813588</c:v>
                </c:pt>
                <c:pt idx="16">
                  <c:v>12420.17666813588</c:v>
                </c:pt>
                <c:pt idx="17">
                  <c:v>12420.17666813588</c:v>
                </c:pt>
                <c:pt idx="18">
                  <c:v>12607.62794592209</c:v>
                </c:pt>
                <c:pt idx="19">
                  <c:v>12982.53050149451</c:v>
                </c:pt>
                <c:pt idx="20">
                  <c:v>13357.43305706692</c:v>
                </c:pt>
                <c:pt idx="21">
                  <c:v>13732.33561263934</c:v>
                </c:pt>
                <c:pt idx="22">
                  <c:v>14107.23816821175</c:v>
                </c:pt>
                <c:pt idx="23">
                  <c:v>14482.14072378417</c:v>
                </c:pt>
                <c:pt idx="24">
                  <c:v>14857.04327935659</c:v>
                </c:pt>
                <c:pt idx="25">
                  <c:v>15231.945834929</c:v>
                </c:pt>
                <c:pt idx="26">
                  <c:v>15606.84839050142</c:v>
                </c:pt>
                <c:pt idx="27">
                  <c:v>15981.75094607383</c:v>
                </c:pt>
                <c:pt idx="28">
                  <c:v>16356.65350164625</c:v>
                </c:pt>
                <c:pt idx="29">
                  <c:v>16731.55605721867</c:v>
                </c:pt>
                <c:pt idx="30">
                  <c:v>17106.45861279108</c:v>
                </c:pt>
                <c:pt idx="31">
                  <c:v>17481.3611683635</c:v>
                </c:pt>
                <c:pt idx="32">
                  <c:v>17856.26372393592</c:v>
                </c:pt>
                <c:pt idx="33">
                  <c:v>18231.16627950833</c:v>
                </c:pt>
                <c:pt idx="34">
                  <c:v>18606.06883508075</c:v>
                </c:pt>
                <c:pt idx="35">
                  <c:v>18980.97139065316</c:v>
                </c:pt>
                <c:pt idx="36">
                  <c:v>19355.87394622558</c:v>
                </c:pt>
                <c:pt idx="37">
                  <c:v>19730.77650179799</c:v>
                </c:pt>
                <c:pt idx="38">
                  <c:v>20105.67905737041</c:v>
                </c:pt>
                <c:pt idx="39">
                  <c:v>20480.58161294283</c:v>
                </c:pt>
                <c:pt idx="40">
                  <c:v>20855.48416851524</c:v>
                </c:pt>
                <c:pt idx="41">
                  <c:v>21230.38672408766</c:v>
                </c:pt>
                <c:pt idx="42">
                  <c:v>21605.28927966008</c:v>
                </c:pt>
                <c:pt idx="43">
                  <c:v>21980.1918352325</c:v>
                </c:pt>
                <c:pt idx="44">
                  <c:v>22355.09439080491</c:v>
                </c:pt>
                <c:pt idx="45">
                  <c:v>22729.99694637732</c:v>
                </c:pt>
                <c:pt idx="46">
                  <c:v>23104.89950194974</c:v>
                </c:pt>
                <c:pt idx="47">
                  <c:v>23479.80205752216</c:v>
                </c:pt>
                <c:pt idx="48">
                  <c:v>23854.70461309457</c:v>
                </c:pt>
                <c:pt idx="49">
                  <c:v>24229.60716866699</c:v>
                </c:pt>
                <c:pt idx="50">
                  <c:v>24604.5097242394</c:v>
                </c:pt>
                <c:pt idx="51">
                  <c:v>24979.41227981182</c:v>
                </c:pt>
                <c:pt idx="52">
                  <c:v>25354.31483538424</c:v>
                </c:pt>
                <c:pt idx="53">
                  <c:v>25961.15830950289</c:v>
                </c:pt>
                <c:pt idx="54">
                  <c:v>26799.94270216777</c:v>
                </c:pt>
                <c:pt idx="55">
                  <c:v>27638.72709483265</c:v>
                </c:pt>
                <c:pt idx="56">
                  <c:v>28477.51148749754</c:v>
                </c:pt>
                <c:pt idx="57">
                  <c:v>29316.29588016242</c:v>
                </c:pt>
                <c:pt idx="58">
                  <c:v>30155.08027282731</c:v>
                </c:pt>
                <c:pt idx="59">
                  <c:v>30993.86466549219</c:v>
                </c:pt>
                <c:pt idx="60">
                  <c:v>31832.64905815708</c:v>
                </c:pt>
                <c:pt idx="61">
                  <c:v>32671.43345082196</c:v>
                </c:pt>
                <c:pt idx="62">
                  <c:v>33510.21784348685</c:v>
                </c:pt>
                <c:pt idx="63">
                  <c:v>34349.00223615173</c:v>
                </c:pt>
                <c:pt idx="64">
                  <c:v>35187.78662881662</c:v>
                </c:pt>
                <c:pt idx="65">
                  <c:v>36026.5710214815</c:v>
                </c:pt>
                <c:pt idx="66">
                  <c:v>36865.35541414638</c:v>
                </c:pt>
                <c:pt idx="67">
                  <c:v>37704.13980681127</c:v>
                </c:pt>
                <c:pt idx="68">
                  <c:v>38542.92419947615</c:v>
                </c:pt>
                <c:pt idx="69">
                  <c:v>39381.70859214104</c:v>
                </c:pt>
                <c:pt idx="70">
                  <c:v>40220.49298480593</c:v>
                </c:pt>
                <c:pt idx="71">
                  <c:v>41059.2773774708</c:v>
                </c:pt>
                <c:pt idx="72">
                  <c:v>41898.0617701357</c:v>
                </c:pt>
                <c:pt idx="73">
                  <c:v>42736.84616280057</c:v>
                </c:pt>
                <c:pt idx="74">
                  <c:v>43575.63055546546</c:v>
                </c:pt>
                <c:pt idx="75">
                  <c:v>44414.41494813035</c:v>
                </c:pt>
                <c:pt idx="76">
                  <c:v>45253.19934079523</c:v>
                </c:pt>
                <c:pt idx="77">
                  <c:v>46091.98373346012</c:v>
                </c:pt>
                <c:pt idx="78">
                  <c:v>46930.768126125</c:v>
                </c:pt>
                <c:pt idx="79">
                  <c:v>47769.55251878988</c:v>
                </c:pt>
                <c:pt idx="80">
                  <c:v>48608.33691145476</c:v>
                </c:pt>
                <c:pt idx="81">
                  <c:v>45367.78111735779</c:v>
                </c:pt>
                <c:pt idx="82">
                  <c:v>42127.2253232608</c:v>
                </c:pt>
                <c:pt idx="83">
                  <c:v>38886.66952916382</c:v>
                </c:pt>
                <c:pt idx="84">
                  <c:v>35646.11373506683</c:v>
                </c:pt>
                <c:pt idx="85">
                  <c:v>32405.55794096985</c:v>
                </c:pt>
                <c:pt idx="86">
                  <c:v>29165.00214687286</c:v>
                </c:pt>
                <c:pt idx="87">
                  <c:v>25924.44635277588</c:v>
                </c:pt>
                <c:pt idx="88">
                  <c:v>22683.89055867889</c:v>
                </c:pt>
                <c:pt idx="89">
                  <c:v>19443.33476458191</c:v>
                </c:pt>
                <c:pt idx="90">
                  <c:v>16202.77897048492</c:v>
                </c:pt>
                <c:pt idx="91">
                  <c:v>12962.22317638794</c:v>
                </c:pt>
                <c:pt idx="92">
                  <c:v>9721.667382290958</c:v>
                </c:pt>
                <c:pt idx="93">
                  <c:v>6481.11158819397</c:v>
                </c:pt>
                <c:pt idx="94">
                  <c:v>3240.555794096988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11643.73166624956</c:v>
                </c:pt>
                <c:pt idx="82">
                  <c:v>23287.46333249913</c:v>
                </c:pt>
                <c:pt idx="83">
                  <c:v>34931.19499874869</c:v>
                </c:pt>
                <c:pt idx="84">
                  <c:v>46574.92666499825</c:v>
                </c:pt>
                <c:pt idx="85">
                  <c:v>58218.65833124781</c:v>
                </c:pt>
                <c:pt idx="86">
                  <c:v>69862.38999749737</c:v>
                </c:pt>
                <c:pt idx="87">
                  <c:v>81506.12166374694</c:v>
                </c:pt>
                <c:pt idx="88">
                  <c:v>93149.8533299965</c:v>
                </c:pt>
                <c:pt idx="89">
                  <c:v>104793.5849962461</c:v>
                </c:pt>
                <c:pt idx="90">
                  <c:v>116437.3166624956</c:v>
                </c:pt>
                <c:pt idx="91">
                  <c:v>128081.0483287452</c:v>
                </c:pt>
                <c:pt idx="92">
                  <c:v>139724.7799949948</c:v>
                </c:pt>
                <c:pt idx="93">
                  <c:v>151368.5116612443</c:v>
                </c:pt>
                <c:pt idx="94">
                  <c:v>163012.2433274939</c:v>
                </c:pt>
                <c:pt idx="95">
                  <c:v>174655.9749937434</c:v>
                </c:pt>
                <c:pt idx="96">
                  <c:v>177327.6749937435</c:v>
                </c:pt>
                <c:pt idx="97">
                  <c:v>179999.3749937434</c:v>
                </c:pt>
                <c:pt idx="98">
                  <c:v>182671.0749937434</c:v>
                </c:pt>
                <c:pt idx="99">
                  <c:v>185342.7749937434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560.8786918335089</c:v>
                </c:pt>
                <c:pt idx="54">
                  <c:v>1682.636075500527</c:v>
                </c:pt>
                <c:pt idx="55">
                  <c:v>2804.393459167545</c:v>
                </c:pt>
                <c:pt idx="56">
                  <c:v>3926.150842834562</c:v>
                </c:pt>
                <c:pt idx="57">
                  <c:v>5047.90822650158</c:v>
                </c:pt>
                <c:pt idx="58">
                  <c:v>6169.665610168598</c:v>
                </c:pt>
                <c:pt idx="59">
                  <c:v>7291.422993835616</c:v>
                </c:pt>
                <c:pt idx="60">
                  <c:v>8413.180377502634</c:v>
                </c:pt>
                <c:pt idx="61">
                  <c:v>9534.93776116965</c:v>
                </c:pt>
                <c:pt idx="62">
                  <c:v>10656.69514483667</c:v>
                </c:pt>
                <c:pt idx="63">
                  <c:v>11778.45252850369</c:v>
                </c:pt>
                <c:pt idx="64">
                  <c:v>12900.20991217071</c:v>
                </c:pt>
                <c:pt idx="65">
                  <c:v>14021.96729583772</c:v>
                </c:pt>
                <c:pt idx="66">
                  <c:v>15143.72467950474</c:v>
                </c:pt>
                <c:pt idx="67">
                  <c:v>16265.48206317176</c:v>
                </c:pt>
                <c:pt idx="68">
                  <c:v>17387.23944683878</c:v>
                </c:pt>
                <c:pt idx="69">
                  <c:v>18508.9968305058</c:v>
                </c:pt>
                <c:pt idx="70">
                  <c:v>19630.75421417281</c:v>
                </c:pt>
                <c:pt idx="71">
                  <c:v>20752.51159783983</c:v>
                </c:pt>
                <c:pt idx="72">
                  <c:v>21874.26898150685</c:v>
                </c:pt>
                <c:pt idx="73">
                  <c:v>22996.02636517386</c:v>
                </c:pt>
                <c:pt idx="74">
                  <c:v>24117.78374884088</c:v>
                </c:pt>
                <c:pt idx="75">
                  <c:v>25239.5411325079</c:v>
                </c:pt>
                <c:pt idx="76">
                  <c:v>26361.29851617492</c:v>
                </c:pt>
                <c:pt idx="77">
                  <c:v>27483.05589984194</c:v>
                </c:pt>
                <c:pt idx="78">
                  <c:v>28604.81328350896</c:v>
                </c:pt>
                <c:pt idx="79">
                  <c:v>29726.57066717597</c:v>
                </c:pt>
                <c:pt idx="80">
                  <c:v>30848.32805084299</c:v>
                </c:pt>
                <c:pt idx="81">
                  <c:v>28791.77284745346</c:v>
                </c:pt>
                <c:pt idx="82">
                  <c:v>26735.21764406393</c:v>
                </c:pt>
                <c:pt idx="83">
                  <c:v>24678.66244067439</c:v>
                </c:pt>
                <c:pt idx="84">
                  <c:v>22622.10723728486</c:v>
                </c:pt>
                <c:pt idx="85">
                  <c:v>20565.55203389533</c:v>
                </c:pt>
                <c:pt idx="86">
                  <c:v>18508.9968305058</c:v>
                </c:pt>
                <c:pt idx="87">
                  <c:v>16452.44162711626</c:v>
                </c:pt>
                <c:pt idx="88">
                  <c:v>14395.88642372673</c:v>
                </c:pt>
                <c:pt idx="89">
                  <c:v>12339.3312203372</c:v>
                </c:pt>
                <c:pt idx="90">
                  <c:v>10282.77601694766</c:v>
                </c:pt>
                <c:pt idx="91">
                  <c:v>8226.220813558131</c:v>
                </c:pt>
                <c:pt idx="92">
                  <c:v>6169.665610168598</c:v>
                </c:pt>
                <c:pt idx="93">
                  <c:v>4113.110406779065</c:v>
                </c:pt>
                <c:pt idx="94">
                  <c:v>2056.555203389533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230.9500495785037</c:v>
                </c:pt>
                <c:pt idx="54">
                  <c:v>692.850148735511</c:v>
                </c:pt>
                <c:pt idx="55">
                  <c:v>1154.750247892518</c:v>
                </c:pt>
                <c:pt idx="56">
                  <c:v>1616.650347049526</c:v>
                </c:pt>
                <c:pt idx="57">
                  <c:v>2078.550446206533</c:v>
                </c:pt>
                <c:pt idx="58">
                  <c:v>2540.45054536354</c:v>
                </c:pt>
                <c:pt idx="59">
                  <c:v>3002.350644520548</c:v>
                </c:pt>
                <c:pt idx="60">
                  <c:v>3464.250743677555</c:v>
                </c:pt>
                <c:pt idx="61">
                  <c:v>3926.150842834562</c:v>
                </c:pt>
                <c:pt idx="62">
                  <c:v>4388.05094199157</c:v>
                </c:pt>
                <c:pt idx="63">
                  <c:v>4849.951041148577</c:v>
                </c:pt>
                <c:pt idx="64">
                  <c:v>5311.851140305584</c:v>
                </c:pt>
                <c:pt idx="65">
                  <c:v>5773.75123946259</c:v>
                </c:pt>
                <c:pt idx="66">
                  <c:v>6235.6513386196</c:v>
                </c:pt>
                <c:pt idx="67">
                  <c:v>6697.551437776606</c:v>
                </c:pt>
                <c:pt idx="68">
                  <c:v>7159.451536933614</c:v>
                </c:pt>
                <c:pt idx="69">
                  <c:v>7621.35163609062</c:v>
                </c:pt>
                <c:pt idx="70">
                  <c:v>8083.251735247628</c:v>
                </c:pt>
                <c:pt idx="71">
                  <c:v>8545.151834404636</c:v>
                </c:pt>
                <c:pt idx="72">
                  <c:v>9007.051933561643</c:v>
                </c:pt>
                <c:pt idx="73">
                  <c:v>9468.952032718651</c:v>
                </c:pt>
                <c:pt idx="74">
                  <c:v>9930.852131875658</c:v>
                </c:pt>
                <c:pt idx="75">
                  <c:v>10392.75223103267</c:v>
                </c:pt>
                <c:pt idx="76">
                  <c:v>10854.65233018967</c:v>
                </c:pt>
                <c:pt idx="77">
                  <c:v>11316.55242934668</c:v>
                </c:pt>
                <c:pt idx="78">
                  <c:v>11778.45252850369</c:v>
                </c:pt>
                <c:pt idx="79">
                  <c:v>12240.35262766069</c:v>
                </c:pt>
                <c:pt idx="80">
                  <c:v>12702.2527268177</c:v>
                </c:pt>
                <c:pt idx="81">
                  <c:v>29699.07661365472</c:v>
                </c:pt>
                <c:pt idx="82">
                  <c:v>46695.90050049174</c:v>
                </c:pt>
                <c:pt idx="83">
                  <c:v>63692.72438732876</c:v>
                </c:pt>
                <c:pt idx="84">
                  <c:v>80689.54827416579</c:v>
                </c:pt>
                <c:pt idx="85">
                  <c:v>97686.37216100281</c:v>
                </c:pt>
                <c:pt idx="86">
                  <c:v>114683.1960478398</c:v>
                </c:pt>
                <c:pt idx="87">
                  <c:v>131680.0199346768</c:v>
                </c:pt>
                <c:pt idx="88">
                  <c:v>148676.8438215139</c:v>
                </c:pt>
                <c:pt idx="89">
                  <c:v>165673.6677083509</c:v>
                </c:pt>
                <c:pt idx="90">
                  <c:v>182670.4915951879</c:v>
                </c:pt>
                <c:pt idx="91">
                  <c:v>199667.3154820249</c:v>
                </c:pt>
                <c:pt idx="92">
                  <c:v>216664.1393688619</c:v>
                </c:pt>
                <c:pt idx="93">
                  <c:v>233660.963255699</c:v>
                </c:pt>
                <c:pt idx="94">
                  <c:v>250657.787142536</c:v>
                </c:pt>
                <c:pt idx="95">
                  <c:v>267654.611029373</c:v>
                </c:pt>
                <c:pt idx="96">
                  <c:v>273858.111029373</c:v>
                </c:pt>
                <c:pt idx="97">
                  <c:v>280061.611029373</c:v>
                </c:pt>
                <c:pt idx="98">
                  <c:v>286265.111029373</c:v>
                </c:pt>
                <c:pt idx="99">
                  <c:v>292468.611029373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3705.389234601206</c:v>
                </c:pt>
                <c:pt idx="1">
                  <c:v>3705.389234601206</c:v>
                </c:pt>
                <c:pt idx="2">
                  <c:v>3705.389234601206</c:v>
                </c:pt>
                <c:pt idx="3">
                  <c:v>3705.389234601206</c:v>
                </c:pt>
                <c:pt idx="4">
                  <c:v>3705.389234601206</c:v>
                </c:pt>
                <c:pt idx="5">
                  <c:v>3705.389234601206</c:v>
                </c:pt>
                <c:pt idx="6">
                  <c:v>3705.389234601206</c:v>
                </c:pt>
                <c:pt idx="7">
                  <c:v>3705.389234601206</c:v>
                </c:pt>
                <c:pt idx="8">
                  <c:v>3705.389234601206</c:v>
                </c:pt>
                <c:pt idx="9">
                  <c:v>3705.389234601206</c:v>
                </c:pt>
                <c:pt idx="10">
                  <c:v>3705.389234601206</c:v>
                </c:pt>
                <c:pt idx="11">
                  <c:v>3705.389234601206</c:v>
                </c:pt>
                <c:pt idx="12">
                  <c:v>3705.389234601206</c:v>
                </c:pt>
                <c:pt idx="13">
                  <c:v>3705.389234601206</c:v>
                </c:pt>
                <c:pt idx="14">
                  <c:v>3705.389234601206</c:v>
                </c:pt>
                <c:pt idx="15">
                  <c:v>3705.389234601206</c:v>
                </c:pt>
                <c:pt idx="16">
                  <c:v>3705.389234601206</c:v>
                </c:pt>
                <c:pt idx="17">
                  <c:v>3705.389234601206</c:v>
                </c:pt>
                <c:pt idx="18">
                  <c:v>3705.389234601206</c:v>
                </c:pt>
                <c:pt idx="19">
                  <c:v>3705.389234601206</c:v>
                </c:pt>
                <c:pt idx="20">
                  <c:v>3705.389234601206</c:v>
                </c:pt>
                <c:pt idx="21">
                  <c:v>3705.389234601206</c:v>
                </c:pt>
                <c:pt idx="22">
                  <c:v>3705.389234601206</c:v>
                </c:pt>
                <c:pt idx="23">
                  <c:v>3705.389234601206</c:v>
                </c:pt>
                <c:pt idx="24">
                  <c:v>3705.389234601206</c:v>
                </c:pt>
                <c:pt idx="25">
                  <c:v>3705.389234601206</c:v>
                </c:pt>
                <c:pt idx="26">
                  <c:v>3705.389234601206</c:v>
                </c:pt>
                <c:pt idx="27">
                  <c:v>3705.389234601206</c:v>
                </c:pt>
                <c:pt idx="28">
                  <c:v>3705.389234601206</c:v>
                </c:pt>
                <c:pt idx="29">
                  <c:v>3705.389234601206</c:v>
                </c:pt>
                <c:pt idx="30">
                  <c:v>3705.389234601206</c:v>
                </c:pt>
                <c:pt idx="31">
                  <c:v>3705.389234601206</c:v>
                </c:pt>
                <c:pt idx="32">
                  <c:v>3705.389234601206</c:v>
                </c:pt>
                <c:pt idx="33">
                  <c:v>3705.389234601206</c:v>
                </c:pt>
                <c:pt idx="34">
                  <c:v>3705.389234601206</c:v>
                </c:pt>
                <c:pt idx="35">
                  <c:v>3705.389234601206</c:v>
                </c:pt>
                <c:pt idx="36">
                  <c:v>3705.389234601206</c:v>
                </c:pt>
                <c:pt idx="37">
                  <c:v>3705.389234601206</c:v>
                </c:pt>
                <c:pt idx="38">
                  <c:v>3705.389234601206</c:v>
                </c:pt>
                <c:pt idx="39">
                  <c:v>3705.389234601206</c:v>
                </c:pt>
                <c:pt idx="40">
                  <c:v>3705.389234601206</c:v>
                </c:pt>
                <c:pt idx="41">
                  <c:v>3705.389234601206</c:v>
                </c:pt>
                <c:pt idx="42">
                  <c:v>3705.389234601206</c:v>
                </c:pt>
                <c:pt idx="43">
                  <c:v>3705.389234601206</c:v>
                </c:pt>
                <c:pt idx="44">
                  <c:v>3705.389234601206</c:v>
                </c:pt>
                <c:pt idx="45">
                  <c:v>3705.389234601206</c:v>
                </c:pt>
                <c:pt idx="46">
                  <c:v>3705.389234601206</c:v>
                </c:pt>
                <c:pt idx="47">
                  <c:v>3705.389234601206</c:v>
                </c:pt>
                <c:pt idx="48">
                  <c:v>3705.389234601206</c:v>
                </c:pt>
                <c:pt idx="49">
                  <c:v>3705.389234601206</c:v>
                </c:pt>
                <c:pt idx="50">
                  <c:v>3705.389234601206</c:v>
                </c:pt>
                <c:pt idx="51">
                  <c:v>3705.389234601206</c:v>
                </c:pt>
                <c:pt idx="52">
                  <c:v>3705.389234601206</c:v>
                </c:pt>
                <c:pt idx="53">
                  <c:v>3699.26462429608</c:v>
                </c:pt>
                <c:pt idx="54">
                  <c:v>3687.015403685828</c:v>
                </c:pt>
                <c:pt idx="55">
                  <c:v>3674.766183075576</c:v>
                </c:pt>
                <c:pt idx="56">
                  <c:v>3662.516962465324</c:v>
                </c:pt>
                <c:pt idx="57">
                  <c:v>3650.267741855072</c:v>
                </c:pt>
                <c:pt idx="58">
                  <c:v>3638.01852124482</c:v>
                </c:pt>
                <c:pt idx="59">
                  <c:v>3625.769300634568</c:v>
                </c:pt>
                <c:pt idx="60">
                  <c:v>3613.520080024316</c:v>
                </c:pt>
                <c:pt idx="61">
                  <c:v>3601.270859414064</c:v>
                </c:pt>
                <c:pt idx="62">
                  <c:v>3589.021638803812</c:v>
                </c:pt>
                <c:pt idx="63">
                  <c:v>3576.77241819356</c:v>
                </c:pt>
                <c:pt idx="64">
                  <c:v>3564.523197583308</c:v>
                </c:pt>
                <c:pt idx="65">
                  <c:v>3552.273976973056</c:v>
                </c:pt>
                <c:pt idx="66">
                  <c:v>3540.024756362805</c:v>
                </c:pt>
                <c:pt idx="67">
                  <c:v>3527.775535752553</c:v>
                </c:pt>
                <c:pt idx="68">
                  <c:v>3515.526315142301</c:v>
                </c:pt>
                <c:pt idx="69">
                  <c:v>3503.277094532049</c:v>
                </c:pt>
                <c:pt idx="70">
                  <c:v>3491.027873921797</c:v>
                </c:pt>
                <c:pt idx="71">
                  <c:v>3478.778653311545</c:v>
                </c:pt>
                <c:pt idx="72">
                  <c:v>3466.529432701293</c:v>
                </c:pt>
                <c:pt idx="73">
                  <c:v>3454.280212091041</c:v>
                </c:pt>
                <c:pt idx="74">
                  <c:v>3442.030991480789</c:v>
                </c:pt>
                <c:pt idx="75">
                  <c:v>3429.781770870537</c:v>
                </c:pt>
                <c:pt idx="76">
                  <c:v>3417.532550260285</c:v>
                </c:pt>
                <c:pt idx="77">
                  <c:v>3405.283329650033</c:v>
                </c:pt>
                <c:pt idx="78">
                  <c:v>3393.034109039781</c:v>
                </c:pt>
                <c:pt idx="79">
                  <c:v>3380.784888429529</c:v>
                </c:pt>
                <c:pt idx="80">
                  <c:v>3368.535667819277</c:v>
                </c:pt>
                <c:pt idx="81">
                  <c:v>3143.966623297992</c:v>
                </c:pt>
                <c:pt idx="82">
                  <c:v>2919.397578776707</c:v>
                </c:pt>
                <c:pt idx="83">
                  <c:v>2694.828534255422</c:v>
                </c:pt>
                <c:pt idx="84">
                  <c:v>2470.259489734137</c:v>
                </c:pt>
                <c:pt idx="85">
                  <c:v>2245.690445212852</c:v>
                </c:pt>
                <c:pt idx="86">
                  <c:v>2021.121400691566</c:v>
                </c:pt>
                <c:pt idx="87">
                  <c:v>1796.552356170281</c:v>
                </c:pt>
                <c:pt idx="88">
                  <c:v>1571.983311648996</c:v>
                </c:pt>
                <c:pt idx="89">
                  <c:v>1347.414267127711</c:v>
                </c:pt>
                <c:pt idx="90">
                  <c:v>1122.845222606426</c:v>
                </c:pt>
                <c:pt idx="91">
                  <c:v>898.2761780851406</c:v>
                </c:pt>
                <c:pt idx="92">
                  <c:v>673.7071335638552</c:v>
                </c:pt>
                <c:pt idx="93">
                  <c:v>449.1380890425703</c:v>
                </c:pt>
                <c:pt idx="94">
                  <c:v>224.5690445212849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42824.7377646997</c:v>
                </c:pt>
                <c:pt idx="1">
                  <c:v>42824.7377646997</c:v>
                </c:pt>
                <c:pt idx="2">
                  <c:v>42824.7377646997</c:v>
                </c:pt>
                <c:pt idx="3">
                  <c:v>42824.7377646997</c:v>
                </c:pt>
                <c:pt idx="4">
                  <c:v>42824.7377646997</c:v>
                </c:pt>
                <c:pt idx="5">
                  <c:v>42824.7377646997</c:v>
                </c:pt>
                <c:pt idx="6">
                  <c:v>42824.7377646997</c:v>
                </c:pt>
                <c:pt idx="7">
                  <c:v>42824.7377646997</c:v>
                </c:pt>
                <c:pt idx="8">
                  <c:v>42824.7377646997</c:v>
                </c:pt>
                <c:pt idx="9">
                  <c:v>42824.7377646997</c:v>
                </c:pt>
                <c:pt idx="10">
                  <c:v>42824.7377646997</c:v>
                </c:pt>
                <c:pt idx="11">
                  <c:v>42824.7377646997</c:v>
                </c:pt>
                <c:pt idx="12">
                  <c:v>42824.7377646997</c:v>
                </c:pt>
                <c:pt idx="13">
                  <c:v>42824.7377646997</c:v>
                </c:pt>
                <c:pt idx="14">
                  <c:v>42824.7377646997</c:v>
                </c:pt>
                <c:pt idx="15">
                  <c:v>42824.7377646997</c:v>
                </c:pt>
                <c:pt idx="16">
                  <c:v>42824.7377646997</c:v>
                </c:pt>
                <c:pt idx="17">
                  <c:v>42824.7377646997</c:v>
                </c:pt>
                <c:pt idx="18">
                  <c:v>42824.7377646997</c:v>
                </c:pt>
                <c:pt idx="19">
                  <c:v>42824.7377646997</c:v>
                </c:pt>
                <c:pt idx="20">
                  <c:v>42824.7377646997</c:v>
                </c:pt>
                <c:pt idx="21">
                  <c:v>42824.7377646997</c:v>
                </c:pt>
                <c:pt idx="22">
                  <c:v>42824.7377646997</c:v>
                </c:pt>
                <c:pt idx="23">
                  <c:v>42824.7377646997</c:v>
                </c:pt>
                <c:pt idx="24">
                  <c:v>42824.7377646997</c:v>
                </c:pt>
                <c:pt idx="25">
                  <c:v>42824.7377646997</c:v>
                </c:pt>
                <c:pt idx="26">
                  <c:v>42824.7377646997</c:v>
                </c:pt>
                <c:pt idx="27">
                  <c:v>42824.73776469969</c:v>
                </c:pt>
                <c:pt idx="28">
                  <c:v>42824.73776469969</c:v>
                </c:pt>
                <c:pt idx="29">
                  <c:v>42824.73776469969</c:v>
                </c:pt>
                <c:pt idx="30">
                  <c:v>42824.73776469969</c:v>
                </c:pt>
                <c:pt idx="31">
                  <c:v>42824.73776469969</c:v>
                </c:pt>
                <c:pt idx="32">
                  <c:v>42824.73776469969</c:v>
                </c:pt>
                <c:pt idx="33">
                  <c:v>42824.73776469969</c:v>
                </c:pt>
                <c:pt idx="34">
                  <c:v>42824.73776469969</c:v>
                </c:pt>
                <c:pt idx="35">
                  <c:v>42824.73776469969</c:v>
                </c:pt>
                <c:pt idx="36">
                  <c:v>42824.73776469969</c:v>
                </c:pt>
                <c:pt idx="37">
                  <c:v>42824.73776469969</c:v>
                </c:pt>
                <c:pt idx="38">
                  <c:v>42824.73776469969</c:v>
                </c:pt>
                <c:pt idx="39">
                  <c:v>42824.73776469969</c:v>
                </c:pt>
                <c:pt idx="40">
                  <c:v>42824.73776469969</c:v>
                </c:pt>
                <c:pt idx="41">
                  <c:v>42824.73776469969</c:v>
                </c:pt>
                <c:pt idx="42">
                  <c:v>42824.73776469969</c:v>
                </c:pt>
                <c:pt idx="43">
                  <c:v>42824.73776469969</c:v>
                </c:pt>
                <c:pt idx="44">
                  <c:v>42824.73776469968</c:v>
                </c:pt>
                <c:pt idx="45">
                  <c:v>42824.73776469968</c:v>
                </c:pt>
                <c:pt idx="46">
                  <c:v>42824.73776469968</c:v>
                </c:pt>
                <c:pt idx="47">
                  <c:v>42824.73776469968</c:v>
                </c:pt>
                <c:pt idx="48">
                  <c:v>42824.73776469968</c:v>
                </c:pt>
                <c:pt idx="49">
                  <c:v>42824.73776469968</c:v>
                </c:pt>
                <c:pt idx="50">
                  <c:v>42824.73776469968</c:v>
                </c:pt>
                <c:pt idx="51">
                  <c:v>42824.73776469968</c:v>
                </c:pt>
                <c:pt idx="52">
                  <c:v>42824.73776469968</c:v>
                </c:pt>
                <c:pt idx="53">
                  <c:v>42280.35550497892</c:v>
                </c:pt>
                <c:pt idx="54">
                  <c:v>41191.5909855374</c:v>
                </c:pt>
                <c:pt idx="55">
                  <c:v>40102.82646609589</c:v>
                </c:pt>
                <c:pt idx="56">
                  <c:v>39014.06194665437</c:v>
                </c:pt>
                <c:pt idx="57">
                  <c:v>37925.29742721286</c:v>
                </c:pt>
                <c:pt idx="58">
                  <c:v>36836.53290777134</c:v>
                </c:pt>
                <c:pt idx="59">
                  <c:v>35747.76838832982</c:v>
                </c:pt>
                <c:pt idx="60">
                  <c:v>34659.0038688883</c:v>
                </c:pt>
                <c:pt idx="61">
                  <c:v>33570.23934944678</c:v>
                </c:pt>
                <c:pt idx="62">
                  <c:v>32481.47483000527</c:v>
                </c:pt>
                <c:pt idx="63">
                  <c:v>31392.71031056375</c:v>
                </c:pt>
                <c:pt idx="64">
                  <c:v>30303.94579112223</c:v>
                </c:pt>
                <c:pt idx="65">
                  <c:v>29215.18127168071</c:v>
                </c:pt>
                <c:pt idx="66">
                  <c:v>28126.4167522392</c:v>
                </c:pt>
                <c:pt idx="67">
                  <c:v>27037.65223279768</c:v>
                </c:pt>
                <c:pt idx="68">
                  <c:v>25948.88771335616</c:v>
                </c:pt>
                <c:pt idx="69">
                  <c:v>24860.12319391464</c:v>
                </c:pt>
                <c:pt idx="70">
                  <c:v>23771.35867447313</c:v>
                </c:pt>
                <c:pt idx="71">
                  <c:v>22682.59415503161</c:v>
                </c:pt>
                <c:pt idx="72">
                  <c:v>21593.82963559009</c:v>
                </c:pt>
                <c:pt idx="73">
                  <c:v>20505.06511614858</c:v>
                </c:pt>
                <c:pt idx="74">
                  <c:v>19416.30059670706</c:v>
                </c:pt>
                <c:pt idx="75">
                  <c:v>18327.53607726554</c:v>
                </c:pt>
                <c:pt idx="76">
                  <c:v>17238.77155782402</c:v>
                </c:pt>
                <c:pt idx="77">
                  <c:v>16150.0070383825</c:v>
                </c:pt>
                <c:pt idx="78">
                  <c:v>15061.24251894099</c:v>
                </c:pt>
                <c:pt idx="79">
                  <c:v>13972.47799949947</c:v>
                </c:pt>
                <c:pt idx="80">
                  <c:v>12883.71348005795</c:v>
                </c:pt>
                <c:pt idx="81">
                  <c:v>13098.44203805892</c:v>
                </c:pt>
                <c:pt idx="82">
                  <c:v>13313.17059605989</c:v>
                </c:pt>
                <c:pt idx="83">
                  <c:v>13527.89915406085</c:v>
                </c:pt>
                <c:pt idx="84">
                  <c:v>13742.62771206182</c:v>
                </c:pt>
                <c:pt idx="85">
                  <c:v>13957.35627006279</c:v>
                </c:pt>
                <c:pt idx="86">
                  <c:v>14172.08482806375</c:v>
                </c:pt>
                <c:pt idx="87">
                  <c:v>14386.81338606472</c:v>
                </c:pt>
                <c:pt idx="88">
                  <c:v>14601.54194406568</c:v>
                </c:pt>
                <c:pt idx="89">
                  <c:v>14816.27050206665</c:v>
                </c:pt>
                <c:pt idx="90">
                  <c:v>15030.99906006762</c:v>
                </c:pt>
                <c:pt idx="91">
                  <c:v>15245.72761806858</c:v>
                </c:pt>
                <c:pt idx="92">
                  <c:v>15460.45617606955</c:v>
                </c:pt>
                <c:pt idx="93">
                  <c:v>15675.18473407051</c:v>
                </c:pt>
                <c:pt idx="94">
                  <c:v>15889.91329207148</c:v>
                </c:pt>
                <c:pt idx="95">
                  <c:v>16104.64185007245</c:v>
                </c:pt>
                <c:pt idx="96">
                  <c:v>14976.81185007245</c:v>
                </c:pt>
                <c:pt idx="97">
                  <c:v>13848.98185007245</c:v>
                </c:pt>
                <c:pt idx="98">
                  <c:v>12721.15185007245</c:v>
                </c:pt>
                <c:pt idx="99">
                  <c:v>11593.32185007245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1512.172943668774</c:v>
                </c:pt>
                <c:pt idx="1">
                  <c:v>1512.172943668774</c:v>
                </c:pt>
                <c:pt idx="2">
                  <c:v>1512.172943668774</c:v>
                </c:pt>
                <c:pt idx="3">
                  <c:v>1512.172943668774</c:v>
                </c:pt>
                <c:pt idx="4">
                  <c:v>1512.172943668774</c:v>
                </c:pt>
                <c:pt idx="5">
                  <c:v>1512.172943668774</c:v>
                </c:pt>
                <c:pt idx="6">
                  <c:v>1512.172943668774</c:v>
                </c:pt>
                <c:pt idx="7">
                  <c:v>1512.172943668774</c:v>
                </c:pt>
                <c:pt idx="8">
                  <c:v>1512.172943668774</c:v>
                </c:pt>
                <c:pt idx="9">
                  <c:v>1512.172943668774</c:v>
                </c:pt>
                <c:pt idx="10">
                  <c:v>1512.172943668774</c:v>
                </c:pt>
                <c:pt idx="11">
                  <c:v>1512.172943668774</c:v>
                </c:pt>
                <c:pt idx="12">
                  <c:v>1512.172943668774</c:v>
                </c:pt>
                <c:pt idx="13">
                  <c:v>1512.172943668774</c:v>
                </c:pt>
                <c:pt idx="14">
                  <c:v>1512.172943668774</c:v>
                </c:pt>
                <c:pt idx="15">
                  <c:v>1512.172943668774</c:v>
                </c:pt>
                <c:pt idx="16">
                  <c:v>1512.172943668774</c:v>
                </c:pt>
                <c:pt idx="17">
                  <c:v>1512.172943668774</c:v>
                </c:pt>
                <c:pt idx="18">
                  <c:v>1490.570473044934</c:v>
                </c:pt>
                <c:pt idx="19">
                  <c:v>1447.365531797255</c:v>
                </c:pt>
                <c:pt idx="20">
                  <c:v>1404.160590549576</c:v>
                </c:pt>
                <c:pt idx="21">
                  <c:v>1360.955649301897</c:v>
                </c:pt>
                <c:pt idx="22">
                  <c:v>1317.750708054218</c:v>
                </c:pt>
                <c:pt idx="23">
                  <c:v>1274.545766806538</c:v>
                </c:pt>
                <c:pt idx="24">
                  <c:v>1231.340825558859</c:v>
                </c:pt>
                <c:pt idx="25">
                  <c:v>1188.13588431118</c:v>
                </c:pt>
                <c:pt idx="26">
                  <c:v>1144.930943063501</c:v>
                </c:pt>
                <c:pt idx="27">
                  <c:v>1101.726001815821</c:v>
                </c:pt>
                <c:pt idx="28">
                  <c:v>1058.521060568142</c:v>
                </c:pt>
                <c:pt idx="29">
                  <c:v>1015.316119320463</c:v>
                </c:pt>
                <c:pt idx="30">
                  <c:v>972.1111780727834</c:v>
                </c:pt>
                <c:pt idx="31">
                  <c:v>928.9062368251041</c:v>
                </c:pt>
                <c:pt idx="32">
                  <c:v>885.7012955774248</c:v>
                </c:pt>
                <c:pt idx="33">
                  <c:v>842.4963543297456</c:v>
                </c:pt>
                <c:pt idx="34">
                  <c:v>799.2914130820663</c:v>
                </c:pt>
                <c:pt idx="35">
                  <c:v>756.086471834387</c:v>
                </c:pt>
                <c:pt idx="36">
                  <c:v>712.8815305867078</c:v>
                </c:pt>
                <c:pt idx="37">
                  <c:v>669.6765893390285</c:v>
                </c:pt>
                <c:pt idx="38">
                  <c:v>626.4716480913493</c:v>
                </c:pt>
                <c:pt idx="39">
                  <c:v>583.26670684367</c:v>
                </c:pt>
                <c:pt idx="40">
                  <c:v>540.0617655959908</c:v>
                </c:pt>
                <c:pt idx="41">
                  <c:v>496.8568243483115</c:v>
                </c:pt>
                <c:pt idx="42">
                  <c:v>453.6518831006321</c:v>
                </c:pt>
                <c:pt idx="43">
                  <c:v>410.4469418529529</c:v>
                </c:pt>
                <c:pt idx="44">
                  <c:v>367.2420006052737</c:v>
                </c:pt>
                <c:pt idx="45">
                  <c:v>324.0370593575944</c:v>
                </c:pt>
                <c:pt idx="46">
                  <c:v>280.8321181099152</c:v>
                </c:pt>
                <c:pt idx="47">
                  <c:v>237.627176862236</c:v>
                </c:pt>
                <c:pt idx="48">
                  <c:v>194.4222356145567</c:v>
                </c:pt>
                <c:pt idx="49">
                  <c:v>151.2172943668775</c:v>
                </c:pt>
                <c:pt idx="50">
                  <c:v>108.012353119198</c:v>
                </c:pt>
                <c:pt idx="51">
                  <c:v>64.80741187151875</c:v>
                </c:pt>
                <c:pt idx="52">
                  <c:v>21.60247062383951</c:v>
                </c:pt>
                <c:pt idx="53">
                  <c:v>27.49405352125044</c:v>
                </c:pt>
                <c:pt idx="54">
                  <c:v>82.48216056375131</c:v>
                </c:pt>
                <c:pt idx="55">
                  <c:v>137.4702676062522</c:v>
                </c:pt>
                <c:pt idx="56">
                  <c:v>192.4583746487531</c:v>
                </c:pt>
                <c:pt idx="57">
                  <c:v>247.4464816912539</c:v>
                </c:pt>
                <c:pt idx="58">
                  <c:v>302.4345887337548</c:v>
                </c:pt>
                <c:pt idx="59">
                  <c:v>357.4226957762556</c:v>
                </c:pt>
                <c:pt idx="60">
                  <c:v>412.4108028187565</c:v>
                </c:pt>
                <c:pt idx="61">
                  <c:v>467.3989098612574</c:v>
                </c:pt>
                <c:pt idx="62">
                  <c:v>522.3870169037583</c:v>
                </c:pt>
                <c:pt idx="63">
                  <c:v>577.3751239462591</c:v>
                </c:pt>
                <c:pt idx="64">
                  <c:v>632.3632309887601</c:v>
                </c:pt>
                <c:pt idx="65">
                  <c:v>687.3513380312609</c:v>
                </c:pt>
                <c:pt idx="66">
                  <c:v>742.3394450737618</c:v>
                </c:pt>
                <c:pt idx="67">
                  <c:v>797.3275521162626</c:v>
                </c:pt>
                <c:pt idx="68">
                  <c:v>852.3156591587635</c:v>
                </c:pt>
                <c:pt idx="69">
                  <c:v>907.3037662012643</c:v>
                </c:pt>
                <c:pt idx="70">
                  <c:v>962.2918732437652</c:v>
                </c:pt>
                <c:pt idx="71">
                  <c:v>1017.279980286266</c:v>
                </c:pt>
                <c:pt idx="72">
                  <c:v>1072.268087328767</c:v>
                </c:pt>
                <c:pt idx="73">
                  <c:v>1127.256194371268</c:v>
                </c:pt>
                <c:pt idx="74">
                  <c:v>1182.244301413769</c:v>
                </c:pt>
                <c:pt idx="75">
                  <c:v>1237.23240845627</c:v>
                </c:pt>
                <c:pt idx="76">
                  <c:v>1292.220515498771</c:v>
                </c:pt>
                <c:pt idx="77">
                  <c:v>1347.208622541271</c:v>
                </c:pt>
                <c:pt idx="78">
                  <c:v>1402.196729583772</c:v>
                </c:pt>
                <c:pt idx="79">
                  <c:v>1457.184836626273</c:v>
                </c:pt>
                <c:pt idx="80">
                  <c:v>1512.172943668774</c:v>
                </c:pt>
                <c:pt idx="81">
                  <c:v>1600.383032049453</c:v>
                </c:pt>
                <c:pt idx="82">
                  <c:v>1688.593120430131</c:v>
                </c:pt>
                <c:pt idx="83">
                  <c:v>1776.80320881081</c:v>
                </c:pt>
                <c:pt idx="84">
                  <c:v>1865.013297191488</c:v>
                </c:pt>
                <c:pt idx="85">
                  <c:v>1953.223385572167</c:v>
                </c:pt>
                <c:pt idx="86">
                  <c:v>2041.433473952845</c:v>
                </c:pt>
                <c:pt idx="87">
                  <c:v>2129.643562333523</c:v>
                </c:pt>
                <c:pt idx="88">
                  <c:v>2217.853650714203</c:v>
                </c:pt>
                <c:pt idx="89">
                  <c:v>2306.063739094881</c:v>
                </c:pt>
                <c:pt idx="90">
                  <c:v>2394.27382747556</c:v>
                </c:pt>
                <c:pt idx="91">
                  <c:v>2482.483915856238</c:v>
                </c:pt>
                <c:pt idx="92">
                  <c:v>2570.694004236916</c:v>
                </c:pt>
                <c:pt idx="93">
                  <c:v>2658.904092617595</c:v>
                </c:pt>
                <c:pt idx="94">
                  <c:v>2747.114180998274</c:v>
                </c:pt>
                <c:pt idx="95">
                  <c:v>2835.324269378952</c:v>
                </c:pt>
                <c:pt idx="96">
                  <c:v>3131.654269378952</c:v>
                </c:pt>
                <c:pt idx="97">
                  <c:v>3427.984269378952</c:v>
                </c:pt>
                <c:pt idx="98">
                  <c:v>3724.314269378952</c:v>
                </c:pt>
                <c:pt idx="99">
                  <c:v>4020.644269378952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8934072"/>
        <c:axId val="-199892812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48896.47230288047</c:v>
                </c:pt>
                <c:pt idx="1">
                  <c:v>48896.47230288047</c:v>
                </c:pt>
                <c:pt idx="2">
                  <c:v>48896.47230288047</c:v>
                </c:pt>
                <c:pt idx="3">
                  <c:v>48896.47230288047</c:v>
                </c:pt>
                <c:pt idx="4">
                  <c:v>48896.47230288047</c:v>
                </c:pt>
                <c:pt idx="5">
                  <c:v>48896.47230288047</c:v>
                </c:pt>
                <c:pt idx="6">
                  <c:v>48896.47230288047</c:v>
                </c:pt>
                <c:pt idx="7">
                  <c:v>48896.47230288047</c:v>
                </c:pt>
                <c:pt idx="8">
                  <c:v>48896.47230288047</c:v>
                </c:pt>
                <c:pt idx="9">
                  <c:v>48896.47230288047</c:v>
                </c:pt>
                <c:pt idx="10">
                  <c:v>48896.47230288047</c:v>
                </c:pt>
                <c:pt idx="11">
                  <c:v>48896.47230288047</c:v>
                </c:pt>
                <c:pt idx="12">
                  <c:v>48896.47230288047</c:v>
                </c:pt>
                <c:pt idx="13">
                  <c:v>48896.47230288047</c:v>
                </c:pt>
                <c:pt idx="14">
                  <c:v>48896.47230288047</c:v>
                </c:pt>
                <c:pt idx="15">
                  <c:v>48896.47230288047</c:v>
                </c:pt>
                <c:pt idx="16">
                  <c:v>48896.47230288047</c:v>
                </c:pt>
                <c:pt idx="17">
                  <c:v>48896.47230288047</c:v>
                </c:pt>
                <c:pt idx="18">
                  <c:v>48896.47230288047</c:v>
                </c:pt>
                <c:pt idx="19">
                  <c:v>48896.47230288047</c:v>
                </c:pt>
                <c:pt idx="20">
                  <c:v>48896.47230288047</c:v>
                </c:pt>
                <c:pt idx="21">
                  <c:v>48896.47230288047</c:v>
                </c:pt>
                <c:pt idx="22">
                  <c:v>48896.47230288047</c:v>
                </c:pt>
                <c:pt idx="23">
                  <c:v>48896.47230288047</c:v>
                </c:pt>
                <c:pt idx="24">
                  <c:v>48896.47230288047</c:v>
                </c:pt>
                <c:pt idx="25">
                  <c:v>48896.47230288047</c:v>
                </c:pt>
                <c:pt idx="26">
                  <c:v>48896.47230288047</c:v>
                </c:pt>
                <c:pt idx="27">
                  <c:v>48896.47230288047</c:v>
                </c:pt>
                <c:pt idx="28">
                  <c:v>48896.47230288047</c:v>
                </c:pt>
                <c:pt idx="29">
                  <c:v>48896.47230288047</c:v>
                </c:pt>
                <c:pt idx="30">
                  <c:v>48896.47230288047</c:v>
                </c:pt>
                <c:pt idx="31">
                  <c:v>48896.47230288047</c:v>
                </c:pt>
                <c:pt idx="32">
                  <c:v>48896.47230288047</c:v>
                </c:pt>
                <c:pt idx="33">
                  <c:v>48896.47230288047</c:v>
                </c:pt>
                <c:pt idx="34">
                  <c:v>48896.47230288047</c:v>
                </c:pt>
                <c:pt idx="35">
                  <c:v>48896.47230288047</c:v>
                </c:pt>
                <c:pt idx="36">
                  <c:v>48896.47230288047</c:v>
                </c:pt>
                <c:pt idx="37">
                  <c:v>48896.47230288047</c:v>
                </c:pt>
                <c:pt idx="38">
                  <c:v>48896.47230288047</c:v>
                </c:pt>
                <c:pt idx="39">
                  <c:v>48896.47230288047</c:v>
                </c:pt>
                <c:pt idx="40">
                  <c:v>48896.47230288047</c:v>
                </c:pt>
                <c:pt idx="41">
                  <c:v>48896.47230288047</c:v>
                </c:pt>
                <c:pt idx="42">
                  <c:v>48896.47230288047</c:v>
                </c:pt>
                <c:pt idx="43">
                  <c:v>48896.47230288047</c:v>
                </c:pt>
                <c:pt idx="44">
                  <c:v>48896.47230288047</c:v>
                </c:pt>
                <c:pt idx="45">
                  <c:v>48896.47230288047</c:v>
                </c:pt>
                <c:pt idx="46">
                  <c:v>48896.47230288047</c:v>
                </c:pt>
                <c:pt idx="47">
                  <c:v>48896.47230288047</c:v>
                </c:pt>
                <c:pt idx="48">
                  <c:v>48896.47230288047</c:v>
                </c:pt>
                <c:pt idx="49">
                  <c:v>48896.47230288047</c:v>
                </c:pt>
                <c:pt idx="50">
                  <c:v>48896.47230288047</c:v>
                </c:pt>
                <c:pt idx="51">
                  <c:v>48896.47230288047</c:v>
                </c:pt>
                <c:pt idx="52">
                  <c:v>48896.47230288047</c:v>
                </c:pt>
                <c:pt idx="53">
                  <c:v>48896.47230288047</c:v>
                </c:pt>
                <c:pt idx="54">
                  <c:v>48896.47230288047</c:v>
                </c:pt>
                <c:pt idx="55">
                  <c:v>48896.47230288047</c:v>
                </c:pt>
                <c:pt idx="56">
                  <c:v>48896.47230288047</c:v>
                </c:pt>
                <c:pt idx="57">
                  <c:v>48896.47230288047</c:v>
                </c:pt>
                <c:pt idx="58">
                  <c:v>48896.47230288047</c:v>
                </c:pt>
                <c:pt idx="59">
                  <c:v>48896.47230288047</c:v>
                </c:pt>
                <c:pt idx="60">
                  <c:v>48896.47230288047</c:v>
                </c:pt>
                <c:pt idx="61">
                  <c:v>48896.47230288047</c:v>
                </c:pt>
                <c:pt idx="62">
                  <c:v>48896.47230288047</c:v>
                </c:pt>
                <c:pt idx="63">
                  <c:v>48896.47230288047</c:v>
                </c:pt>
                <c:pt idx="64">
                  <c:v>48896.47230288047</c:v>
                </c:pt>
                <c:pt idx="65">
                  <c:v>48896.47230288047</c:v>
                </c:pt>
                <c:pt idx="66">
                  <c:v>48896.47230288047</c:v>
                </c:pt>
                <c:pt idx="67">
                  <c:v>48896.47230288047</c:v>
                </c:pt>
                <c:pt idx="68">
                  <c:v>48896.47230288047</c:v>
                </c:pt>
                <c:pt idx="69">
                  <c:v>48896.47230288047</c:v>
                </c:pt>
                <c:pt idx="70">
                  <c:v>48896.47230288047</c:v>
                </c:pt>
                <c:pt idx="71">
                  <c:v>48896.47230288047</c:v>
                </c:pt>
                <c:pt idx="72">
                  <c:v>48896.47230288047</c:v>
                </c:pt>
                <c:pt idx="73">
                  <c:v>48896.47230288047</c:v>
                </c:pt>
                <c:pt idx="74">
                  <c:v>48896.47230288047</c:v>
                </c:pt>
                <c:pt idx="75">
                  <c:v>48896.47230288047</c:v>
                </c:pt>
                <c:pt idx="76">
                  <c:v>48896.47230288047</c:v>
                </c:pt>
                <c:pt idx="77">
                  <c:v>48896.47230288047</c:v>
                </c:pt>
                <c:pt idx="78">
                  <c:v>48896.47230288047</c:v>
                </c:pt>
                <c:pt idx="79">
                  <c:v>48896.47230288047</c:v>
                </c:pt>
                <c:pt idx="80">
                  <c:v>48896.47230288047</c:v>
                </c:pt>
                <c:pt idx="81">
                  <c:v>48896.47230288047</c:v>
                </c:pt>
                <c:pt idx="82">
                  <c:v>48896.47230288047</c:v>
                </c:pt>
                <c:pt idx="83">
                  <c:v>48896.47230288047</c:v>
                </c:pt>
                <c:pt idx="84">
                  <c:v>48896.47230288047</c:v>
                </c:pt>
                <c:pt idx="85">
                  <c:v>48896.47230288047</c:v>
                </c:pt>
                <c:pt idx="86">
                  <c:v>48896.47230288047</c:v>
                </c:pt>
                <c:pt idx="87">
                  <c:v>48896.47230288047</c:v>
                </c:pt>
                <c:pt idx="88">
                  <c:v>48896.47230288047</c:v>
                </c:pt>
                <c:pt idx="89">
                  <c:v>48896.47230288047</c:v>
                </c:pt>
                <c:pt idx="90">
                  <c:v>48896.47230288049</c:v>
                </c:pt>
                <c:pt idx="91">
                  <c:v>48896.47230288049</c:v>
                </c:pt>
                <c:pt idx="92">
                  <c:v>48896.47230288049</c:v>
                </c:pt>
                <c:pt idx="93">
                  <c:v>48896.47230288049</c:v>
                </c:pt>
                <c:pt idx="94">
                  <c:v>48896.47230288049</c:v>
                </c:pt>
                <c:pt idx="95">
                  <c:v>48896.47230288049</c:v>
                </c:pt>
                <c:pt idx="96">
                  <c:v>48896.47230288049</c:v>
                </c:pt>
                <c:pt idx="97">
                  <c:v>48896.47230288049</c:v>
                </c:pt>
                <c:pt idx="98">
                  <c:v>48896.47230288049</c:v>
                </c:pt>
                <c:pt idx="99">
                  <c:v>48896.47230288049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72720.69664118269</c:v>
                </c:pt>
                <c:pt idx="1">
                  <c:v>72380.43664118268</c:v>
                </c:pt>
                <c:pt idx="2">
                  <c:v>72040.17664118268</c:v>
                </c:pt>
                <c:pt idx="3">
                  <c:v>71699.91664118269</c:v>
                </c:pt>
                <c:pt idx="4">
                  <c:v>71359.65664118268</c:v>
                </c:pt>
                <c:pt idx="5">
                  <c:v>71019.39664118268</c:v>
                </c:pt>
                <c:pt idx="6">
                  <c:v>70679.13664118269</c:v>
                </c:pt>
                <c:pt idx="7">
                  <c:v>70338.87664118268</c:v>
                </c:pt>
                <c:pt idx="8">
                  <c:v>69998.61664118269</c:v>
                </c:pt>
                <c:pt idx="9">
                  <c:v>69658.35664118269</c:v>
                </c:pt>
                <c:pt idx="10">
                  <c:v>69318.09664118268</c:v>
                </c:pt>
                <c:pt idx="11">
                  <c:v>68977.83664118269</c:v>
                </c:pt>
                <c:pt idx="12">
                  <c:v>68637.57664118269</c:v>
                </c:pt>
                <c:pt idx="13">
                  <c:v>68297.31664118268</c:v>
                </c:pt>
                <c:pt idx="14">
                  <c:v>67957.05664118269</c:v>
                </c:pt>
                <c:pt idx="15">
                  <c:v>67616.79664118269</c:v>
                </c:pt>
                <c:pt idx="16">
                  <c:v>67276.53664118268</c:v>
                </c:pt>
                <c:pt idx="17">
                  <c:v>66936.27664118269</c:v>
                </c:pt>
                <c:pt idx="18">
                  <c:v>67055.46952620301</c:v>
                </c:pt>
                <c:pt idx="19">
                  <c:v>67634.11529624366</c:v>
                </c:pt>
                <c:pt idx="20">
                  <c:v>68212.7610662843</c:v>
                </c:pt>
                <c:pt idx="21">
                  <c:v>68791.40683632497</c:v>
                </c:pt>
                <c:pt idx="22">
                  <c:v>69370.05260636561</c:v>
                </c:pt>
                <c:pt idx="23">
                  <c:v>69948.69837640626</c:v>
                </c:pt>
                <c:pt idx="24">
                  <c:v>70527.34414644692</c:v>
                </c:pt>
                <c:pt idx="25">
                  <c:v>71105.98991648758</c:v>
                </c:pt>
                <c:pt idx="26">
                  <c:v>71684.63568652822</c:v>
                </c:pt>
                <c:pt idx="27">
                  <c:v>72263.28145656887</c:v>
                </c:pt>
                <c:pt idx="28">
                  <c:v>72841.92722660952</c:v>
                </c:pt>
                <c:pt idx="29">
                  <c:v>73420.57299665018</c:v>
                </c:pt>
                <c:pt idx="30">
                  <c:v>73999.21876669082</c:v>
                </c:pt>
                <c:pt idx="31">
                  <c:v>74577.86453673147</c:v>
                </c:pt>
                <c:pt idx="32">
                  <c:v>75156.51030677214</c:v>
                </c:pt>
                <c:pt idx="33">
                  <c:v>75735.1560768128</c:v>
                </c:pt>
                <c:pt idx="34">
                  <c:v>76313.80184685344</c:v>
                </c:pt>
                <c:pt idx="35">
                  <c:v>76892.44761689407</c:v>
                </c:pt>
                <c:pt idx="36">
                  <c:v>77471.09338693473</c:v>
                </c:pt>
                <c:pt idx="37">
                  <c:v>78049.7391569754</c:v>
                </c:pt>
                <c:pt idx="38">
                  <c:v>78628.38492701606</c:v>
                </c:pt>
                <c:pt idx="39">
                  <c:v>79207.0306970567</c:v>
                </c:pt>
                <c:pt idx="40">
                  <c:v>79785.67646709734</c:v>
                </c:pt>
                <c:pt idx="41">
                  <c:v>80364.32223713801</c:v>
                </c:pt>
                <c:pt idx="42">
                  <c:v>80942.96800717866</c:v>
                </c:pt>
                <c:pt idx="43">
                  <c:v>81521.61377721932</c:v>
                </c:pt>
                <c:pt idx="44">
                  <c:v>82100.25954725995</c:v>
                </c:pt>
                <c:pt idx="45">
                  <c:v>82678.90531730061</c:v>
                </c:pt>
                <c:pt idx="46">
                  <c:v>83257.55108734127</c:v>
                </c:pt>
                <c:pt idx="47">
                  <c:v>83836.19685738191</c:v>
                </c:pt>
                <c:pt idx="48">
                  <c:v>84414.84262742258</c:v>
                </c:pt>
                <c:pt idx="49">
                  <c:v>84993.48839746322</c:v>
                </c:pt>
                <c:pt idx="50">
                  <c:v>85572.13416750387</c:v>
                </c:pt>
                <c:pt idx="51">
                  <c:v>86150.77993754451</c:v>
                </c:pt>
                <c:pt idx="52">
                  <c:v>86729.42570758517</c:v>
                </c:pt>
                <c:pt idx="53">
                  <c:v>88572.24666243896</c:v>
                </c:pt>
                <c:pt idx="54">
                  <c:v>91679.24280210586</c:v>
                </c:pt>
                <c:pt idx="55">
                  <c:v>94786.23894177275</c:v>
                </c:pt>
                <c:pt idx="56">
                  <c:v>97893.23508143965</c:v>
                </c:pt>
                <c:pt idx="57">
                  <c:v>101000.2312211066</c:v>
                </c:pt>
                <c:pt idx="58">
                  <c:v>104107.2273607735</c:v>
                </c:pt>
                <c:pt idx="59">
                  <c:v>107214.2235004403</c:v>
                </c:pt>
                <c:pt idx="60">
                  <c:v>110321.2196401073</c:v>
                </c:pt>
                <c:pt idx="61">
                  <c:v>113428.2157797742</c:v>
                </c:pt>
                <c:pt idx="62">
                  <c:v>116535.2119194411</c:v>
                </c:pt>
                <c:pt idx="63">
                  <c:v>119642.208059108</c:v>
                </c:pt>
                <c:pt idx="64">
                  <c:v>122749.2041987749</c:v>
                </c:pt>
                <c:pt idx="65">
                  <c:v>125856.2003384418</c:v>
                </c:pt>
                <c:pt idx="66">
                  <c:v>128963.1964781087</c:v>
                </c:pt>
                <c:pt idx="67">
                  <c:v>132070.1926177756</c:v>
                </c:pt>
                <c:pt idx="68">
                  <c:v>135177.1887574425</c:v>
                </c:pt>
                <c:pt idx="69">
                  <c:v>138284.1848971093</c:v>
                </c:pt>
                <c:pt idx="70">
                  <c:v>141391.1810367762</c:v>
                </c:pt>
                <c:pt idx="71">
                  <c:v>144498.1771764432</c:v>
                </c:pt>
                <c:pt idx="72">
                  <c:v>147605.1733161101</c:v>
                </c:pt>
                <c:pt idx="73">
                  <c:v>150712.169455777</c:v>
                </c:pt>
                <c:pt idx="74">
                  <c:v>153819.1655954439</c:v>
                </c:pt>
                <c:pt idx="75">
                  <c:v>156926.1617351108</c:v>
                </c:pt>
                <c:pt idx="76">
                  <c:v>160033.1578747777</c:v>
                </c:pt>
                <c:pt idx="77">
                  <c:v>163140.1540144446</c:v>
                </c:pt>
                <c:pt idx="78">
                  <c:v>166247.1501541115</c:v>
                </c:pt>
                <c:pt idx="79">
                  <c:v>169354.1462937784</c:v>
                </c:pt>
                <c:pt idx="80">
                  <c:v>172461.1424334453</c:v>
                </c:pt>
                <c:pt idx="81">
                  <c:v>200043.2995151326</c:v>
                </c:pt>
                <c:pt idx="82">
                  <c:v>227625.4565968199</c:v>
                </c:pt>
                <c:pt idx="83">
                  <c:v>255207.6136785071</c:v>
                </c:pt>
                <c:pt idx="84">
                  <c:v>282789.7707601944</c:v>
                </c:pt>
                <c:pt idx="85">
                  <c:v>310371.9278418818</c:v>
                </c:pt>
                <c:pt idx="86">
                  <c:v>337954.084923569</c:v>
                </c:pt>
                <c:pt idx="87">
                  <c:v>365536.2420052564</c:v>
                </c:pt>
                <c:pt idx="88">
                  <c:v>393118.3990869436</c:v>
                </c:pt>
                <c:pt idx="89">
                  <c:v>420700.556168631</c:v>
                </c:pt>
                <c:pt idx="90">
                  <c:v>448282.7132503183</c:v>
                </c:pt>
                <c:pt idx="91">
                  <c:v>475864.8703320055</c:v>
                </c:pt>
                <c:pt idx="92">
                  <c:v>503447.027413693</c:v>
                </c:pt>
                <c:pt idx="93">
                  <c:v>531029.1844953801</c:v>
                </c:pt>
                <c:pt idx="94">
                  <c:v>558611.3415770675</c:v>
                </c:pt>
                <c:pt idx="95">
                  <c:v>586193.4986587547</c:v>
                </c:pt>
                <c:pt idx="96">
                  <c:v>595973.2996587548</c:v>
                </c:pt>
                <c:pt idx="97">
                  <c:v>605753.1006587547</c:v>
                </c:pt>
                <c:pt idx="98">
                  <c:v>615532.9016587547</c:v>
                </c:pt>
                <c:pt idx="99">
                  <c:v>625312.7026587549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934072"/>
        <c:axId val="-1998928120"/>
      </c:lineChart>
      <c:catAx>
        <c:axId val="-199893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89281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89281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893407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0.0312836861768369</c:v>
                </c:pt>
                <c:pt idx="1">
                  <c:v>0.0156418430884184</c:v>
                </c:pt>
                <c:pt idx="2" formatCode="0.0%">
                  <c:v>0.0162249457037882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0.0869671349626401</c:v>
                </c:pt>
                <c:pt idx="1">
                  <c:v>0.04348356748132</c:v>
                </c:pt>
                <c:pt idx="2" formatCode="0.0%">
                  <c:v>0.04348356748132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0.207010017123288</c:v>
                </c:pt>
                <c:pt idx="1">
                  <c:v>0.225640918664384</c:v>
                </c:pt>
                <c:pt idx="2" formatCode="0.0%">
                  <c:v>0.223237624791224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-0.000196139476961395</c:v>
                </c:pt>
                <c:pt idx="1">
                  <c:v>-0.000196139476961395</c:v>
                </c:pt>
                <c:pt idx="2" formatCode="0.0%">
                  <c:v>-0.000220512018685314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0.00195555728518057</c:v>
                </c:pt>
                <c:pt idx="1">
                  <c:v>0.00195555728518057</c:v>
                </c:pt>
                <c:pt idx="2" formatCode="0.0%">
                  <c:v>0.00202845729837265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0.000910647571606475</c:v>
                </c:pt>
                <c:pt idx="1">
                  <c:v>0.000910647571606475</c:v>
                </c:pt>
                <c:pt idx="2" formatCode="0.0%">
                  <c:v>0.00094459504043622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0.0414169520547945</c:v>
                </c:pt>
                <c:pt idx="1">
                  <c:v>0.0414169520547945</c:v>
                </c:pt>
                <c:pt idx="2" formatCode="0.0%">
                  <c:v>0.0416742782207636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-0.000107876712328767</c:v>
                </c:pt>
                <c:pt idx="1">
                  <c:v>-0.000107876712328767</c:v>
                </c:pt>
                <c:pt idx="2" formatCode="0.0%">
                  <c:v>-0.000148091406173233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0.108594722914072</c:v>
                </c:pt>
                <c:pt idx="1">
                  <c:v>0.108594722914072</c:v>
                </c:pt>
                <c:pt idx="2" formatCode="0.0%">
                  <c:v>0.107833516209159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0.00648731320049813</c:v>
                </c:pt>
                <c:pt idx="1">
                  <c:v>0.00648731320049813</c:v>
                </c:pt>
                <c:pt idx="2" formatCode="0.0%">
                  <c:v>0.00640670101874627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0.132075812577833</c:v>
                </c:pt>
                <c:pt idx="1">
                  <c:v>0.132075812577833</c:v>
                </c:pt>
                <c:pt idx="2" formatCode="0.0%">
                  <c:v>0.130669077518254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9.10647571606476E-5</c:v>
                </c:pt>
                <c:pt idx="1">
                  <c:v>9.10647571606476E-5</c:v>
                </c:pt>
                <c:pt idx="2" formatCode="0.0%">
                  <c:v>-1.0777649328585E-5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0.0469240348692403</c:v>
                </c:pt>
                <c:pt idx="1">
                  <c:v>0.0469240348692403</c:v>
                </c:pt>
                <c:pt idx="2" formatCode="0.0%">
                  <c:v>0.0463956149527213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0.000847266500622665</c:v>
                </c:pt>
                <c:pt idx="1">
                  <c:v>0.000847266500622665</c:v>
                </c:pt>
                <c:pt idx="2" formatCode="0.0%">
                  <c:v>0.000784097050624277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0.0343766037099012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0.00742009931506849</c:v>
                </c:pt>
                <c:pt idx="1">
                  <c:v>0.00742009931506849</c:v>
                </c:pt>
                <c:pt idx="2" formatCode="0.0%">
                  <c:v>0.00769670861823451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0.234062910616438</c:v>
                </c:pt>
                <c:pt idx="1">
                  <c:v>0.234062910616438</c:v>
                </c:pt>
                <c:pt idx="2" formatCode="0.0%">
                  <c:v>0.234414301748329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0.610559792652553</c:v>
                </c:pt>
                <c:pt idx="1">
                  <c:v>0.35800615594754</c:v>
                </c:pt>
                <c:pt idx="2" formatCode="0.0%">
                  <c:v>0.07587595837898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4835592"/>
        <c:axId val="-2004431416"/>
      </c:barChart>
      <c:catAx>
        <c:axId val="-200483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4431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4431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4835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0.0204386749688667</c:v>
                </c:pt>
                <c:pt idx="1">
                  <c:v>0.0102193374844334</c:v>
                </c:pt>
                <c:pt idx="2" formatCode="0.0%">
                  <c:v>0.0102193374844334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0.0162121419676214</c:v>
                </c:pt>
                <c:pt idx="1">
                  <c:v>0.00810607098381071</c:v>
                </c:pt>
                <c:pt idx="2" formatCode="0.0%">
                  <c:v>0.00810607098381071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0.0449507465753425</c:v>
                </c:pt>
                <c:pt idx="1">
                  <c:v>0.0489963137671233</c:v>
                </c:pt>
                <c:pt idx="2" formatCode="0.0%">
                  <c:v>0.0489963137671233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0.000104607721046077</c:v>
                </c:pt>
                <c:pt idx="1">
                  <c:v>0.000104607721046077</c:v>
                </c:pt>
                <c:pt idx="2" formatCode="0.0%">
                  <c:v>0.000235367372353674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-0.00125155666251557</c:v>
                </c:pt>
                <c:pt idx="1">
                  <c:v>-0.00125155666251557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0.0110445205479452</c:v>
                </c:pt>
                <c:pt idx="1">
                  <c:v>0.0110445205479452</c:v>
                </c:pt>
                <c:pt idx="2" formatCode="0.0%">
                  <c:v>0.0110445205479452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4.31506849315068E-5</c:v>
                </c:pt>
                <c:pt idx="1">
                  <c:v>4.31506849315068E-5</c:v>
                </c:pt>
                <c:pt idx="2" formatCode="0.0%">
                  <c:v>4.31506849315068E-5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0.0148505603985056</c:v>
                </c:pt>
                <c:pt idx="1">
                  <c:v>0.0148505603985056</c:v>
                </c:pt>
                <c:pt idx="2" formatCode="0.0%">
                  <c:v>0.0148505603985056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0.00189470734744707</c:v>
                </c:pt>
                <c:pt idx="1">
                  <c:v>0.00189470734744707</c:v>
                </c:pt>
                <c:pt idx="2" formatCode="0.0%">
                  <c:v>0.00191444849359485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-0.000764943960149439</c:v>
                </c:pt>
                <c:pt idx="1">
                  <c:v>-0.000764943960149439</c:v>
                </c:pt>
                <c:pt idx="2" formatCode="0.0%">
                  <c:v>-0.000756214881920829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0.000684308841843088</c:v>
                </c:pt>
                <c:pt idx="1">
                  <c:v>0.000684308841843088</c:v>
                </c:pt>
                <c:pt idx="2" formatCode="0.0%">
                  <c:v>0.000745218409927173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0.000677813200498132</c:v>
                </c:pt>
                <c:pt idx="1">
                  <c:v>0.000677813200498132</c:v>
                </c:pt>
                <c:pt idx="2" formatCode="0.0%">
                  <c:v>0.000677813200498132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0.118291438356164</c:v>
                </c:pt>
                <c:pt idx="1">
                  <c:v>0.118291438356164</c:v>
                </c:pt>
                <c:pt idx="2" formatCode="0.0%">
                  <c:v>0.118291438356164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0.0517275750933997</c:v>
                </c:pt>
                <c:pt idx="1">
                  <c:v>0.0517275750933997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0.000560499377334994</c:v>
                </c:pt>
                <c:pt idx="1">
                  <c:v>0.000560499377334994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0.192135015392279</c:v>
                </c:pt>
                <c:pt idx="1">
                  <c:v>0.192135015392279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0.659413179078456</c:v>
                </c:pt>
                <c:pt idx="1">
                  <c:v>0.415997112136579</c:v>
                </c:pt>
                <c:pt idx="2" formatCode="0.0%">
                  <c:v>0.401709486954922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9722280"/>
        <c:axId val="-2000089592"/>
      </c:barChart>
      <c:catAx>
        <c:axId val="-199972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0008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0089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9722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0.0136146602241594</c:v>
                </c:pt>
                <c:pt idx="1">
                  <c:v>0.0136146602241594</c:v>
                </c:pt>
                <c:pt idx="2">
                  <c:v>0.0264284580821918</c:v>
                </c:pt>
                <c:pt idx="3">
                  <c:v>0.0264284580821918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0.0648485678704857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0.268190349041096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0.00198754669987547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0.0353424657534247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0.00889688667496886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-1.529697098978333</c:v>
                </c:pt>
                <c:pt idx="1">
                  <c:v>-1.443865888628161</c:v>
                </c:pt>
                <c:pt idx="2">
                  <c:v>-1.481924058784567</c:v>
                </c:pt>
                <c:pt idx="3">
                  <c:v>6.031118981331514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8223112"/>
        <c:axId val="-1998219736"/>
      </c:barChart>
      <c:catAx>
        <c:axId val="-19982231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219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8219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8223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0.00694914948941469</c:v>
                </c:pt>
                <c:pt idx="1">
                  <c:v>0.00694914948941469</c:v>
                </c:pt>
                <c:pt idx="2">
                  <c:v>0.0134895254794521</c:v>
                </c:pt>
                <c:pt idx="3">
                  <c:v>0.013489525479452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0.0324242839352428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0.195985255068493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0.000941469489414695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0.0441780821917808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0.000172602739726027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0.0148505603985056</c:v>
                </c:pt>
                <c:pt idx="1">
                  <c:v>0.0148505603985056</c:v>
                </c:pt>
                <c:pt idx="2">
                  <c:v>0.0148505603985056</c:v>
                </c:pt>
                <c:pt idx="3">
                  <c:v>0.0148505603985056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0.26817299513468</c:v>
                </c:pt>
                <c:pt idx="1">
                  <c:v>0.622438532477976</c:v>
                </c:pt>
                <c:pt idx="2">
                  <c:v>0.616070759227664</c:v>
                </c:pt>
                <c:pt idx="3">
                  <c:v>0.583646475292422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1717128"/>
        <c:axId val="-2001713816"/>
      </c:barChart>
      <c:catAx>
        <c:axId val="-20017171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7138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1713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71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0.0148340325567615</c:v>
                </c:pt>
                <c:pt idx="1">
                  <c:v>0.0148340325567615</c:v>
                </c:pt>
                <c:pt idx="2">
                  <c:v>0.0287954749631253</c:v>
                </c:pt>
                <c:pt idx="3">
                  <c:v>0.0287954749631253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0.0837491282689913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0.385270739334603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0.000559701891663027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-0.000255837747473503</c:v>
                </c:pt>
                <c:pt idx="1">
                  <c:v>2.30724163345821E-5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0.000680838593581343</c:v>
                </c:pt>
                <c:pt idx="3">
                  <c:v>0.000335338411763945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0.0418143411671682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0.043861201948295</c:v>
                </c:pt>
                <c:pt idx="1">
                  <c:v>0.043861201948295</c:v>
                </c:pt>
                <c:pt idx="2">
                  <c:v>0.043861201948295</c:v>
                </c:pt>
                <c:pt idx="3">
                  <c:v>0.043861201948295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0.0155649435799761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0.217867179161893</c:v>
                </c:pt>
                <c:pt idx="1">
                  <c:v>0.217867179161893</c:v>
                </c:pt>
                <c:pt idx="2">
                  <c:v>0.217867179161893</c:v>
                </c:pt>
                <c:pt idx="3">
                  <c:v>0.217867179161893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0.0494786503188784</c:v>
                </c:pt>
                <c:pt idx="1">
                  <c:v>0.590177855881838</c:v>
                </c:pt>
                <c:pt idx="2">
                  <c:v>0.575558647298227</c:v>
                </c:pt>
                <c:pt idx="3">
                  <c:v>0.476590075631077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00627944"/>
        <c:axId val="-2000624632"/>
      </c:barChart>
      <c:catAx>
        <c:axId val="-20006279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6246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00624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0627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0.011032963078576</c:v>
                </c:pt>
                <c:pt idx="1">
                  <c:v>0.011032963078576</c:v>
                </c:pt>
                <c:pt idx="2">
                  <c:v>0.0214169283290004</c:v>
                </c:pt>
                <c:pt idx="3">
                  <c:v>0.0214169283290004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0.17393426992528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0.0326437910849335</c:v>
                </c:pt>
                <c:pt idx="1">
                  <c:v>0.0582237661175913</c:v>
                </c:pt>
                <c:pt idx="2">
                  <c:v>0.0224657761308086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0.257199613622875</c:v>
                </c:pt>
                <c:pt idx="1">
                  <c:v>0.458743597217323</c:v>
                </c:pt>
                <c:pt idx="2">
                  <c:v>0.177007288324697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-0.000882048074741254</c:v>
                </c:pt>
                <c:pt idx="1">
                  <c:v>-0.000453142595366528</c:v>
                </c:pt>
                <c:pt idx="2">
                  <c:v>0.000453142595366528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0.00233705422139242</c:v>
                </c:pt>
                <c:pt idx="1">
                  <c:v>0.00416839141129307</c:v>
                </c:pt>
                <c:pt idx="2">
                  <c:v>0.00160838356080511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0.00253151470836907</c:v>
                </c:pt>
                <c:pt idx="3">
                  <c:v>0.00124686545337581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0.166697112883054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-0.000592365624692933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0.107833516209159</c:v>
                </c:pt>
                <c:pt idx="1">
                  <c:v>0.107833516209159</c:v>
                </c:pt>
                <c:pt idx="2">
                  <c:v>0.107833516209159</c:v>
                </c:pt>
                <c:pt idx="3">
                  <c:v>0.107833516209159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0.0256268040749851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0.153719102792474</c:v>
                </c:pt>
                <c:pt idx="1">
                  <c:v>0.092252368727887</c:v>
                </c:pt>
                <c:pt idx="2">
                  <c:v>0.12298573576018</c:v>
                </c:pt>
                <c:pt idx="3">
                  <c:v>0.153719102792474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0.015393417236469</c:v>
                </c:pt>
                <c:pt idx="3">
                  <c:v>0.015393417236469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0.234414301748329</c:v>
                </c:pt>
                <c:pt idx="1">
                  <c:v>0.234414301748329</c:v>
                </c:pt>
                <c:pt idx="2">
                  <c:v>0.234414301748329</c:v>
                </c:pt>
                <c:pt idx="3">
                  <c:v>0.234414301748329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0.00062798872404668</c:v>
                </c:pt>
                <c:pt idx="1">
                  <c:v>-2.22044604925031E-16</c:v>
                </c:pt>
                <c:pt idx="2">
                  <c:v>0.259513391686915</c:v>
                </c:pt>
                <c:pt idx="3">
                  <c:v>0.232038190521026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7249256"/>
        <c:axId val="-1997344248"/>
      </c:barChart>
      <c:catAx>
        <c:axId val="-19972492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73442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1997344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7249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 (hides): quantity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0.0701508242721852</c:v>
                </c:pt>
                <c:pt idx="1">
                  <c:v>0.0662223781129428</c:v>
                </c:pt>
                <c:pt idx="2">
                  <c:v>0.0662223781129428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0.0132384626947938</c:v>
                </c:pt>
                <c:pt idx="1">
                  <c:v>0.0124971087838854</c:v>
                </c:pt>
                <c:pt idx="2">
                  <c:v>-0.0124971087838853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0.00331111890564714</c:v>
                </c:pt>
                <c:pt idx="2">
                  <c:v>0.00331111890564714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Tomato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0.00962068447161397</c:v>
                </c:pt>
                <c:pt idx="1">
                  <c:v>0.0134689582602596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Onions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0.0200430926491958</c:v>
                </c:pt>
                <c:pt idx="1">
                  <c:v>0.0280603297088741</c:v>
                </c:pt>
                <c:pt idx="2">
                  <c:v>0.00420904945633111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Beetroot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0.00100215463245979</c:v>
                </c:pt>
                <c:pt idx="1">
                  <c:v>0.0014030164854437</c:v>
                </c:pt>
                <c:pt idx="2">
                  <c:v>0.00280603297088741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Chillies: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Cabbage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0.00505085934759733</c:v>
                </c:pt>
                <c:pt idx="1">
                  <c:v>0.00707120308663627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Spinach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0.00460991130931503</c:v>
                </c:pt>
                <c:pt idx="1">
                  <c:v>0.00645387583304104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Other crop: Potatoes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0.00280603297088741</c:v>
                </c:pt>
                <c:pt idx="1">
                  <c:v>0.00392844615924237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0.230896427318735</c:v>
                </c:pt>
                <c:pt idx="1">
                  <c:v>0.256295034323796</c:v>
                </c:pt>
                <c:pt idx="2">
                  <c:v>0.256295034323796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0.0721551335371048</c:v>
                </c:pt>
                <c:pt idx="1">
                  <c:v>0.0800921982261863</c:v>
                </c:pt>
                <c:pt idx="2">
                  <c:v>0.0800921982261863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0.567620383825224</c:v>
                </c:pt>
                <c:pt idx="1">
                  <c:v>0.669792052913765</c:v>
                </c:pt>
                <c:pt idx="2">
                  <c:v>0.669792052913765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9412312"/>
        <c:axId val="-2001229368"/>
      </c:barChart>
      <c:catAx>
        <c:axId val="-199941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1229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1229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412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f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nf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ZANFL</v>
          </cell>
          <cell r="D1">
            <v>59207</v>
          </cell>
        </row>
        <row r="2">
          <cell r="A2" t="str">
            <v>Northern inland open access farming and livestock</v>
          </cell>
        </row>
        <row r="9">
          <cell r="CK9">
            <v>0.35</v>
          </cell>
        </row>
        <row r="10">
          <cell r="CK10">
            <v>0.35</v>
          </cell>
        </row>
        <row r="11">
          <cell r="CK11">
            <v>0.2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17826.682776473463</v>
          </cell>
          <cell r="E1031">
            <v>17826.682776473466</v>
          </cell>
          <cell r="H1031">
            <v>17826.682776473466</v>
          </cell>
          <cell r="J1031">
            <v>14261.346221178774</v>
          </cell>
        </row>
        <row r="1032">
          <cell r="C1032">
            <v>19473.333333333336</v>
          </cell>
          <cell r="E1032">
            <v>19473.333333333336</v>
          </cell>
          <cell r="H1032">
            <v>19473.333333333336</v>
          </cell>
          <cell r="J1032">
            <v>15578.666666666668</v>
          </cell>
        </row>
        <row r="1033">
          <cell r="C1033">
            <v>34680</v>
          </cell>
          <cell r="E1033">
            <v>34680</v>
          </cell>
          <cell r="H1033">
            <v>34680</v>
          </cell>
          <cell r="J1033">
            <v>27744</v>
          </cell>
        </row>
        <row r="1034">
          <cell r="C1034">
            <v>1600</v>
          </cell>
          <cell r="E1034">
            <v>2550</v>
          </cell>
          <cell r="H1034">
            <v>30000</v>
          </cell>
          <cell r="J1034">
            <v>43500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0.6488734887907448</v>
          </cell>
          <cell r="E1038">
            <v>0.6488734887907448</v>
          </cell>
          <cell r="H1038">
            <v>0.6488734887907448</v>
          </cell>
          <cell r="J1038">
            <v>0.6488734887907448</v>
          </cell>
        </row>
        <row r="1039">
          <cell r="C1039">
            <v>10</v>
          </cell>
          <cell r="E1039">
            <v>10</v>
          </cell>
          <cell r="H1039">
            <v>10</v>
          </cell>
          <cell r="J1039">
            <v>8</v>
          </cell>
        </row>
        <row r="1040">
          <cell r="C1040">
            <v>7.9007092198581557</v>
          </cell>
          <cell r="E1040">
            <v>7.9007092198581557</v>
          </cell>
          <cell r="H1040">
            <v>7.9007092198581557</v>
          </cell>
          <cell r="J1040">
            <v>7.9007092198581557</v>
          </cell>
        </row>
        <row r="1044">
          <cell r="A1044" t="str">
            <v>Cows' milk - season 1</v>
          </cell>
          <cell r="C1044">
            <v>2.0438674968866748E-2</v>
          </cell>
          <cell r="D1044">
            <v>0</v>
          </cell>
          <cell r="E1044">
            <v>4.0043118306351183E-2</v>
          </cell>
          <cell r="F1044">
            <v>0</v>
          </cell>
          <cell r="H1044">
            <v>5.2556592777085923E-2</v>
          </cell>
          <cell r="I1044">
            <v>-1.6684632627646322E-2</v>
          </cell>
          <cell r="J1044">
            <v>3.1283686176836863E-2</v>
          </cell>
          <cell r="K1044">
            <v>-3.1283686176836863E-2</v>
          </cell>
        </row>
        <row r="1045">
          <cell r="A1045" t="str">
            <v>Own meat</v>
          </cell>
          <cell r="C1045">
            <v>1.621214196762142E-2</v>
          </cell>
          <cell r="D1045">
            <v>0</v>
          </cell>
          <cell r="E1045">
            <v>3.242428393524284E-2</v>
          </cell>
          <cell r="F1045">
            <v>0</v>
          </cell>
          <cell r="H1045">
            <v>4.187456413449564E-2</v>
          </cell>
          <cell r="I1045">
            <v>0</v>
          </cell>
          <cell r="J1045">
            <v>8.6967134962640108E-2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2.8333333333333335E-2</v>
          </cell>
          <cell r="D1046">
            <v>0</v>
          </cell>
          <cell r="E1046">
            <v>2.8333333333333335E-2</v>
          </cell>
          <cell r="F1046">
            <v>0</v>
          </cell>
          <cell r="H1046">
            <v>2.8333333333333335E-2</v>
          </cell>
          <cell r="I1046">
            <v>0</v>
          </cell>
          <cell r="J1046">
            <v>2.8333333333333335E-2</v>
          </cell>
          <cell r="K1046">
            <v>0</v>
          </cell>
        </row>
        <row r="1047">
          <cell r="A1047" t="str">
            <v>Maize: kg produced</v>
          </cell>
          <cell r="C1047">
            <v>4.4950746575342468E-2</v>
          </cell>
          <cell r="D1047">
            <v>0</v>
          </cell>
          <cell r="E1047">
            <v>6.1511547945205483E-2</v>
          </cell>
          <cell r="F1047">
            <v>0</v>
          </cell>
          <cell r="H1047">
            <v>7.5706520547945202E-2</v>
          </cell>
          <cell r="I1047">
            <v>2.3658287671232875E-2</v>
          </cell>
          <cell r="J1047">
            <v>0.20701001712328765</v>
          </cell>
          <cell r="K1047">
            <v>5.9145719178082201E-2</v>
          </cell>
        </row>
        <row r="1048">
          <cell r="A1048" t="str">
            <v>Tomato</v>
          </cell>
          <cell r="C1048">
            <v>1.0460772104607721E-4</v>
          </cell>
          <cell r="D1048">
            <v>1.3075965130759649E-4</v>
          </cell>
          <cell r="E1048">
            <v>7.8455790784557919E-5</v>
          </cell>
          <cell r="F1048">
            <v>4.184308841843089E-4</v>
          </cell>
          <cell r="H1048">
            <v>0</v>
          </cell>
          <cell r="I1048">
            <v>2.6151930261519304E-4</v>
          </cell>
          <cell r="J1048">
            <v>-1.9613947696139476E-4</v>
          </cell>
          <cell r="K1048">
            <v>6.5379825653798262E-4</v>
          </cell>
        </row>
        <row r="1049">
          <cell r="A1049" t="str">
            <v>Onions</v>
          </cell>
          <cell r="C1049">
            <v>-1.2515566625155665E-3</v>
          </cell>
          <cell r="D1049">
            <v>1.2515566625155665E-3</v>
          </cell>
          <cell r="E1049">
            <v>-1.0638231631382316E-3</v>
          </cell>
          <cell r="F1049">
            <v>1.0638231631382316E-3</v>
          </cell>
          <cell r="H1049">
            <v>-1.2515566625155664E-4</v>
          </cell>
          <cell r="I1049">
            <v>1.2515566625155664E-4</v>
          </cell>
          <cell r="J1049">
            <v>1.9555572851805729E-3</v>
          </cell>
          <cell r="K1049">
            <v>-1.9555572851805729E-3</v>
          </cell>
        </row>
        <row r="1050">
          <cell r="A1050" t="str">
            <v>Beetroot</v>
          </cell>
          <cell r="C1050">
            <v>0</v>
          </cell>
          <cell r="D1050">
            <v>0</v>
          </cell>
          <cell r="E1050">
            <v>1.8212951432129514E-4</v>
          </cell>
          <cell r="F1050">
            <v>-1.8212951432129514E-4</v>
          </cell>
          <cell r="H1050">
            <v>5.4638854296388541E-4</v>
          </cell>
          <cell r="I1050">
            <v>-5.4638854296388541E-4</v>
          </cell>
          <cell r="J1050">
            <v>9.1064757160647569E-4</v>
          </cell>
          <cell r="K1050">
            <v>-9.1064757160647569E-4</v>
          </cell>
        </row>
        <row r="1051">
          <cell r="A1051" t="str">
            <v>Beans: kg produced</v>
          </cell>
          <cell r="C1051">
            <v>1.1044520547945205E-2</v>
          </cell>
          <cell r="D1051">
            <v>0</v>
          </cell>
          <cell r="E1051">
            <v>8.8356164383561649E-3</v>
          </cell>
          <cell r="F1051">
            <v>0</v>
          </cell>
          <cell r="H1051">
            <v>1.1044520547945205E-2</v>
          </cell>
          <cell r="I1051">
            <v>-1.1044520547945202E-3</v>
          </cell>
          <cell r="J1051">
            <v>4.1416952054794523E-2</v>
          </cell>
          <cell r="K1051">
            <v>-6.9028253424657585E-3</v>
          </cell>
        </row>
        <row r="1052">
          <cell r="A1052" t="str">
            <v>Chillies: kg produced</v>
          </cell>
          <cell r="C1052">
            <v>4.3150684931506848E-5</v>
          </cell>
          <cell r="D1052">
            <v>0</v>
          </cell>
          <cell r="E1052">
            <v>0</v>
          </cell>
          <cell r="F1052">
            <v>0</v>
          </cell>
          <cell r="H1052">
            <v>0</v>
          </cell>
          <cell r="I1052">
            <v>0</v>
          </cell>
          <cell r="J1052">
            <v>-1.0787671232876713E-4</v>
          </cell>
          <cell r="K1052">
            <v>1.0787671232876713E-3</v>
          </cell>
        </row>
        <row r="1053">
          <cell r="A1053" t="str">
            <v>Sweet potatoes</v>
          </cell>
          <cell r="C1053">
            <v>1.4850560398505606E-2</v>
          </cell>
          <cell r="D1053">
            <v>0</v>
          </cell>
          <cell r="E1053">
            <v>0</v>
          </cell>
          <cell r="F1053">
            <v>0</v>
          </cell>
          <cell r="H1053">
            <v>4.3066625155666248E-2</v>
          </cell>
          <cell r="I1053">
            <v>1.4850560398505658E-3</v>
          </cell>
          <cell r="J1053">
            <v>0.10859472291407223</v>
          </cell>
          <cell r="K1053">
            <v>2.0419520547945227E-2</v>
          </cell>
        </row>
        <row r="1054">
          <cell r="A1054" t="str">
            <v>Cabbage</v>
          </cell>
          <cell r="C1054">
            <v>1.8947073474470737E-3</v>
          </cell>
          <cell r="D1054">
            <v>4.1189290161892868E-4</v>
          </cell>
          <cell r="E1054">
            <v>4.9427148194271481E-4</v>
          </cell>
          <cell r="F1054">
            <v>1.7299501867995015E-3</v>
          </cell>
          <cell r="H1054">
            <v>2.9656288916562888E-3</v>
          </cell>
          <cell r="I1054">
            <v>1.7299501867995017E-3</v>
          </cell>
          <cell r="J1054">
            <v>6.4873132004981317E-3</v>
          </cell>
          <cell r="K1054">
            <v>2.162437733499379E-3</v>
          </cell>
        </row>
        <row r="1055">
          <cell r="A1055" t="str">
            <v>Groundnuts (dry): no. local meas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H1055">
            <v>0</v>
          </cell>
          <cell r="I1055">
            <v>0</v>
          </cell>
          <cell r="J1055">
            <v>0.13207581257783313</v>
          </cell>
          <cell r="K1055">
            <v>3.7735946450809438E-2</v>
          </cell>
        </row>
        <row r="1056">
          <cell r="A1056" t="str">
            <v>Spinach</v>
          </cell>
          <cell r="C1056">
            <v>-7.6494396014943958E-4</v>
          </cell>
          <cell r="D1056">
            <v>1.8212951432129514E-4</v>
          </cell>
          <cell r="E1056">
            <v>-1.8212951432129514E-4</v>
          </cell>
          <cell r="F1056">
            <v>8.3779576587795764E-4</v>
          </cell>
          <cell r="H1056">
            <v>1.8212951432129514E-4</v>
          </cell>
          <cell r="I1056">
            <v>5.4638854296388541E-4</v>
          </cell>
          <cell r="J1056">
            <v>9.1064757160647569E-5</v>
          </cell>
          <cell r="K1056">
            <v>2.7319427148194274E-3</v>
          </cell>
        </row>
        <row r="1057">
          <cell r="A1057" t="str">
            <v>Other crop: Potatoes</v>
          </cell>
          <cell r="C1057">
            <v>6.8430884184308841E-4</v>
          </cell>
          <cell r="D1057">
            <v>1.2708592777085927E-3</v>
          </cell>
          <cell r="E1057">
            <v>1.1731008717310086E-2</v>
          </cell>
          <cell r="F1057">
            <v>1.955168119551683E-3</v>
          </cell>
          <cell r="H1057">
            <v>4.0569738480697386E-2</v>
          </cell>
          <cell r="I1057">
            <v>8.3094645080946453E-3</v>
          </cell>
          <cell r="J1057">
            <v>4.6924034869240343E-2</v>
          </cell>
          <cell r="K1057">
            <v>1.4174968866749696E-2</v>
          </cell>
        </row>
        <row r="1058">
          <cell r="A1058" t="str">
            <v>Other crop: pumpkin / butternut</v>
          </cell>
          <cell r="C1058">
            <v>6.7781320049813197E-4</v>
          </cell>
          <cell r="D1058">
            <v>0</v>
          </cell>
          <cell r="E1058">
            <v>1.0167198007471981E-3</v>
          </cell>
          <cell r="F1058">
            <v>0</v>
          </cell>
          <cell r="H1058">
            <v>1.0167198007471981E-3</v>
          </cell>
          <cell r="I1058">
            <v>1.0167198007471981E-3</v>
          </cell>
          <cell r="J1058">
            <v>8.4726650062266502E-4</v>
          </cell>
          <cell r="K1058">
            <v>1.69453300124533E-3</v>
          </cell>
        </row>
        <row r="1059">
          <cell r="A1059" t="str">
            <v>Labour: Weeding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H1059">
            <v>7.5706520547945202E-2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Harvesting</v>
          </cell>
          <cell r="C1060">
            <v>0.11829143835616437</v>
          </cell>
          <cell r="D1060">
            <v>0</v>
          </cell>
          <cell r="E1060">
            <v>9.46331506849315E-2</v>
          </cell>
          <cell r="F1060">
            <v>0</v>
          </cell>
          <cell r="H1060">
            <v>7.0974863013698625E-2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0.13095238095238096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5.1727575093399751E-2</v>
          </cell>
          <cell r="D1065">
            <v>-5.1727575093399751E-2</v>
          </cell>
          <cell r="E1065">
            <v>5.1727575093399751E-2</v>
          </cell>
          <cell r="F1065">
            <v>-5.1727575093399751E-2</v>
          </cell>
          <cell r="H1065">
            <v>3.0517235865504359E-2</v>
          </cell>
          <cell r="I1065">
            <v>-3.0517235865504359E-2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5.6049937733499376E-4</v>
          </cell>
          <cell r="D1066">
            <v>-5.6049937733499376E-4</v>
          </cell>
          <cell r="E1066">
            <v>5.6049937733499376E-4</v>
          </cell>
          <cell r="F1066">
            <v>-5.6049937733499376E-4</v>
          </cell>
          <cell r="H1066">
            <v>0</v>
          </cell>
          <cell r="I1066">
            <v>0</v>
          </cell>
          <cell r="J1066">
            <v>7.4200993150684933E-3</v>
          </cell>
          <cell r="K1066">
            <v>-7.4200993150684933E-3</v>
          </cell>
        </row>
        <row r="1067">
          <cell r="A1067" t="str">
            <v>Purchase - fpl non staple</v>
          </cell>
          <cell r="C1067">
            <v>0.1921350153922789</v>
          </cell>
          <cell r="D1067">
            <v>3.2501758549718117E-2</v>
          </cell>
          <cell r="E1067">
            <v>0.20849846884184306</v>
          </cell>
          <cell r="F1067">
            <v>1.6138305100153974E-2</v>
          </cell>
          <cell r="H1067">
            <v>0.2100769915068493</v>
          </cell>
          <cell r="I1067">
            <v>1.4559782435147765E-2</v>
          </cell>
          <cell r="J1067">
            <v>0.23406291061643833</v>
          </cell>
          <cell r="K1067">
            <v>-9.4261366744412683E-3</v>
          </cell>
        </row>
        <row r="1068">
          <cell r="A1068" t="str">
            <v>Purchase - staple</v>
          </cell>
          <cell r="C1068">
            <v>0.65941317907845587</v>
          </cell>
          <cell r="E1068">
            <v>0.71440989937733512</v>
          </cell>
          <cell r="H1068">
            <v>0.6807752441843089</v>
          </cell>
          <cell r="J1068">
            <v>0.610559792652553</v>
          </cell>
        </row>
        <row r="1072">
          <cell r="A1072" t="str">
            <v>Cows' milk sales - season 1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4000</v>
          </cell>
          <cell r="I1072">
            <v>2000</v>
          </cell>
          <cell r="J1072">
            <v>10000</v>
          </cell>
          <cell r="K1072">
            <v>3000</v>
          </cell>
        </row>
        <row r="1073">
          <cell r="A1073" t="str">
            <v>Other (hides): quantity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1500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3500</v>
          </cell>
          <cell r="F1074">
            <v>0</v>
          </cell>
          <cell r="H1074">
            <v>7000</v>
          </cell>
          <cell r="I1074">
            <v>0</v>
          </cell>
          <cell r="J1074">
            <v>14000</v>
          </cell>
          <cell r="K1074">
            <v>3500</v>
          </cell>
        </row>
        <row r="1075">
          <cell r="A1075" t="str">
            <v>Goat sales - local: no. sold</v>
          </cell>
          <cell r="C1075">
            <v>660</v>
          </cell>
          <cell r="D1075">
            <v>0</v>
          </cell>
          <cell r="E1075">
            <v>660.5</v>
          </cell>
          <cell r="F1075">
            <v>-1321</v>
          </cell>
          <cell r="H1075">
            <v>6720</v>
          </cell>
          <cell r="I1075">
            <v>-4480</v>
          </cell>
          <cell r="J1075">
            <v>2945</v>
          </cell>
          <cell r="K1075">
            <v>1178</v>
          </cell>
        </row>
        <row r="1076">
          <cell r="A1076" t="str">
            <v>Sheep sales - local: no. sold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600</v>
          </cell>
          <cell r="I1076">
            <v>0</v>
          </cell>
          <cell r="J1076">
            <v>650</v>
          </cell>
          <cell r="K1076">
            <v>0</v>
          </cell>
        </row>
        <row r="1077">
          <cell r="A1077" t="str">
            <v>Chicken sales: no. sold</v>
          </cell>
          <cell r="C1077">
            <v>140</v>
          </cell>
          <cell r="D1077">
            <v>0</v>
          </cell>
          <cell r="E1077">
            <v>140</v>
          </cell>
          <cell r="F1077">
            <v>0</v>
          </cell>
          <cell r="H1077">
            <v>420</v>
          </cell>
          <cell r="I1077">
            <v>0</v>
          </cell>
          <cell r="J1077">
            <v>1050</v>
          </cell>
          <cell r="K1077">
            <v>0</v>
          </cell>
        </row>
        <row r="1078">
          <cell r="A1078" t="str">
            <v>Maize: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7500</v>
          </cell>
          <cell r="I1078">
            <v>-7500</v>
          </cell>
          <cell r="J1078">
            <v>15000</v>
          </cell>
          <cell r="K1078">
            <v>-15000</v>
          </cell>
        </row>
        <row r="1079">
          <cell r="A1079" t="str">
            <v>Tomato</v>
          </cell>
          <cell r="C1079">
            <v>150</v>
          </cell>
          <cell r="D1079">
            <v>-150</v>
          </cell>
          <cell r="E1079">
            <v>480</v>
          </cell>
          <cell r="F1079">
            <v>-480</v>
          </cell>
          <cell r="H1079">
            <v>300</v>
          </cell>
          <cell r="I1079">
            <v>-300</v>
          </cell>
          <cell r="J1079">
            <v>600</v>
          </cell>
          <cell r="K1079">
            <v>-600</v>
          </cell>
        </row>
        <row r="1080">
          <cell r="A1080" t="str">
            <v>Onions</v>
          </cell>
          <cell r="C1080">
            <v>460</v>
          </cell>
          <cell r="D1080">
            <v>-460</v>
          </cell>
          <cell r="E1080">
            <v>1000</v>
          </cell>
          <cell r="F1080">
            <v>-850</v>
          </cell>
          <cell r="H1080">
            <v>780</v>
          </cell>
          <cell r="I1080">
            <v>-78</v>
          </cell>
          <cell r="J1080">
            <v>580</v>
          </cell>
          <cell r="K1080">
            <v>725</v>
          </cell>
        </row>
        <row r="1081">
          <cell r="A1081" t="str">
            <v>Beetroot</v>
          </cell>
          <cell r="C1081">
            <v>0</v>
          </cell>
          <cell r="D1081">
            <v>0</v>
          </cell>
          <cell r="E1081">
            <v>50</v>
          </cell>
          <cell r="F1081">
            <v>50</v>
          </cell>
          <cell r="H1081">
            <v>300</v>
          </cell>
          <cell r="I1081">
            <v>150</v>
          </cell>
          <cell r="J1081">
            <v>600</v>
          </cell>
          <cell r="K1081">
            <v>200</v>
          </cell>
        </row>
        <row r="1082">
          <cell r="A1082" t="str">
            <v>Beans: kg produced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360</v>
          </cell>
          <cell r="I1082">
            <v>45</v>
          </cell>
          <cell r="J1082">
            <v>900</v>
          </cell>
          <cell r="K1082">
            <v>225</v>
          </cell>
        </row>
        <row r="1083">
          <cell r="A1083" t="str">
            <v>Chillies: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200</v>
          </cell>
          <cell r="K1083">
            <v>-200</v>
          </cell>
        </row>
        <row r="1084">
          <cell r="A1084" t="str">
            <v>Sweet potatoes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45</v>
          </cell>
          <cell r="I1084">
            <v>-45</v>
          </cell>
          <cell r="J1084">
            <v>495</v>
          </cell>
          <cell r="K1084">
            <v>-495</v>
          </cell>
        </row>
        <row r="1085">
          <cell r="A1085" t="str">
            <v>Cabbage</v>
          </cell>
          <cell r="C1085">
            <v>60</v>
          </cell>
          <cell r="D1085">
            <v>-60</v>
          </cell>
          <cell r="E1085">
            <v>252</v>
          </cell>
          <cell r="F1085">
            <v>-252</v>
          </cell>
          <cell r="H1085">
            <v>210</v>
          </cell>
          <cell r="I1085">
            <v>-210</v>
          </cell>
          <cell r="J1085">
            <v>252</v>
          </cell>
          <cell r="K1085">
            <v>-252</v>
          </cell>
        </row>
        <row r="1086">
          <cell r="A1086" t="str">
            <v>Groundnuts (dry): no. local meas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300</v>
          </cell>
          <cell r="K1086">
            <v>-300</v>
          </cell>
        </row>
        <row r="1087">
          <cell r="A1087" t="str">
            <v>Spinach</v>
          </cell>
          <cell r="C1087">
            <v>40</v>
          </cell>
          <cell r="D1087">
            <v>-40</v>
          </cell>
          <cell r="E1087">
            <v>230</v>
          </cell>
          <cell r="F1087">
            <v>-230</v>
          </cell>
          <cell r="H1087">
            <v>165</v>
          </cell>
          <cell r="I1087">
            <v>-165</v>
          </cell>
          <cell r="J1087">
            <v>600</v>
          </cell>
          <cell r="K1087">
            <v>-600</v>
          </cell>
        </row>
        <row r="1088">
          <cell r="A1088" t="str">
            <v>Other crop: Potatoes</v>
          </cell>
          <cell r="C1088">
            <v>91</v>
          </cell>
          <cell r="D1088">
            <v>-91</v>
          </cell>
          <cell r="E1088">
            <v>140</v>
          </cell>
          <cell r="F1088">
            <v>-140</v>
          </cell>
          <cell r="H1088">
            <v>5525</v>
          </cell>
          <cell r="I1088">
            <v>-5525</v>
          </cell>
          <cell r="J1088">
            <v>6960</v>
          </cell>
          <cell r="K1088">
            <v>-6960</v>
          </cell>
        </row>
        <row r="1089">
          <cell r="A1089" t="str">
            <v>Other crop: pumpkin / butternut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360</v>
          </cell>
          <cell r="I1089">
            <v>-360</v>
          </cell>
          <cell r="J1089">
            <v>600</v>
          </cell>
          <cell r="K1089">
            <v>-600</v>
          </cell>
        </row>
        <row r="1090">
          <cell r="A1090" t="str">
            <v>Agricultural cash income -- see Data2</v>
          </cell>
          <cell r="C1090">
            <v>0</v>
          </cell>
          <cell r="D1090">
            <v>0</v>
          </cell>
          <cell r="E1090">
            <v>11520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Construction cash income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2400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Domestic work cash income -- see Data2</v>
          </cell>
          <cell r="C1092">
            <v>6000</v>
          </cell>
          <cell r="D1092">
            <v>0</v>
          </cell>
          <cell r="E1092">
            <v>3600</v>
          </cell>
          <cell r="F1092">
            <v>0</v>
          </cell>
          <cell r="H1092">
            <v>27000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>Formal Employment (conservancies, etc.)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H1093">
            <v>0</v>
          </cell>
          <cell r="I1093">
            <v>0</v>
          </cell>
          <cell r="J1093">
            <v>92400</v>
          </cell>
          <cell r="K1093">
            <v>0</v>
          </cell>
        </row>
        <row r="1094">
          <cell r="A1094" t="str">
            <v>Self-employment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20400</v>
          </cell>
          <cell r="I1094">
            <v>4080</v>
          </cell>
          <cell r="J1094">
            <v>0</v>
          </cell>
          <cell r="K1094">
            <v>0</v>
          </cell>
        </row>
        <row r="1095">
          <cell r="A1095" t="str">
            <v>Small business -- see Data2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H1095">
            <v>8400</v>
          </cell>
          <cell r="I1095">
            <v>0</v>
          </cell>
          <cell r="J1095">
            <v>141600</v>
          </cell>
          <cell r="K1095">
            <v>0</v>
          </cell>
        </row>
        <row r="1096">
          <cell r="A1096" t="str">
            <v>Social development -- see Data2</v>
          </cell>
          <cell r="C1096">
            <v>28320</v>
          </cell>
          <cell r="D1096">
            <v>0</v>
          </cell>
          <cell r="E1096">
            <v>28320</v>
          </cell>
          <cell r="F1096">
            <v>0</v>
          </cell>
          <cell r="H1096">
            <v>8520</v>
          </cell>
          <cell r="I1096">
            <v>0</v>
          </cell>
          <cell r="J1096">
            <v>8520</v>
          </cell>
          <cell r="K1096">
            <v>0</v>
          </cell>
        </row>
        <row r="1097">
          <cell r="A1097" t="str">
            <v>Public works -- see Data2</v>
          </cell>
          <cell r="C1097">
            <v>12480</v>
          </cell>
          <cell r="D1097">
            <v>0</v>
          </cell>
          <cell r="E1097">
            <v>0</v>
          </cell>
          <cell r="F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A1098" t="str">
            <v>Remittances: no. times per year</v>
          </cell>
          <cell r="C1098">
            <v>1000</v>
          </cell>
          <cell r="D1098">
            <v>0</v>
          </cell>
          <cell r="E1098">
            <v>0</v>
          </cell>
          <cell r="F1098">
            <v>0</v>
          </cell>
          <cell r="H1098">
            <v>1000</v>
          </cell>
          <cell r="I1098">
            <v>0</v>
          </cell>
          <cell r="J1098">
            <v>1500</v>
          </cell>
          <cell r="K1098">
            <v>0</v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Q8" sqref="Q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4" t="str">
        <f>Poor!Z1</f>
        <v>Apr-Jun</v>
      </c>
      <c r="AA1" s="255"/>
      <c r="AB1" s="254" t="str">
        <f>Poor!AB1</f>
        <v>Jul-Sep</v>
      </c>
      <c r="AC1" s="255"/>
      <c r="AD1" s="254" t="str">
        <f>Poor!AD1</f>
        <v>Oct-Dec</v>
      </c>
      <c r="AE1" s="255"/>
      <c r="AF1" s="254" t="str">
        <f>Poor!AF1</f>
        <v>Jan-Mar</v>
      </c>
      <c r="AG1" s="255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2.0438674968866748E-2</v>
      </c>
      <c r="C6" s="215">
        <f>IF([1]Summ!D1044="",0,[1]Summ!D1044)</f>
        <v>0</v>
      </c>
      <c r="D6" s="24">
        <f t="shared" ref="D6:D28" si="0">(B6+C6)</f>
        <v>2.0438674968866748E-2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1.0219337484433374E-2</v>
      </c>
      <c r="J6" s="24">
        <f t="shared" ref="J6:J13" si="3">IF(I$32&lt;=1+I$131,I6,B6*H6+J$33*(I6-B6*H6))</f>
        <v>1.0219337484433374E-2</v>
      </c>
      <c r="K6" s="22">
        <f t="shared" ref="K6:K31" si="4">B6</f>
        <v>2.0438674968866748E-2</v>
      </c>
      <c r="L6" s="22">
        <f t="shared" ref="L6:L29" si="5">IF(K6="","",K6*H6)</f>
        <v>1.0219337484433374E-2</v>
      </c>
      <c r="M6" s="177">
        <f t="shared" ref="M6:M31" si="6">J6</f>
        <v>1.0219337484433374E-2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4.0877349937733495E-2</v>
      </c>
      <c r="Z6" s="156">
        <f>Poor!Z6</f>
        <v>0.17</v>
      </c>
      <c r="AA6" s="121">
        <f>$M6*Z6*4</f>
        <v>6.9491494894146945E-3</v>
      </c>
      <c r="AB6" s="156">
        <f>Poor!AB6</f>
        <v>0.17</v>
      </c>
      <c r="AC6" s="121">
        <f t="shared" ref="AC6:AC29" si="7">$M6*AB6*4</f>
        <v>6.9491494894146945E-3</v>
      </c>
      <c r="AD6" s="156">
        <f>Poor!AD6</f>
        <v>0.33</v>
      </c>
      <c r="AE6" s="121">
        <f t="shared" ref="AE6:AE29" si="8">$M6*AD6*4</f>
        <v>1.3489525479452055E-2</v>
      </c>
      <c r="AF6" s="122">
        <f>1-SUM(Z6,AB6,AD6)</f>
        <v>0.32999999999999996</v>
      </c>
      <c r="AG6" s="121">
        <f>$M6*AF6*4</f>
        <v>1.3489525479452051E-2</v>
      </c>
      <c r="AH6" s="123">
        <f>SUM(Z6,AB6,AD6,AF6)</f>
        <v>1</v>
      </c>
      <c r="AI6" s="183">
        <f>SUM(AA6,AC6,AE6,AG6)/4</f>
        <v>1.0219337484433374E-2</v>
      </c>
      <c r="AJ6" s="120">
        <f>(AA6+AC6)/2</f>
        <v>6.9491494894146945E-3</v>
      </c>
      <c r="AK6" s="119">
        <f>(AE6+AG6)/2</f>
        <v>1.3489525479452053E-2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1.621214196762142E-2</v>
      </c>
      <c r="C7" s="215">
        <f>IF([1]Summ!D1045="",0,[1]Summ!D1045)</f>
        <v>0</v>
      </c>
      <c r="D7" s="24">
        <f t="shared" si="0"/>
        <v>1.621214196762142E-2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8.1060709838107099E-3</v>
      </c>
      <c r="J7" s="24">
        <f t="shared" si="3"/>
        <v>8.1060709838107099E-3</v>
      </c>
      <c r="K7" s="22">
        <f t="shared" si="4"/>
        <v>1.621214196762142E-2</v>
      </c>
      <c r="L7" s="22">
        <f t="shared" si="5"/>
        <v>8.1060709838107099E-3</v>
      </c>
      <c r="M7" s="177">
        <f t="shared" si="6"/>
        <v>8.1060709838107099E-3</v>
      </c>
      <c r="N7" s="227">
        <v>3</v>
      </c>
      <c r="O7" s="2"/>
      <c r="P7" s="22"/>
      <c r="Q7" s="59" t="s">
        <v>145</v>
      </c>
      <c r="R7" s="220">
        <f>IF($B$81=0,0,(SUMIF($N$6:$N$28,$U7,K$6:K$28)+SUMIF($N$91:$N$118,$U7,K$91:K$118))*$B$83*$H$84*Poor!$B$81/$B$81)</f>
        <v>2845.6206407791028</v>
      </c>
      <c r="S7" s="220">
        <f>IF($B$81=0,0,(SUMIF($N$6:$N$28,$U7,L$6:L$28)+SUMIF($N$91:$N$118,$U7,L$91:L$118))*$I$83*Poor!$B$81/$B$81)</f>
        <v>3229.8905570624179</v>
      </c>
      <c r="T7" s="220">
        <f>IF($B$81=0,0,(SUMIF($N$6:$N$28,$U7,M$6:M$28)+SUMIF($N$91:$N$118,$U7,M$91:M$118))*$I$83*Poor!$B$81/$B$81)</f>
        <v>3275.3287507154064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3.242428393524284E-2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3.242428393524284E-2</v>
      </c>
      <c r="AH7" s="123">
        <f t="shared" ref="AH7:AH30" si="12">SUM(Z7,AB7,AD7,AF7)</f>
        <v>1</v>
      </c>
      <c r="AI7" s="183">
        <f t="shared" ref="AI7:AI30" si="13">SUM(AA7,AC7,AE7,AG7)/4</f>
        <v>8.1060709838107099E-3</v>
      </c>
      <c r="AJ7" s="120">
        <f t="shared" ref="AJ7:AJ31" si="14">(AA7+AC7)/2</f>
        <v>0</v>
      </c>
      <c r="AK7" s="119">
        <f t="shared" ref="AK7:AK31" si="15">(AE7+AG7)/2</f>
        <v>1.621214196762142E-2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2.8333333333333335E-2</v>
      </c>
      <c r="C8" s="215">
        <f>IF([1]Summ!D1046="",0,[1]Summ!D1046)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1211.2505278786882</v>
      </c>
      <c r="S8" s="220">
        <f>IF($B$81=0,0,(SUMIF($N$6:$N$28,$U8,L$6:L$28)+SUMIF($N$91:$N$118,$U8,L$91:L$118))*$I$83*Poor!$B$81/$B$81)</f>
        <v>1121.3999999999999</v>
      </c>
      <c r="T8" s="220">
        <f>IF($B$81=0,0,(SUMIF($N$6:$N$28,$U8,M$6:M$28)+SUMIF($N$91:$N$118,$U8,M$91:M$118))*$I$83*Poor!$B$81/$B$81)</f>
        <v>174.61003010910653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4.4950746575342468E-2</v>
      </c>
      <c r="C9" s="215">
        <f>IF([1]Summ!D1047="",0,[1]Summ!D1047)</f>
        <v>0</v>
      </c>
      <c r="D9" s="24">
        <f t="shared" si="0"/>
        <v>4.4950746575342468E-2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4.8996313767123295E-2</v>
      </c>
      <c r="J9" s="24">
        <f t="shared" si="3"/>
        <v>4.8996313767123295E-2</v>
      </c>
      <c r="K9" s="22">
        <f t="shared" si="4"/>
        <v>4.4950746575342468E-2</v>
      </c>
      <c r="L9" s="22">
        <f t="shared" si="5"/>
        <v>4.8996313767123295E-2</v>
      </c>
      <c r="M9" s="222">
        <f t="shared" si="6"/>
        <v>4.8996313767123295E-2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1037.0605064843123</v>
      </c>
      <c r="S9" s="220">
        <f>IF($B$81=0,0,(SUMIF($N$6:$N$28,$U9,L$6:L$28)+SUMIF($N$91:$N$118,$U9,L$91:L$118))*$I$83*Poor!$B$81/$B$81)</f>
        <v>565.79171147831516</v>
      </c>
      <c r="T9" s="220">
        <f>IF($B$81=0,0,(SUMIF($N$6:$N$28,$U9,M$6:M$28)+SUMIF($N$91:$N$118,$U9,M$91:M$118))*$I$83*Poor!$B$81/$B$81)</f>
        <v>565.79171147831516</v>
      </c>
      <c r="U9" s="221">
        <v>3</v>
      </c>
      <c r="V9" s="56"/>
      <c r="W9" s="115"/>
      <c r="X9" s="118">
        <f>Poor!X9</f>
        <v>1</v>
      </c>
      <c r="Y9" s="183">
        <f t="shared" si="9"/>
        <v>0.19598525506849318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0.19598525506849318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4.8996313767123295E-2</v>
      </c>
      <c r="AJ9" s="120">
        <f t="shared" si="14"/>
        <v>9.799262753424659E-2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215">
        <f>IF([1]Summ!C1048="",0,[1]Summ!C1048)</f>
        <v>1.0460772104607721E-4</v>
      </c>
      <c r="C10" s="215">
        <f>IF([1]Summ!D1048="",0,[1]Summ!D1048)</f>
        <v>1.3075965130759649E-4</v>
      </c>
      <c r="D10" s="24">
        <f t="shared" si="0"/>
        <v>2.3536737235367372E-4</v>
      </c>
      <c r="E10" s="75">
        <f>Poor!E10</f>
        <v>1</v>
      </c>
      <c r="H10" s="24">
        <f t="shared" si="1"/>
        <v>1</v>
      </c>
      <c r="I10" s="22">
        <f t="shared" si="2"/>
        <v>2.3536737235367372E-4</v>
      </c>
      <c r="J10" s="24">
        <f t="shared" si="3"/>
        <v>2.3536737235367372E-4</v>
      </c>
      <c r="K10" s="22">
        <f t="shared" si="4"/>
        <v>1.0460772104607721E-4</v>
      </c>
      <c r="L10" s="22">
        <f t="shared" si="5"/>
        <v>1.0460772104607721E-4</v>
      </c>
      <c r="M10" s="222">
        <f t="shared" si="6"/>
        <v>2.3536737235367372E-4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9.4146948941469487E-4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9.4146948941469487E-4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2.3536737235367372E-4</v>
      </c>
      <c r="AJ10" s="120">
        <f t="shared" si="14"/>
        <v>4.7073474470734743E-4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215">
        <f>IF([1]Summ!C1049="",0,[1]Summ!C1049)</f>
        <v>-1.2515566625155665E-3</v>
      </c>
      <c r="C11" s="215">
        <f>IF([1]Summ!D1049="",0,[1]Summ!D1049)</f>
        <v>1.2515566625155665E-3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-1.2515566625155665E-3</v>
      </c>
      <c r="L11" s="22">
        <f t="shared" si="5"/>
        <v>-1.2515566625155665E-3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1209.7383549350195</v>
      </c>
      <c r="S11" s="220">
        <f>IF($B$81=0,0,(SUMIF($N$6:$N$28,$U11,L$6:L$28)+SUMIF($N$91:$N$118,$U11,L$91:L$118))*$I$83*Poor!$B$81/$B$81)</f>
        <v>788.24</v>
      </c>
      <c r="T11" s="220">
        <f>IF($B$81=0,0,(SUMIF($N$6:$N$28,$U11,M$6:M$28)+SUMIF($N$91:$N$118,$U11,M$91:M$118))*$I$83*Poor!$B$81/$B$81)</f>
        <v>788.24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f>IF([1]Summ!C1051="",0,[1]Summ!C1051)</f>
        <v>1.1044520547945205E-2</v>
      </c>
      <c r="C13" s="215">
        <f>IF([1]Summ!D1051="",0,[1]Summ!D1051)</f>
        <v>0</v>
      </c>
      <c r="D13" s="24">
        <f t="shared" si="0"/>
        <v>1.1044520547945205E-2</v>
      </c>
      <c r="E13" s="75">
        <f>Poor!E13</f>
        <v>1</v>
      </c>
      <c r="H13" s="24">
        <f t="shared" si="1"/>
        <v>1</v>
      </c>
      <c r="I13" s="22">
        <f t="shared" si="2"/>
        <v>1.1044520547945205E-2</v>
      </c>
      <c r="J13" s="24">
        <f t="shared" si="3"/>
        <v>1.1044520547945205E-2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1.1044520547945205E-2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12420.176668135882</v>
      </c>
      <c r="S13" s="220">
        <f>IF($B$81=0,0,(SUMIF($N$6:$N$28,$U13,L$6:L$28)+SUMIF($N$91:$N$118,$U13,L$91:L$118))*$I$83*Poor!$B$81/$B$81)</f>
        <v>10312.214108992182</v>
      </c>
      <c r="T13" s="220">
        <f>IF($B$81=0,0,(SUMIF($N$6:$N$28,$U13,M$6:M$28)+SUMIF($N$91:$N$118,$U13,M$91:M$118))*$I$83*Poor!$B$81/$B$81)</f>
        <v>10312.214108992182</v>
      </c>
      <c r="U13" s="221">
        <v>7</v>
      </c>
      <c r="V13" s="56"/>
      <c r="W13" s="110"/>
      <c r="X13" s="118"/>
      <c r="Y13" s="183">
        <f t="shared" si="9"/>
        <v>4.4178082191780821E-2</v>
      </c>
      <c r="Z13" s="156">
        <f>Poor!Z13</f>
        <v>1</v>
      </c>
      <c r="AA13" s="121">
        <f>$M13*Z13*4</f>
        <v>4.4178082191780821E-2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1.1044520547945205E-2</v>
      </c>
      <c r="AJ13" s="120">
        <f t="shared" si="14"/>
        <v>2.208904109589041E-2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215">
        <f>IF([1]Summ!C1052="",0,[1]Summ!C1052)</f>
        <v>4.3150684931506848E-5</v>
      </c>
      <c r="C14" s="215">
        <f>IF([1]Summ!D1052="",0,[1]Summ!D1052)</f>
        <v>0</v>
      </c>
      <c r="D14" s="24">
        <f t="shared" si="0"/>
        <v>4.3150684931506848E-5</v>
      </c>
      <c r="E14" s="75">
        <f>Poor!E14</f>
        <v>1</v>
      </c>
      <c r="F14" s="22"/>
      <c r="H14" s="24">
        <f t="shared" si="1"/>
        <v>1</v>
      </c>
      <c r="I14" s="22">
        <f t="shared" si="2"/>
        <v>4.3150684931506848E-5</v>
      </c>
      <c r="J14" s="24">
        <f>IF(I$32&lt;=1+I131,I14,B14*H14+J$33*(I14-B14*H14))</f>
        <v>4.3150684931506848E-5</v>
      </c>
      <c r="K14" s="22">
        <f t="shared" si="4"/>
        <v>4.3150684931506848E-5</v>
      </c>
      <c r="L14" s="22">
        <f t="shared" si="5"/>
        <v>4.3150684931506848E-5</v>
      </c>
      <c r="M14" s="223">
        <f t="shared" si="6"/>
        <v>4.3150684931506848E-5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1.7260273972602739E-4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1.7260273972602739E-4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4.3150684931506848E-5</v>
      </c>
      <c r="AJ14" s="120">
        <f t="shared" si="14"/>
        <v>8.6301369863013696E-5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215">
        <f>IF([1]Summ!C1053="",0,[1]Summ!C1053)</f>
        <v>1.4850560398505606E-2</v>
      </c>
      <c r="C15" s="215">
        <f>IF([1]Summ!D1053="",0,[1]Summ!D1053)</f>
        <v>0</v>
      </c>
      <c r="D15" s="24">
        <f t="shared" si="0"/>
        <v>1.4850560398505606E-2</v>
      </c>
      <c r="E15" s="75">
        <f>Poor!E15</f>
        <v>1</v>
      </c>
      <c r="F15" s="22"/>
      <c r="H15" s="24">
        <f t="shared" si="1"/>
        <v>1</v>
      </c>
      <c r="I15" s="22">
        <f t="shared" si="2"/>
        <v>1.4850560398505606E-2</v>
      </c>
      <c r="J15" s="24">
        <f t="shared" ref="J15:J25" si="17">IF(I$32&lt;=1+I131,I15,B15*H15+J$33*(I15-B15*H15))</f>
        <v>1.4850560398505606E-2</v>
      </c>
      <c r="K15" s="22">
        <f t="shared" si="4"/>
        <v>1.4850560398505606E-2</v>
      </c>
      <c r="L15" s="22">
        <f t="shared" si="5"/>
        <v>1.4850560398505606E-2</v>
      </c>
      <c r="M15" s="224">
        <f t="shared" si="6"/>
        <v>1.4850560398505606E-2</v>
      </c>
      <c r="N15" s="227">
        <v>1</v>
      </c>
      <c r="O15" s="2"/>
      <c r="P15" s="22"/>
      <c r="Q15" s="59" t="s">
        <v>128</v>
      </c>
      <c r="R15" s="220">
        <f>IF($B$81=0,0,(SUMIF($N$6:$N$28,$U15,K$6:K$28)+SUMIF($N$91:$N$118,$U15,K$91:K$118))*$B$83*$H$84*Poor!$B$81/$B$81)</f>
        <v>18871.918336986302</v>
      </c>
      <c r="S15" s="220">
        <f>IF($B$81=0,0,(SUMIF($N$6:$N$28,$U15,L$6:L$28)+SUMIF($N$91:$N$118,$U15,L$91:L$118))*$I$83*Poor!$B$81/$B$81)</f>
        <v>14726.4</v>
      </c>
      <c r="T15" s="220">
        <f>IF($B$81=0,0,(SUMIF($N$6:$N$28,$U15,M$6:M$28)+SUMIF($N$91:$N$118,$U15,M$91:M$118))*$I$83*Poor!$B$81/$B$81)</f>
        <v>14726.4</v>
      </c>
      <c r="U15" s="221">
        <v>9</v>
      </c>
      <c r="V15" s="56"/>
      <c r="W15" s="110"/>
      <c r="X15" s="118"/>
      <c r="Y15" s="183">
        <f t="shared" si="9"/>
        <v>5.9402241594022423E-2</v>
      </c>
      <c r="Z15" s="156">
        <f>Poor!Z15</f>
        <v>0.25</v>
      </c>
      <c r="AA15" s="121">
        <f t="shared" si="16"/>
        <v>1.4850560398505606E-2</v>
      </c>
      <c r="AB15" s="156">
        <f>Poor!AB15</f>
        <v>0.25</v>
      </c>
      <c r="AC15" s="121">
        <f t="shared" si="7"/>
        <v>1.4850560398505606E-2</v>
      </c>
      <c r="AD15" s="156">
        <f>Poor!AD15</f>
        <v>0.25</v>
      </c>
      <c r="AE15" s="121">
        <f t="shared" si="8"/>
        <v>1.4850560398505606E-2</v>
      </c>
      <c r="AF15" s="122">
        <f t="shared" si="10"/>
        <v>0.25</v>
      </c>
      <c r="AG15" s="121">
        <f t="shared" si="11"/>
        <v>1.4850560398505606E-2</v>
      </c>
      <c r="AH15" s="123">
        <f t="shared" si="12"/>
        <v>1</v>
      </c>
      <c r="AI15" s="183">
        <f t="shared" si="13"/>
        <v>1.4850560398505606E-2</v>
      </c>
      <c r="AJ15" s="120">
        <f t="shared" si="14"/>
        <v>1.4850560398505606E-2</v>
      </c>
      <c r="AK15" s="119">
        <f t="shared" si="15"/>
        <v>1.4850560398505606E-2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215">
        <f>IF([1]Summ!C1054="",0,[1]Summ!C1054)</f>
        <v>1.8947073474470737E-3</v>
      </c>
      <c r="C16" s="215">
        <f>IF([1]Summ!D1054="",0,[1]Summ!D1054)</f>
        <v>4.1189290161892868E-4</v>
      </c>
      <c r="D16" s="24">
        <f t="shared" ref="D16:D25" si="18">(B16+C16)</f>
        <v>2.3066002490660024E-3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2.3066002490660024E-3</v>
      </c>
      <c r="J16" s="24">
        <f t="shared" si="17"/>
        <v>1.9144484935948551E-3</v>
      </c>
      <c r="K16" s="22">
        <f t="shared" ref="K16:K25" si="21">B16</f>
        <v>1.8947073474470737E-3</v>
      </c>
      <c r="L16" s="22">
        <f t="shared" ref="L16:L25" si="22">IF(K16="","",K16*H16)</f>
        <v>1.8947073474470737E-3</v>
      </c>
      <c r="M16" s="224">
        <f t="shared" ref="M16:M25" si="23">J16</f>
        <v>1.9144484935948551E-3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215">
        <f>IF([1]Summ!C1056="",0,[1]Summ!C1056)</f>
        <v>-7.6494396014943958E-4</v>
      </c>
      <c r="C18" s="215">
        <f>IF([1]Summ!D1056="",0,[1]Summ!D1056)</f>
        <v>1.8212951432129514E-4</v>
      </c>
      <c r="D18" s="24">
        <f t="shared" si="18"/>
        <v>-5.8281444582814444E-4</v>
      </c>
      <c r="E18" s="75">
        <f>Poor!E18</f>
        <v>1</v>
      </c>
      <c r="F18" s="22"/>
      <c r="H18" s="24">
        <f t="shared" si="19"/>
        <v>1</v>
      </c>
      <c r="I18" s="22">
        <f t="shared" si="20"/>
        <v>-5.8281444582814444E-4</v>
      </c>
      <c r="J18" s="24">
        <f t="shared" si="17"/>
        <v>-7.5621488192082875E-4</v>
      </c>
      <c r="K18" s="22">
        <f t="shared" si="21"/>
        <v>-7.6494396014943958E-4</v>
      </c>
      <c r="L18" s="22">
        <f t="shared" si="22"/>
        <v>-7.6494396014943958E-4</v>
      </c>
      <c r="M18" s="224">
        <f t="shared" si="23"/>
        <v>-7.5621488192082875E-4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3705.3892346012062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215">
        <f>IF([1]Summ!C1057="",0,[1]Summ!C1057)</f>
        <v>6.8430884184308841E-4</v>
      </c>
      <c r="C19" s="215">
        <f>IF([1]Summ!D1057="",0,[1]Summ!D1057)</f>
        <v>1.2708592777085927E-3</v>
      </c>
      <c r="D19" s="24">
        <f t="shared" si="18"/>
        <v>1.9551681195516812E-3</v>
      </c>
      <c r="E19" s="75">
        <f>Poor!E19</f>
        <v>1</v>
      </c>
      <c r="F19" s="22"/>
      <c r="H19" s="24">
        <f t="shared" si="19"/>
        <v>1</v>
      </c>
      <c r="I19" s="22">
        <f t="shared" si="20"/>
        <v>1.9551681195516812E-3</v>
      </c>
      <c r="J19" s="24">
        <f t="shared" si="17"/>
        <v>7.452184099271729E-4</v>
      </c>
      <c r="K19" s="22">
        <f t="shared" si="21"/>
        <v>6.8430884184308841E-4</v>
      </c>
      <c r="L19" s="22">
        <f t="shared" si="22"/>
        <v>6.8430884184308841E-4</v>
      </c>
      <c r="M19" s="224">
        <f t="shared" si="23"/>
        <v>7.452184099271729E-4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215">
        <f>IF([1]Summ!C1058="",0,[1]Summ!C1058)</f>
        <v>6.7781320049813197E-4</v>
      </c>
      <c r="C20" s="215">
        <f>IF([1]Summ!D1058="",0,[1]Summ!D1058)</f>
        <v>0</v>
      </c>
      <c r="D20" s="24">
        <f t="shared" si="18"/>
        <v>6.7781320049813197E-4</v>
      </c>
      <c r="E20" s="75">
        <f>Poor!E20</f>
        <v>1</v>
      </c>
      <c r="F20" s="22"/>
      <c r="H20" s="24">
        <f t="shared" si="19"/>
        <v>1</v>
      </c>
      <c r="I20" s="22">
        <f t="shared" si="20"/>
        <v>6.7781320049813197E-4</v>
      </c>
      <c r="J20" s="24">
        <f t="shared" si="17"/>
        <v>6.7781320049813197E-4</v>
      </c>
      <c r="K20" s="22">
        <f t="shared" si="21"/>
        <v>6.7781320049813197E-4</v>
      </c>
      <c r="L20" s="22">
        <f t="shared" si="22"/>
        <v>6.7781320049813197E-4</v>
      </c>
      <c r="M20" s="224">
        <f t="shared" si="23"/>
        <v>6.7781320049813197E-4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42824.737764699697</v>
      </c>
      <c r="S20" s="220">
        <f>IF($B$81=0,0,(SUMIF($N$6:$N$28,$U20,L$6:L$28)+SUMIF($N$91:$N$118,$U20,L$91:L$118))*$I$83*Poor!$B$81/$B$81)</f>
        <v>33417.600000000006</v>
      </c>
      <c r="T20" s="220">
        <f>IF($B$81=0,0,(SUMIF($N$6:$N$28,$U20,M$6:M$28)+SUMIF($N$91:$N$118,$U20,M$91:M$118))*$I$83*Poor!$B$81/$B$81)</f>
        <v>33417.600000000006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1512.1729436687742</v>
      </c>
      <c r="S21" s="220">
        <f>IF($B$81=0,0,(SUMIF($N$6:$N$28,$U21,L$6:L$28)+SUMIF($N$91:$N$118,$U21,L$91:L$118))*$I$83*Poor!$B$81/$B$81)</f>
        <v>1110.0000000000002</v>
      </c>
      <c r="T21" s="220">
        <f>IF($B$81=0,0,(SUMIF($N$6:$N$28,$U21,M$6:M$28)+SUMIF($N$91:$N$118,$U21,M$91:M$118))*$I$83*Poor!$B$81/$B$81)</f>
        <v>1110.0000000000002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215">
        <f>IF([1]Summ!C1060="",0,[1]Summ!C1060)</f>
        <v>0.11829143835616437</v>
      </c>
      <c r="C22" s="215">
        <f>IF([1]Summ!D1060="",0,[1]Summ!D1060)</f>
        <v>0</v>
      </c>
      <c r="D22" s="24">
        <f t="shared" si="18"/>
        <v>0.11829143835616437</v>
      </c>
      <c r="E22" s="75">
        <f>Poor!E22</f>
        <v>1</v>
      </c>
      <c r="F22" s="22"/>
      <c r="H22" s="24">
        <f t="shared" si="19"/>
        <v>1</v>
      </c>
      <c r="I22" s="22">
        <f t="shared" si="20"/>
        <v>0.11829143835616437</v>
      </c>
      <c r="J22" s="24">
        <f t="shared" si="17"/>
        <v>0.11829143835616437</v>
      </c>
      <c r="K22" s="22">
        <f t="shared" si="21"/>
        <v>0.11829143835616437</v>
      </c>
      <c r="L22" s="22">
        <f t="shared" si="22"/>
        <v>0.11829143835616437</v>
      </c>
      <c r="M22" s="224">
        <f t="shared" si="23"/>
        <v>0.11829143835616437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/>
      <c r="O23" s="2"/>
      <c r="P23" s="22"/>
      <c r="Q23" s="171" t="s">
        <v>100</v>
      </c>
      <c r="R23" s="179">
        <f>SUM(R7:R22)</f>
        <v>85638.064978168986</v>
      </c>
      <c r="S23" s="179">
        <f>SUM(S7:S22)</f>
        <v>69314.653444724128</v>
      </c>
      <c r="T23" s="179">
        <f>SUM(T7:T22)</f>
        <v>68413.301668486223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0.13095238095238096</v>
      </c>
      <c r="C26" s="215">
        <f>IF([1]Summ!D1064="",0,[1]Summ!D1064)</f>
        <v>0</v>
      </c>
      <c r="D26" s="24">
        <f t="shared" si="0"/>
        <v>0.13095238095238096</v>
      </c>
      <c r="E26" s="75">
        <f>Poor!E26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5.1727575093399751E-2</v>
      </c>
      <c r="C27" s="215">
        <f>IF([1]Summ!D1065="",0,[1]Summ!D1065)</f>
        <v>-5.1727575093399751E-2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5.6049937733499376E-4</v>
      </c>
      <c r="C28" s="215">
        <f>IF([1]Summ!D1066="",0,[1]Summ!D1066)</f>
        <v>-5.6049937733499376E-4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0.1921350153922789</v>
      </c>
      <c r="C29" s="215">
        <f>IF([1]Summ!D1067="",0,[1]Summ!D1067)</f>
        <v>3.2501758549718117E-2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0.1921350153922789</v>
      </c>
      <c r="L29" s="22">
        <f t="shared" si="5"/>
        <v>0.1921350153922789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0.65941317907845587</v>
      </c>
      <c r="C30" s="103"/>
      <c r="D30" s="24">
        <f>(D119-B124)</f>
        <v>1.6445812732769607</v>
      </c>
      <c r="E30" s="75">
        <f>Poor!E30</f>
        <v>1</v>
      </c>
      <c r="H30" s="96">
        <f>(E30*F$7/F$9)</f>
        <v>1</v>
      </c>
      <c r="I30" s="29">
        <f>IF(E30&gt;=1,I119-I124,MIN(I119-I124,B30*H30))</f>
        <v>1.0281839700809079</v>
      </c>
      <c r="J30" s="229">
        <f>IF(I$32&lt;=1,I30,1-SUM(J6:J29))</f>
        <v>0.40170948695492159</v>
      </c>
      <c r="K30" s="22">
        <f t="shared" si="4"/>
        <v>0.65941317907845587</v>
      </c>
      <c r="L30" s="22">
        <f>IF(L124=L119,0,IF(K30="",0,(L119-L124)/(B119-B124)*K30))</f>
        <v>0.41599711213657919</v>
      </c>
      <c r="M30" s="175">
        <f t="shared" si="6"/>
        <v>0.40170948695492159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1.6068379478196864</v>
      </c>
      <c r="Z30" s="122">
        <f>IF($Y30=0,0,AA30/($Y$30))</f>
        <v>0.16689486049203833</v>
      </c>
      <c r="AA30" s="187">
        <f>IF(AA79*4/$I$83+SUM(AA6:AA29)&lt;1,AA79*4/$I$83,1-SUM(AA6:AA29))</f>
        <v>0.26817299513467974</v>
      </c>
      <c r="AB30" s="122">
        <f>IF($Y30=0,0,AC30/($Y$30))</f>
        <v>0.38736857896750621</v>
      </c>
      <c r="AC30" s="187">
        <f>IF(AC79*4/$I$83+SUM(AC6:AC29)&lt;1,AC79*4/$I$83,1-SUM(AC6:AC29))</f>
        <v>0.62243853247797576</v>
      </c>
      <c r="AD30" s="122">
        <f>IF($Y30=0,0,AE30/($Y$30))</f>
        <v>0.38340565709417618</v>
      </c>
      <c r="AE30" s="187">
        <f>IF(AE79*4/$I$83+SUM(AE6:AE29)&lt;1,AE79*4/$I$83,1-SUM(AE6:AE29))</f>
        <v>0.61607075922766441</v>
      </c>
      <c r="AF30" s="122">
        <f>IF($Y30=0,0,AG30/($Y$30))</f>
        <v>0.36322671871446011</v>
      </c>
      <c r="AG30" s="187">
        <f>IF(AG79*4/$I$83+SUM(AG6:AG29)&lt;1,AG79*4/$I$83,1-SUM(AG6:AG29))</f>
        <v>0.58364647529242153</v>
      </c>
      <c r="AH30" s="123">
        <f t="shared" si="12"/>
        <v>1.3008958152681807</v>
      </c>
      <c r="AI30" s="183">
        <f t="shared" si="13"/>
        <v>0.52258219053318533</v>
      </c>
      <c r="AJ30" s="120">
        <f t="shared" si="14"/>
        <v>0.44530576380632775</v>
      </c>
      <c r="AK30" s="119">
        <f t="shared" si="15"/>
        <v>0.59985861726004297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-3.2602244996390528E-2</v>
      </c>
      <c r="M31" s="239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2560.3521914896846</v>
      </c>
      <c r="T31" s="232">
        <f>IF(T25&gt;T$23,T25-T$23,0)</f>
        <v>3461.7039677275898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1.2902981532147306</v>
      </c>
      <c r="C32" s="77">
        <f>SUM(C6:C31)</f>
        <v>-1.6539117913544649E-2</v>
      </c>
      <c r="D32" s="24">
        <f>SUM(D6:D30)</f>
        <v>2.2589271294996909</v>
      </c>
      <c r="E32" s="2"/>
      <c r="F32" s="2"/>
      <c r="H32" s="17"/>
      <c r="I32" s="22">
        <f>SUM(I6:I30)</f>
        <v>1.6282499850271748</v>
      </c>
      <c r="J32" s="17"/>
      <c r="L32" s="22">
        <f>SUM(L6:L30)</f>
        <v>1.0326022449963905</v>
      </c>
      <c r="M32" s="23"/>
      <c r="N32" s="56"/>
      <c r="O32" s="2"/>
      <c r="P32" s="22"/>
      <c r="Q32" s="232" t="s">
        <v>143</v>
      </c>
      <c r="R32" s="232">
        <f t="shared" si="24"/>
        <v>27159.340658044821</v>
      </c>
      <c r="S32" s="232">
        <f t="shared" si="24"/>
        <v>43482.752191489679</v>
      </c>
      <c r="T32" s="232">
        <f t="shared" si="24"/>
        <v>44384.103967727584</v>
      </c>
      <c r="V32" s="56"/>
      <c r="W32" s="110"/>
      <c r="X32" s="118"/>
      <c r="Y32" s="115">
        <f>SUM(Y6:Y31)</f>
        <v>3.516509185686945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4.7927862000509448E-2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3461.7039677275861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 (hides): quantity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Goat sales - local: no. sold</v>
      </c>
      <c r="B40" s="216">
        <f>IF([1]Summ!C1075="",0,[1]Summ!C1075)</f>
        <v>660</v>
      </c>
      <c r="C40" s="216">
        <f>IF([1]Summ!D1075="",0,[1]Summ!D1075)</f>
        <v>0</v>
      </c>
      <c r="D40" s="38">
        <f t="shared" si="25"/>
        <v>660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623.04</v>
      </c>
      <c r="J40" s="38">
        <f t="shared" si="32"/>
        <v>623.04</v>
      </c>
      <c r="K40" s="40">
        <f t="shared" si="33"/>
        <v>1.3360053440213761E-2</v>
      </c>
      <c r="L40" s="22">
        <f t="shared" si="34"/>
        <v>1.261189044756179E-2</v>
      </c>
      <c r="M40" s="24">
        <f t="shared" si="35"/>
        <v>1.261189044756179E-2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623.04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623.04</v>
      </c>
      <c r="AJ40" s="148">
        <f t="shared" si="38"/>
        <v>623.04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Sheep sales - local: no. sold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Chicken sales: no. sold</v>
      </c>
      <c r="B42" s="216">
        <f>IF([1]Summ!C1077="",0,[1]Summ!C1077)</f>
        <v>140</v>
      </c>
      <c r="C42" s="216">
        <f>IF([1]Summ!D1077="",0,[1]Summ!D1077)</f>
        <v>0</v>
      </c>
      <c r="D42" s="38">
        <f t="shared" si="25"/>
        <v>140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165.2</v>
      </c>
      <c r="J42" s="38">
        <f t="shared" si="32"/>
        <v>165.2</v>
      </c>
      <c r="K42" s="40">
        <f t="shared" si="33"/>
        <v>2.833950729742313E-3</v>
      </c>
      <c r="L42" s="22">
        <f t="shared" si="34"/>
        <v>3.3440618610959291E-3</v>
      </c>
      <c r="M42" s="24">
        <f t="shared" si="35"/>
        <v>3.3440618610959291E-3</v>
      </c>
      <c r="N42" s="2"/>
      <c r="O42" s="2"/>
      <c r="P42" s="176"/>
      <c r="Q42" s="41"/>
      <c r="R42" s="41"/>
      <c r="S42" s="252"/>
      <c r="T42" s="252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41.3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82.6</v>
      </c>
      <c r="AF42" s="122">
        <f t="shared" si="29"/>
        <v>0.25</v>
      </c>
      <c r="AG42" s="147">
        <f t="shared" si="36"/>
        <v>41.3</v>
      </c>
      <c r="AH42" s="123">
        <f t="shared" si="37"/>
        <v>1</v>
      </c>
      <c r="AI42" s="112">
        <f t="shared" si="37"/>
        <v>165.2</v>
      </c>
      <c r="AJ42" s="148">
        <f t="shared" si="38"/>
        <v>41.3</v>
      </c>
      <c r="AK42" s="147">
        <f t="shared" si="39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Tomato</v>
      </c>
      <c r="B44" s="216">
        <f>IF([1]Summ!C1079="",0,[1]Summ!C1079)</f>
        <v>150</v>
      </c>
      <c r="C44" s="216">
        <f>IF([1]Summ!D1079="",0,[1]Summ!D1079)</f>
        <v>-150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3.0363757818667636E-3</v>
      </c>
      <c r="L44" s="22">
        <f t="shared" si="34"/>
        <v>4.2509260946134685E-3</v>
      </c>
      <c r="M44" s="24">
        <f t="shared" si="35"/>
        <v>0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Onions</v>
      </c>
      <c r="B45" s="216">
        <f>IF([1]Summ!C1080="",0,[1]Summ!C1080)</f>
        <v>460</v>
      </c>
      <c r="C45" s="216">
        <f>IF([1]Summ!D1080="",0,[1]Summ!D1080)</f>
        <v>-460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9.3115523977247427E-3</v>
      </c>
      <c r="L45" s="22">
        <f t="shared" si="34"/>
        <v>1.3036173356814638E-2</v>
      </c>
      <c r="M45" s="24">
        <f t="shared" si="35"/>
        <v>0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Beetroot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Beans: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Chillies: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Cabbage</v>
      </c>
      <c r="B50" s="216">
        <f>IF([1]Summ!C1085="",0,[1]Summ!C1085)</f>
        <v>60</v>
      </c>
      <c r="C50" s="216">
        <f>IF([1]Summ!D1085="",0,[1]Summ!D1085)</f>
        <v>-60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1.2145503127467055E-3</v>
      </c>
      <c r="L50" s="22">
        <f t="shared" si="34"/>
        <v>1.7003704378453876E-3</v>
      </c>
      <c r="M50" s="24">
        <f t="shared" si="35"/>
        <v>0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Groundnuts (dry): no. local meas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Spinach</v>
      </c>
      <c r="B52" s="216">
        <f>IF([1]Summ!C1087="",0,[1]Summ!C1087)</f>
        <v>40</v>
      </c>
      <c r="C52" s="216">
        <f>IF([1]Summ!D1087="",0,[1]Summ!D1087)</f>
        <v>-40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53.316039727971464</v>
      </c>
      <c r="K52" s="40">
        <f t="shared" si="33"/>
        <v>8.0970020849780366E-4</v>
      </c>
      <c r="L52" s="22">
        <f t="shared" si="34"/>
        <v>1.133580291896925E-3</v>
      </c>
      <c r="M52" s="24">
        <f t="shared" si="35"/>
        <v>1.0792502121003921E-3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13.329009931992866</v>
      </c>
      <c r="AB52" s="156">
        <f>Poor!AB57</f>
        <v>0.25</v>
      </c>
      <c r="AC52" s="147">
        <f t="shared" si="41"/>
        <v>13.329009931992866</v>
      </c>
      <c r="AD52" s="156">
        <f>Poor!AD57</f>
        <v>0.25</v>
      </c>
      <c r="AE52" s="147">
        <f t="shared" si="42"/>
        <v>13.329009931992866</v>
      </c>
      <c r="AF52" s="122">
        <f t="shared" si="29"/>
        <v>0.25</v>
      </c>
      <c r="AG52" s="147">
        <f t="shared" si="36"/>
        <v>13.329009931992866</v>
      </c>
      <c r="AH52" s="123">
        <f t="shared" si="37"/>
        <v>1</v>
      </c>
      <c r="AI52" s="112">
        <f t="shared" si="37"/>
        <v>53.316039727971464</v>
      </c>
      <c r="AJ52" s="148">
        <f t="shared" si="38"/>
        <v>26.658019863985732</v>
      </c>
      <c r="AK52" s="147">
        <f t="shared" si="39"/>
        <v>26.658019863985732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Other crop: Potatoes</v>
      </c>
      <c r="B53" s="216">
        <f>IF([1]Summ!C1088="",0,[1]Summ!C1088)</f>
        <v>91</v>
      </c>
      <c r="C53" s="216">
        <f>IF([1]Summ!D1088="",0,[1]Summ!D1088)</f>
        <v>-91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121.29399038113507</v>
      </c>
      <c r="K53" s="40">
        <f t="shared" si="33"/>
        <v>1.8420679743325033E-3</v>
      </c>
      <c r="L53" s="22">
        <f t="shared" si="34"/>
        <v>2.5788951640655046E-3</v>
      </c>
      <c r="M53" s="24">
        <f t="shared" si="35"/>
        <v>2.4552942325283917E-3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Other crop: pumpkin / butternut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1.4</v>
      </c>
      <c r="G54" s="75">
        <f>Poor!G54</f>
        <v>1.65</v>
      </c>
      <c r="H54" s="24">
        <f t="shared" si="30"/>
        <v>1.4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f>IF([1]Summ!C1092="",0,[1]Summ!C1092)</f>
        <v>6000</v>
      </c>
      <c r="C57" s="216">
        <f>IF([1]Summ!D1092="",0,[1]Summ!D1092)</f>
        <v>0</v>
      </c>
      <c r="D57" s="38">
        <f t="shared" si="25"/>
        <v>6000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6660.0000000000009</v>
      </c>
      <c r="J57" s="38">
        <f t="shared" si="32"/>
        <v>6660.0000000000009</v>
      </c>
      <c r="K57" s="40">
        <f t="shared" si="33"/>
        <v>0.12145503127467056</v>
      </c>
      <c r="L57" s="22">
        <f t="shared" si="34"/>
        <v>0.13481508471488432</v>
      </c>
      <c r="M57" s="24">
        <f t="shared" si="35"/>
        <v>0.13481508471488432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f>IF([1]Summ!C1096="",0,[1]Summ!C1096)</f>
        <v>28320</v>
      </c>
      <c r="C61" s="216">
        <f>IF([1]Summ!D1096="",0,[1]Summ!D1096)</f>
        <v>0</v>
      </c>
      <c r="D61" s="38">
        <f t="shared" si="25"/>
        <v>28320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33417.599999999999</v>
      </c>
      <c r="J61" s="38">
        <f t="shared" si="32"/>
        <v>33417.600000000006</v>
      </c>
      <c r="K61" s="40">
        <f t="shared" si="33"/>
        <v>0.57326774761644506</v>
      </c>
      <c r="L61" s="22">
        <f t="shared" si="34"/>
        <v>0.67645594218740512</v>
      </c>
      <c r="M61" s="24">
        <f t="shared" si="35"/>
        <v>0.67645594218740523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8354.4000000000015</v>
      </c>
      <c r="AB61" s="156">
        <f>Poor!AB61</f>
        <v>0.25</v>
      </c>
      <c r="AC61" s="147">
        <f t="shared" si="41"/>
        <v>8354.4000000000015</v>
      </c>
      <c r="AD61" s="156">
        <f>Poor!AD61</f>
        <v>0.25</v>
      </c>
      <c r="AE61" s="147">
        <f t="shared" si="42"/>
        <v>8354.4000000000015</v>
      </c>
      <c r="AF61" s="122">
        <f t="shared" si="29"/>
        <v>0.25</v>
      </c>
      <c r="AG61" s="147">
        <f t="shared" si="36"/>
        <v>8354.4000000000015</v>
      </c>
      <c r="AH61" s="123">
        <f t="shared" si="43"/>
        <v>1</v>
      </c>
      <c r="AI61" s="112">
        <f t="shared" si="43"/>
        <v>33417.600000000006</v>
      </c>
      <c r="AJ61" s="148">
        <f t="shared" si="38"/>
        <v>16708.800000000003</v>
      </c>
      <c r="AK61" s="147">
        <f t="shared" si="39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f>IF([1]Summ!C1097="",0,[1]Summ!C1097)</f>
        <v>12480</v>
      </c>
      <c r="C62" s="216">
        <f>IF([1]Summ!D1097="",0,[1]Summ!D1097)</f>
        <v>0</v>
      </c>
      <c r="D62" s="38">
        <f t="shared" si="25"/>
        <v>12480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14726.4</v>
      </c>
      <c r="J62" s="38">
        <f t="shared" si="32"/>
        <v>14726.4</v>
      </c>
      <c r="K62" s="40">
        <f t="shared" si="33"/>
        <v>0.25262646505131475</v>
      </c>
      <c r="L62" s="22">
        <f t="shared" si="34"/>
        <v>0.29809922876055139</v>
      </c>
      <c r="M62" s="24">
        <f t="shared" si="35"/>
        <v>0.29809922876055139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3681.6</v>
      </c>
      <c r="AB62" s="156">
        <f>Poor!AB62</f>
        <v>0.25</v>
      </c>
      <c r="AC62" s="147">
        <f t="shared" si="41"/>
        <v>3681.6</v>
      </c>
      <c r="AD62" s="156">
        <f>Poor!AD62</f>
        <v>0.25</v>
      </c>
      <c r="AE62" s="147">
        <f t="shared" si="42"/>
        <v>3681.6</v>
      </c>
      <c r="AF62" s="122">
        <f t="shared" si="29"/>
        <v>0.25</v>
      </c>
      <c r="AG62" s="147">
        <f t="shared" si="36"/>
        <v>3681.6</v>
      </c>
      <c r="AH62" s="123">
        <f t="shared" si="43"/>
        <v>1</v>
      </c>
      <c r="AI62" s="112">
        <f t="shared" si="43"/>
        <v>14726.4</v>
      </c>
      <c r="AJ62" s="148">
        <f t="shared" si="38"/>
        <v>7363.2</v>
      </c>
      <c r="AK62" s="147">
        <f t="shared" si="39"/>
        <v>7363.2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Remittances: no. times per year</v>
      </c>
      <c r="B63" s="216">
        <f>IF([1]Summ!C1098="",0,[1]Summ!C1098)</f>
        <v>1000</v>
      </c>
      <c r="C63" s="216">
        <f>IF([1]Summ!D1098="",0,[1]Summ!D1098)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2.0242505212445094E-2</v>
      </c>
      <c r="L63" s="22">
        <f t="shared" si="34"/>
        <v>2.2469180785814055E-2</v>
      </c>
      <c r="M63" s="24">
        <f t="shared" si="35"/>
        <v>2.2469180785814058E-2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49401</v>
      </c>
      <c r="C65" s="39">
        <f>SUM(C37:C64)</f>
        <v>-801</v>
      </c>
      <c r="D65" s="42">
        <f>SUM(D37:D64)</f>
        <v>48600</v>
      </c>
      <c r="E65" s="32"/>
      <c r="F65" s="32"/>
      <c r="G65" s="32"/>
      <c r="H65" s="31"/>
      <c r="I65" s="39">
        <f>SUM(I37:I64)</f>
        <v>56702.239999999998</v>
      </c>
      <c r="J65" s="39">
        <f>SUM(J37:J64)</f>
        <v>56876.850030109112</v>
      </c>
      <c r="K65" s="40">
        <f>SUM(K37:K64)</f>
        <v>1</v>
      </c>
      <c r="L65" s="22">
        <f>SUM(L37:L64)</f>
        <v>1.1704953341025486</v>
      </c>
      <c r="M65" s="24">
        <f>SUM(M37:M64)</f>
        <v>1.1513299332019415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12991.169009931995</v>
      </c>
      <c r="AB65" s="137"/>
      <c r="AC65" s="153">
        <f>SUM(AC37:AC64)</f>
        <v>12326.829009931995</v>
      </c>
      <c r="AD65" s="137"/>
      <c r="AE65" s="153">
        <f>SUM(AE37:AE64)</f>
        <v>12409.429009931995</v>
      </c>
      <c r="AF65" s="137"/>
      <c r="AG65" s="153">
        <f>SUM(AG37:AG64)</f>
        <v>12368.129009931994</v>
      </c>
      <c r="AH65" s="137"/>
      <c r="AI65" s="153">
        <f>SUM(AI37:AI64)</f>
        <v>50095.556039727977</v>
      </c>
      <c r="AJ65" s="153">
        <f>SUM(AJ37:AJ64)</f>
        <v>25317.99801986399</v>
      </c>
      <c r="AK65" s="153">
        <f>SUM(AK37:AK64)</f>
        <v>24777.558019863991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17826.682776473463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24957.355887062848</v>
      </c>
      <c r="J70" s="51">
        <f t="shared" ref="J70:J77" si="44">J124*I$83</f>
        <v>24957.355887062848</v>
      </c>
      <c r="K70" s="40">
        <f>B70/B$76</f>
        <v>0.36085671902336919</v>
      </c>
      <c r="L70" s="22">
        <f t="shared" ref="L70:L74" si="45">(L124*G$37*F$9/F$7)/B$130</f>
        <v>0.50519940663271679</v>
      </c>
      <c r="M70" s="24">
        <f>J70/B$76</f>
        <v>0.5051994066327169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6239.3389717657119</v>
      </c>
      <c r="AB70" s="156">
        <f>Poor!AB70</f>
        <v>0.25</v>
      </c>
      <c r="AC70" s="147">
        <f>$J70*AB70</f>
        <v>6239.3389717657119</v>
      </c>
      <c r="AD70" s="156">
        <f>Poor!AD70</f>
        <v>0.25</v>
      </c>
      <c r="AE70" s="147">
        <f>$J70*AD70</f>
        <v>6239.3389717657119</v>
      </c>
      <c r="AF70" s="156">
        <f>Poor!AF70</f>
        <v>0.25</v>
      </c>
      <c r="AG70" s="147">
        <f>$J70*AF70</f>
        <v>6239.3389717657119</v>
      </c>
      <c r="AH70" s="155">
        <f>SUM(Z70,AB70,AD70,AF70)</f>
        <v>1</v>
      </c>
      <c r="AI70" s="147">
        <f>SUM(AA70,AC70,AE70,AG70)</f>
        <v>24957.355887062848</v>
      </c>
      <c r="AJ70" s="148">
        <f>(AA70+AC70)</f>
        <v>12478.677943531424</v>
      </c>
      <c r="AK70" s="147">
        <f>(AE70+AG70)</f>
        <v>12478.677943531424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0.39418905150368083</v>
      </c>
      <c r="L71" s="22">
        <f t="shared" si="45"/>
        <v>0.46514308077434319</v>
      </c>
      <c r="M71" s="24">
        <f t="shared" ref="M71:M72" si="48">J71/B$76</f>
        <v>0.4651430807743433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0.70201008076759575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1600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3.238800833991215E-2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169.92</v>
      </c>
      <c r="AB73" s="156">
        <f>Poor!AB73</f>
        <v>0.09</v>
      </c>
      <c r="AC73" s="147">
        <f>$H$73*$B$73*AB73</f>
        <v>169.92</v>
      </c>
      <c r="AD73" s="156">
        <f>Poor!AD73</f>
        <v>0.23</v>
      </c>
      <c r="AE73" s="147">
        <f>$H$73*$B$73*AD73</f>
        <v>434.24</v>
      </c>
      <c r="AF73" s="156">
        <f>Poor!AF73</f>
        <v>0.59</v>
      </c>
      <c r="AG73" s="147">
        <f>$H$73*$B$73*AF73</f>
        <v>1113.9199999999998</v>
      </c>
      <c r="AH73" s="155">
        <f>SUM(Z73,AB73,AD73,AF73)</f>
        <v>1</v>
      </c>
      <c r="AI73" s="147">
        <f>SUM(AA73,AC73,AE73,AG73)</f>
        <v>1887.9999999999998</v>
      </c>
      <c r="AJ73" s="148">
        <f>(AA73+AC73)</f>
        <v>339.84</v>
      </c>
      <c r="AK73" s="147">
        <f>(AE73+AG73)</f>
        <v>1548.1599999999999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12338.904297944078</v>
      </c>
      <c r="C74" s="39"/>
      <c r="D74" s="38"/>
      <c r="E74" s="32"/>
      <c r="F74" s="32"/>
      <c r="G74" s="32"/>
      <c r="H74" s="31"/>
      <c r="I74" s="39">
        <f>I128*I$83</f>
        <v>31744.884112937154</v>
      </c>
      <c r="J74" s="51">
        <f t="shared" si="44"/>
        <v>12402.664777440512</v>
      </c>
      <c r="K74" s="40">
        <f>B74/B$76</f>
        <v>0.24977033456699416</v>
      </c>
      <c r="L74" s="22">
        <f t="shared" si="45"/>
        <v>0.2599905081318914</v>
      </c>
      <c r="M74" s="24">
        <f>J74/B$76</f>
        <v>0.25106100640554874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2069.9410077604521</v>
      </c>
      <c r="AB74" s="156"/>
      <c r="AC74" s="147">
        <f>AC30*$I$83/4</f>
        <v>4804.4026302474722</v>
      </c>
      <c r="AD74" s="156"/>
      <c r="AE74" s="147">
        <f>AE30*$I$83/4</f>
        <v>4755.2518387133741</v>
      </c>
      <c r="AF74" s="156"/>
      <c r="AG74" s="147">
        <f>AG30*$I$83/4</f>
        <v>4504.9792304251268</v>
      </c>
      <c r="AH74" s="155"/>
      <c r="AI74" s="147">
        <f>SUM(AA74,AC74,AE74,AG74)</f>
        <v>16134.574707146425</v>
      </c>
      <c r="AJ74" s="148">
        <f>(AA74+AC74)</f>
        <v>6874.3436380079238</v>
      </c>
      <c r="AK74" s="147">
        <f>(AE74+AG74)</f>
        <v>9260.231069138501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6305.6998381469857</v>
      </c>
      <c r="AB75" s="158"/>
      <c r="AC75" s="149">
        <f>AA75+AC65-SUM(AC70,AC74)</f>
        <v>7588.7872460657982</v>
      </c>
      <c r="AD75" s="158"/>
      <c r="AE75" s="149">
        <f>AC75+AE65-SUM(AE70,AE74)</f>
        <v>9003.6254455187081</v>
      </c>
      <c r="AF75" s="158"/>
      <c r="AG75" s="149">
        <f>IF(SUM(AG6:AG29)+((AG65-AG70-$J$75)*4/I$83)&lt;1,0,AG65-AG70-$J$75-(1-SUM(AG6:AG29))*I$83/4)</f>
        <v>1623.8108077411553</v>
      </c>
      <c r="AH75" s="134"/>
      <c r="AI75" s="149">
        <f>AI76-SUM(AI70,AI74)</f>
        <v>9003.6254455187081</v>
      </c>
      <c r="AJ75" s="151">
        <f>AJ76-SUM(AJ70,AJ74)</f>
        <v>5964.9764383246438</v>
      </c>
      <c r="AK75" s="149">
        <f>AJ75+AK76-SUM(AK70,AK74)</f>
        <v>9003.6254455187081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49401</v>
      </c>
      <c r="C76" s="39"/>
      <c r="D76" s="38"/>
      <c r="E76" s="32"/>
      <c r="F76" s="32"/>
      <c r="G76" s="32"/>
      <c r="H76" s="31"/>
      <c r="I76" s="39">
        <f>I130*I$83</f>
        <v>56702.239999999998</v>
      </c>
      <c r="J76" s="51">
        <f t="shared" si="44"/>
        <v>56876.850030109104</v>
      </c>
      <c r="K76" s="40">
        <f>SUM(K70:K75)</f>
        <v>1.7392141942015522</v>
      </c>
      <c r="L76" s="22">
        <f>SUM(L70:L75)</f>
        <v>1.2303329955389515</v>
      </c>
      <c r="M76" s="24">
        <f>SUM(M70:M75)</f>
        <v>1.221403493812609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12991.169009931995</v>
      </c>
      <c r="AB76" s="137"/>
      <c r="AC76" s="153">
        <f>AC65</f>
        <v>12326.829009931995</v>
      </c>
      <c r="AD76" s="137"/>
      <c r="AE76" s="153">
        <f>AE65</f>
        <v>12409.429009931995</v>
      </c>
      <c r="AF76" s="137"/>
      <c r="AG76" s="153">
        <f>AG65</f>
        <v>12368.129009931994</v>
      </c>
      <c r="AH76" s="137"/>
      <c r="AI76" s="153">
        <f>SUM(AA76,AC76,AE76,AG76)</f>
        <v>50095.556039727984</v>
      </c>
      <c r="AJ76" s="154">
        <f>SUM(AA76,AC76)</f>
        <v>25317.99801986399</v>
      </c>
      <c r="AK76" s="154">
        <f>SUM(AE76,AG76)</f>
        <v>24777.558019863987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44"/>
        <v>3461.7039677275866</v>
      </c>
      <c r="K77" s="40"/>
      <c r="L77" s="22">
        <f>-(L131*G$37*F$9/F$7)/B$130</f>
        <v>-0.4651430807743433</v>
      </c>
      <c r="M77" s="24">
        <f>-J77/B$76</f>
        <v>-7.0073560610667524E-2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1623.8108077411553</v>
      </c>
      <c r="AB78" s="112"/>
      <c r="AC78" s="112">
        <f>IF(AA75&lt;0,0,AA75)</f>
        <v>6305.6998381469857</v>
      </c>
      <c r="AD78" s="112"/>
      <c r="AE78" s="112">
        <f>AC75</f>
        <v>7588.7872460657982</v>
      </c>
      <c r="AF78" s="112"/>
      <c r="AG78" s="112">
        <f>AE75</f>
        <v>9003.6254455187081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8375.6408459074373</v>
      </c>
      <c r="AB79" s="112"/>
      <c r="AC79" s="112">
        <f>AA79-AA74+AC65-AC70</f>
        <v>12393.18987631327</v>
      </c>
      <c r="AD79" s="112"/>
      <c r="AE79" s="112">
        <f>AC79-AC74+AE65-AE70</f>
        <v>13758.877284232083</v>
      </c>
      <c r="AF79" s="112"/>
      <c r="AG79" s="112">
        <f>AE79-AE74+AG65-AG70</f>
        <v>15132.415483684992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32335.238179999295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5">
        <f t="shared" si="49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 (hides): quantity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5">
        <f t="shared" si="49"/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5">
        <f t="shared" si="49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Goat sales - local: no. sold</v>
      </c>
      <c r="B94" s="75">
        <f t="shared" si="51"/>
        <v>3.5271583901035401E-2</v>
      </c>
      <c r="C94" s="75">
        <f t="shared" si="51"/>
        <v>0</v>
      </c>
      <c r="D94" s="24">
        <f t="shared" si="52"/>
        <v>3.5271583901035401E-2</v>
      </c>
      <c r="H94" s="24">
        <f t="shared" si="53"/>
        <v>0.57212121212121214</v>
      </c>
      <c r="I94" s="22">
        <f t="shared" si="54"/>
        <v>2.0179621334895405E-2</v>
      </c>
      <c r="J94" s="24">
        <f t="shared" si="55"/>
        <v>2.0179621334895405E-2</v>
      </c>
      <c r="K94" s="22">
        <f t="shared" si="56"/>
        <v>3.5271583901035401E-2</v>
      </c>
      <c r="L94" s="22">
        <f t="shared" si="57"/>
        <v>2.0179621334895405E-2</v>
      </c>
      <c r="M94" s="226">
        <f t="shared" si="49"/>
        <v>2.0179621334895405E-2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Sheep sales - local: no. sold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0.57212121212121214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6">
        <f t="shared" si="49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Chicken sales: no. sold</v>
      </c>
      <c r="B96" s="75">
        <f t="shared" si="51"/>
        <v>7.4818511305226607E-3</v>
      </c>
      <c r="C96" s="75">
        <f t="shared" si="51"/>
        <v>0</v>
      </c>
      <c r="D96" s="24">
        <f t="shared" si="52"/>
        <v>7.4818511305226607E-3</v>
      </c>
      <c r="H96" s="24">
        <f t="shared" si="53"/>
        <v>0.7151515151515152</v>
      </c>
      <c r="I96" s="22">
        <f t="shared" si="54"/>
        <v>5.3506571721313578E-3</v>
      </c>
      <c r="J96" s="24">
        <f t="shared" si="55"/>
        <v>5.3506571721313578E-3</v>
      </c>
      <c r="K96" s="22">
        <f t="shared" si="56"/>
        <v>7.4818511305226607E-3</v>
      </c>
      <c r="L96" s="22">
        <f t="shared" si="57"/>
        <v>5.3506571721313578E-3</v>
      </c>
      <c r="M96" s="226">
        <f t="shared" si="49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0.92484848484848492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6">
        <f t="shared" si="49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Tomato</v>
      </c>
      <c r="B98" s="75">
        <f t="shared" si="51"/>
        <v>8.016269068417136E-3</v>
      </c>
      <c r="C98" s="75">
        <f t="shared" si="51"/>
        <v>-8.016269068417136E-3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8.016269068417136E-3</v>
      </c>
      <c r="L98" s="22">
        <f t="shared" si="57"/>
        <v>6.8016828459296916E-3</v>
      </c>
      <c r="M98" s="226">
        <f t="shared" si="49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Onions</v>
      </c>
      <c r="B99" s="75">
        <f t="shared" si="51"/>
        <v>2.4583225143145888E-2</v>
      </c>
      <c r="C99" s="75">
        <f t="shared" si="51"/>
        <v>-2.4583225143145888E-2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2.4583225143145888E-2</v>
      </c>
      <c r="L99" s="22">
        <f t="shared" si="57"/>
        <v>2.0858494060851059E-2</v>
      </c>
      <c r="M99" s="226">
        <f t="shared" si="49"/>
        <v>0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Beetroot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6">
        <f t="shared" si="49"/>
        <v>0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Beans: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5">
        <f t="shared" si="49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Chillies: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6">
        <f t="shared" si="49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6">
        <f t="shared" si="49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Cabbage</v>
      </c>
      <c r="B104" s="75">
        <f t="shared" si="51"/>
        <v>3.2065076273668546E-3</v>
      </c>
      <c r="C104" s="75">
        <f t="shared" si="51"/>
        <v>-3.2065076273668546E-3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3.2065076273668546E-3</v>
      </c>
      <c r="L104" s="22">
        <f t="shared" si="57"/>
        <v>2.7206731383718767E-3</v>
      </c>
      <c r="M104" s="226">
        <f t="shared" si="49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Groundnuts (dry):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6">
        <f t="shared" si="49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Spinach</v>
      </c>
      <c r="B106" s="75">
        <f t="shared" si="51"/>
        <v>2.1376717515779031E-3</v>
      </c>
      <c r="C106" s="75">
        <f t="shared" si="51"/>
        <v>-2.1376717515779031E-3</v>
      </c>
      <c r="D106" s="24">
        <f t="shared" si="52"/>
        <v>0</v>
      </c>
      <c r="H106" s="24">
        <f t="shared" si="53"/>
        <v>0.84848484848484851</v>
      </c>
      <c r="I106" s="22">
        <f t="shared" si="54"/>
        <v>0</v>
      </c>
      <c r="J106" s="24">
        <f>IF(I$32&lt;=1+I132,I106,L106+J$33*(I106-L106))</f>
        <v>1.7268513944316641E-3</v>
      </c>
      <c r="K106" s="22">
        <f t="shared" si="56"/>
        <v>2.1376717515779031E-3</v>
      </c>
      <c r="L106" s="22">
        <f t="shared" si="57"/>
        <v>1.8137820922479177E-3</v>
      </c>
      <c r="M106" s="226">
        <f>(J106)</f>
        <v>1.7268513944316641E-3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Other crop: Potatoes</v>
      </c>
      <c r="B107" s="75">
        <f t="shared" si="51"/>
        <v>4.8632032348397292E-3</v>
      </c>
      <c r="C107" s="75">
        <f t="shared" si="51"/>
        <v>-4.8632032348397292E-3</v>
      </c>
      <c r="D107" s="24">
        <f t="shared" ref="D107:D118" si="59">(B107+C107)</f>
        <v>0</v>
      </c>
      <c r="H107" s="24">
        <f t="shared" ref="H107:H118" si="60">(E53*F53/G53*F$7/F$9)</f>
        <v>0.84848484848484851</v>
      </c>
      <c r="I107" s="22">
        <f t="shared" ref="I107:I118" si="61">(D107*H107)</f>
        <v>0</v>
      </c>
      <c r="J107" s="24">
        <f t="shared" ref="J107:J118" si="62">IF(I$32&lt;=1+I133,I107,L107+J$33*(I107-L107))</f>
        <v>3.9285869223320358E-3</v>
      </c>
      <c r="K107" s="22">
        <f t="shared" ref="K107:K118" si="63">(B107)</f>
        <v>4.8632032348397292E-3</v>
      </c>
      <c r="L107" s="22">
        <f t="shared" ref="L107:L118" si="64">(K107*H107)</f>
        <v>4.1263542598640127E-3</v>
      </c>
      <c r="M107" s="226">
        <f t="shared" ref="M107:M118" si="65">(J107)</f>
        <v>3.9285869223320358E-3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Other crop: pumpkin / butternut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0.84848484848484851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6">
        <f t="shared" si="65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0.67272727272727284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6">
        <f t="shared" si="65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6">
        <f t="shared" si="65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0.32065076273668547</v>
      </c>
      <c r="C111" s="75">
        <f t="shared" si="51"/>
        <v>0</v>
      </c>
      <c r="D111" s="24">
        <f t="shared" si="59"/>
        <v>0.32065076273668547</v>
      </c>
      <c r="H111" s="24">
        <f t="shared" si="60"/>
        <v>0.67272727272727284</v>
      </c>
      <c r="I111" s="22">
        <f t="shared" si="61"/>
        <v>0.21571051311377026</v>
      </c>
      <c r="J111" s="24">
        <f t="shared" si="62"/>
        <v>0.21571051311377026</v>
      </c>
      <c r="K111" s="22">
        <f t="shared" si="63"/>
        <v>0.32065076273668547</v>
      </c>
      <c r="L111" s="22">
        <f t="shared" si="64"/>
        <v>0.21571051311377026</v>
      </c>
      <c r="M111" s="226">
        <f t="shared" si="65"/>
        <v>0.21571051311377026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6">
        <f t="shared" si="65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0.48484848484848486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6">
        <f t="shared" si="65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0.57212121212121214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6">
        <f t="shared" si="65"/>
        <v>0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1.5134716001171555</v>
      </c>
      <c r="C115" s="75">
        <f t="shared" si="51"/>
        <v>0</v>
      </c>
      <c r="D115" s="24">
        <f t="shared" si="59"/>
        <v>1.5134716001171555</v>
      </c>
      <c r="H115" s="24">
        <f t="shared" si="60"/>
        <v>0.7151515151515152</v>
      </c>
      <c r="I115" s="22">
        <f t="shared" si="61"/>
        <v>1.0823615079625719</v>
      </c>
      <c r="J115" s="24">
        <f t="shared" si="62"/>
        <v>1.0823615079625719</v>
      </c>
      <c r="K115" s="22">
        <f t="shared" si="63"/>
        <v>1.5134716001171555</v>
      </c>
      <c r="L115" s="22">
        <f t="shared" si="64"/>
        <v>1.0823615079625719</v>
      </c>
      <c r="M115" s="226">
        <f t="shared" si="65"/>
        <v>1.0823615079625719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0.66695358649230574</v>
      </c>
      <c r="C116" s="75">
        <f t="shared" si="51"/>
        <v>0</v>
      </c>
      <c r="D116" s="24">
        <f t="shared" si="59"/>
        <v>0.66695358649230574</v>
      </c>
      <c r="H116" s="24">
        <f t="shared" si="60"/>
        <v>0.7151515151515152</v>
      </c>
      <c r="I116" s="22">
        <f t="shared" si="61"/>
        <v>0.47697286791570959</v>
      </c>
      <c r="J116" s="24">
        <f t="shared" si="62"/>
        <v>0.47697286791570959</v>
      </c>
      <c r="K116" s="22">
        <f t="shared" si="63"/>
        <v>0.66695358649230574</v>
      </c>
      <c r="L116" s="22">
        <f t="shared" si="64"/>
        <v>0.47697286791570959</v>
      </c>
      <c r="M116" s="226">
        <f t="shared" si="65"/>
        <v>0.47697286791570959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Remittances: no. times per year</v>
      </c>
      <c r="B117" s="75">
        <f t="shared" si="51"/>
        <v>5.3441793789447578E-2</v>
      </c>
      <c r="C117" s="75">
        <f t="shared" si="51"/>
        <v>0</v>
      </c>
      <c r="D117" s="24">
        <f t="shared" si="59"/>
        <v>5.3441793789447578E-2</v>
      </c>
      <c r="H117" s="24">
        <f t="shared" si="60"/>
        <v>0.67272727272727284</v>
      </c>
      <c r="I117" s="22">
        <f t="shared" si="61"/>
        <v>3.5951752185628377E-2</v>
      </c>
      <c r="J117" s="24">
        <f t="shared" si="62"/>
        <v>3.5951752185628377E-2</v>
      </c>
      <c r="K117" s="22">
        <f t="shared" si="63"/>
        <v>5.3441793789447578E-2</v>
      </c>
      <c r="L117" s="22">
        <f t="shared" si="64"/>
        <v>3.5951752185628377E-2</v>
      </c>
      <c r="M117" s="226">
        <f t="shared" si="65"/>
        <v>3.5951752185628377E-2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6">
        <f t="shared" si="65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2.6400780549925003</v>
      </c>
      <c r="C119" s="22">
        <f>SUM(C91:C118)</f>
        <v>-4.2806876825347513E-2</v>
      </c>
      <c r="D119" s="24">
        <f>SUM(D91:D118)</f>
        <v>2.5972711781671523</v>
      </c>
      <c r="E119" s="22"/>
      <c r="F119" s="2"/>
      <c r="G119" s="2"/>
      <c r="H119" s="31"/>
      <c r="I119" s="22">
        <f>SUM(I91:I118)</f>
        <v>1.8365269196847067</v>
      </c>
      <c r="J119" s="24">
        <f>SUM(J91:J118)</f>
        <v>1.8421823580014705</v>
      </c>
      <c r="K119" s="22">
        <f>SUM(K91:K118)</f>
        <v>2.6400780549925003</v>
      </c>
      <c r="L119" s="22">
        <f>SUM(L91:L118)</f>
        <v>1.8728479060819714</v>
      </c>
      <c r="M119" s="57">
        <f t="shared" si="49"/>
        <v>1.8421823580014705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0.80834294960379893</v>
      </c>
      <c r="J124" s="235">
        <f>IF(SUMPRODUCT($B$124:$B124,$H$124:$H124)&lt;J$119,($B124*$H124),J$119)</f>
        <v>0.80834294960379893</v>
      </c>
      <c r="K124" s="29">
        <f>(B124)</f>
        <v>0.95268990489019156</v>
      </c>
      <c r="L124" s="29">
        <f>IF(SUMPRODUCT($B$124:$B124,$H$124:$H124)&lt;L$119,($B124*$H124),L$119)</f>
        <v>0.80834294960379893</v>
      </c>
      <c r="M124" s="238">
        <f t="shared" si="66"/>
        <v>0.80834294960379893</v>
      </c>
      <c r="N124" s="58"/>
      <c r="O124" s="174">
        <f>B124*H124</f>
        <v>0.80834294960379893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238">
        <f t="shared" si="66"/>
        <v>0.74425093332360459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8.5506870063116122E-2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8.5506870063116122E-2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6"/>
        <v>0</v>
      </c>
      <c r="N127" s="58"/>
      <c r="O127" s="174">
        <f>B127*H127</f>
        <v>6.1150367681501235E-2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0.65941317907845587</v>
      </c>
      <c r="C128" s="2"/>
      <c r="D128" s="31"/>
      <c r="E128" s="2"/>
      <c r="F128" s="2"/>
      <c r="G128" s="2"/>
      <c r="H128" s="24"/>
      <c r="I128" s="29">
        <f>(I30)</f>
        <v>1.0281839700809079</v>
      </c>
      <c r="J128" s="226">
        <f>(J30)</f>
        <v>0.40170948695492159</v>
      </c>
      <c r="K128" s="29">
        <f>(B128)</f>
        <v>0.65941317907845587</v>
      </c>
      <c r="L128" s="29">
        <f>IF(L124=L119,0,(L119-L124)/(B119-B124)*K128)</f>
        <v>0.41599711213657919</v>
      </c>
      <c r="M128" s="238">
        <f t="shared" si="66"/>
        <v>0.40170948695492159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2.6400780549925003</v>
      </c>
      <c r="C130" s="2"/>
      <c r="D130" s="31"/>
      <c r="E130" s="2"/>
      <c r="F130" s="2"/>
      <c r="G130" s="2"/>
      <c r="H130" s="24"/>
      <c r="I130" s="29">
        <f>(I119)</f>
        <v>1.8365269196847067</v>
      </c>
      <c r="J130" s="226">
        <f>(J119)</f>
        <v>1.8421823580014705</v>
      </c>
      <c r="K130" s="29">
        <f>(B130)</f>
        <v>2.6400780549925003</v>
      </c>
      <c r="L130" s="29">
        <f>(L119)</f>
        <v>1.8728479060819714</v>
      </c>
      <c r="M130" s="238">
        <f t="shared" si="66"/>
        <v>1.8421823580014705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0.11212101188085466</v>
      </c>
      <c r="K131" s="29"/>
      <c r="L131" s="29">
        <f>IF(I131&lt;SUM(L126:L127),0,I131-(SUM(L126:L127)))</f>
        <v>0.7442509333236047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196" operator="equal">
      <formula>16</formula>
    </cfRule>
    <cfRule type="cellIs" dxfId="570" priority="197" operator="equal">
      <formula>15</formula>
    </cfRule>
    <cfRule type="cellIs" dxfId="569" priority="198" operator="equal">
      <formula>14</formula>
    </cfRule>
    <cfRule type="cellIs" dxfId="568" priority="199" operator="equal">
      <formula>13</formula>
    </cfRule>
    <cfRule type="cellIs" dxfId="567" priority="200" operator="equal">
      <formula>12</formula>
    </cfRule>
    <cfRule type="cellIs" dxfId="566" priority="201" operator="equal">
      <formula>11</formula>
    </cfRule>
    <cfRule type="cellIs" dxfId="565" priority="202" operator="equal">
      <formula>10</formula>
    </cfRule>
    <cfRule type="cellIs" dxfId="564" priority="203" operator="equal">
      <formula>9</formula>
    </cfRule>
    <cfRule type="cellIs" dxfId="563" priority="204" operator="equal">
      <formula>8</formula>
    </cfRule>
    <cfRule type="cellIs" dxfId="562" priority="205" operator="equal">
      <formula>7</formula>
    </cfRule>
    <cfRule type="cellIs" dxfId="561" priority="206" operator="equal">
      <formula>6</formula>
    </cfRule>
    <cfRule type="cellIs" dxfId="560" priority="207" operator="equal">
      <formula>5</formula>
    </cfRule>
    <cfRule type="cellIs" dxfId="559" priority="208" operator="equal">
      <formula>4</formula>
    </cfRule>
    <cfRule type="cellIs" dxfId="558" priority="209" operator="equal">
      <formula>3</formula>
    </cfRule>
    <cfRule type="cellIs" dxfId="557" priority="210" operator="equal">
      <formula>2</formula>
    </cfRule>
    <cfRule type="cellIs" dxfId="556" priority="211" operator="equal">
      <formula>1</formula>
    </cfRule>
  </conditionalFormatting>
  <conditionalFormatting sqref="N29">
    <cfRule type="cellIs" dxfId="555" priority="180" operator="equal">
      <formula>16</formula>
    </cfRule>
    <cfRule type="cellIs" dxfId="554" priority="181" operator="equal">
      <formula>15</formula>
    </cfRule>
    <cfRule type="cellIs" dxfId="553" priority="182" operator="equal">
      <formula>14</formula>
    </cfRule>
    <cfRule type="cellIs" dxfId="552" priority="183" operator="equal">
      <formula>13</formula>
    </cfRule>
    <cfRule type="cellIs" dxfId="551" priority="184" operator="equal">
      <formula>12</formula>
    </cfRule>
    <cfRule type="cellIs" dxfId="550" priority="185" operator="equal">
      <formula>11</formula>
    </cfRule>
    <cfRule type="cellIs" dxfId="549" priority="186" operator="equal">
      <formula>10</formula>
    </cfRule>
    <cfRule type="cellIs" dxfId="548" priority="187" operator="equal">
      <formula>9</formula>
    </cfRule>
    <cfRule type="cellIs" dxfId="547" priority="188" operator="equal">
      <formula>8</formula>
    </cfRule>
    <cfRule type="cellIs" dxfId="546" priority="189" operator="equal">
      <formula>7</formula>
    </cfRule>
    <cfRule type="cellIs" dxfId="545" priority="190" operator="equal">
      <formula>6</formula>
    </cfRule>
    <cfRule type="cellIs" dxfId="544" priority="191" operator="equal">
      <formula>5</formula>
    </cfRule>
    <cfRule type="cellIs" dxfId="543" priority="192" operator="equal">
      <formula>4</formula>
    </cfRule>
    <cfRule type="cellIs" dxfId="542" priority="193" operator="equal">
      <formula>3</formula>
    </cfRule>
    <cfRule type="cellIs" dxfId="541" priority="194" operator="equal">
      <formula>2</formula>
    </cfRule>
    <cfRule type="cellIs" dxfId="540" priority="195" operator="equal">
      <formula>1</formula>
    </cfRule>
  </conditionalFormatting>
  <conditionalFormatting sqref="N119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7:N28">
    <cfRule type="cellIs" dxfId="523" priority="116" operator="equal">
      <formula>16</formula>
    </cfRule>
    <cfRule type="cellIs" dxfId="522" priority="117" operator="equal">
      <formula>15</formula>
    </cfRule>
    <cfRule type="cellIs" dxfId="521" priority="118" operator="equal">
      <formula>14</formula>
    </cfRule>
    <cfRule type="cellIs" dxfId="520" priority="119" operator="equal">
      <formula>13</formula>
    </cfRule>
    <cfRule type="cellIs" dxfId="519" priority="120" operator="equal">
      <formula>12</formula>
    </cfRule>
    <cfRule type="cellIs" dxfId="518" priority="121" operator="equal">
      <formula>11</formula>
    </cfRule>
    <cfRule type="cellIs" dxfId="517" priority="122" operator="equal">
      <formula>10</formula>
    </cfRule>
    <cfRule type="cellIs" dxfId="516" priority="123" operator="equal">
      <formula>9</formula>
    </cfRule>
    <cfRule type="cellIs" dxfId="515" priority="124" operator="equal">
      <formula>8</formula>
    </cfRule>
    <cfRule type="cellIs" dxfId="514" priority="125" operator="equal">
      <formula>7</formula>
    </cfRule>
    <cfRule type="cellIs" dxfId="513" priority="126" operator="equal">
      <formula>6</formula>
    </cfRule>
    <cfRule type="cellIs" dxfId="512" priority="127" operator="equal">
      <formula>5</formula>
    </cfRule>
    <cfRule type="cellIs" dxfId="511" priority="128" operator="equal">
      <formula>4</formula>
    </cfRule>
    <cfRule type="cellIs" dxfId="510" priority="129" operator="equal">
      <formula>3</formula>
    </cfRule>
    <cfRule type="cellIs" dxfId="509" priority="130" operator="equal">
      <formula>2</formula>
    </cfRule>
    <cfRule type="cellIs" dxfId="508" priority="131" operator="equal">
      <formula>1</formula>
    </cfRule>
  </conditionalFormatting>
  <conditionalFormatting sqref="N113:N118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2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1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91:N104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105:N110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6:N26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N119" sqref="N119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ZANFL: 59207</v>
      </c>
      <c r="B1" s="242" t="str">
        <f>[1]WB!$A$2</f>
        <v>Northern inland open access farming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8" t="s">
        <v>105</v>
      </c>
      <c r="AA1" s="259"/>
      <c r="AB1" s="258" t="s">
        <v>106</v>
      </c>
      <c r="AC1" s="259"/>
      <c r="AD1" s="258" t="s">
        <v>107</v>
      </c>
      <c r="AE1" s="259"/>
      <c r="AF1" s="258" t="s">
        <v>108</v>
      </c>
      <c r="AG1" s="259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6" t="s">
        <v>109</v>
      </c>
      <c r="AA2" s="260"/>
      <c r="AB2" s="256" t="s">
        <v>110</v>
      </c>
      <c r="AC2" s="260"/>
      <c r="AD2" s="256" t="s">
        <v>111</v>
      </c>
      <c r="AE2" s="260"/>
      <c r="AF2" s="256" t="s">
        <v>112</v>
      </c>
      <c r="AG2" s="260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4.0043118306351183E-2</v>
      </c>
      <c r="C6" s="215">
        <f>IF([1]Summ!F1044="",0,[1]Summ!F1044)</f>
        <v>0</v>
      </c>
      <c r="D6" s="24">
        <f t="shared" ref="D6:D16" si="0">SUM(B6,C6)</f>
        <v>4.0043118306351183E-2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2.0021559153175592E-2</v>
      </c>
      <c r="J6" s="24">
        <f t="shared" ref="J6:J13" si="3">IF(I$32&lt;=1+I$131,I6,B6*H6+J$33*(I6-B6*H6))</f>
        <v>2.0021559153175592E-2</v>
      </c>
      <c r="K6" s="22">
        <f t="shared" ref="K6:K31" si="4">B6</f>
        <v>4.0043118306351183E-2</v>
      </c>
      <c r="L6" s="22">
        <f t="shared" ref="L6:L29" si="5">IF(K6="","",K6*H6)</f>
        <v>2.0021559153175592E-2</v>
      </c>
      <c r="M6" s="222">
        <f t="shared" ref="M6:M31" si="6">J6</f>
        <v>2.0021559153175592E-2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8.0086236612702366E-2</v>
      </c>
      <c r="Z6" s="116">
        <v>0.17</v>
      </c>
      <c r="AA6" s="121">
        <f>$M6*Z6*4</f>
        <v>1.3614660224159403E-2</v>
      </c>
      <c r="AB6" s="116">
        <v>0.17</v>
      </c>
      <c r="AC6" s="121">
        <f t="shared" ref="AC6:AC29" si="7">$M6*AB6*4</f>
        <v>1.3614660224159403E-2</v>
      </c>
      <c r="AD6" s="116">
        <v>0.33</v>
      </c>
      <c r="AE6" s="121">
        <f t="shared" ref="AE6:AE29" si="8">$M6*AD6*4</f>
        <v>2.6428458082191783E-2</v>
      </c>
      <c r="AF6" s="122">
        <f>1-SUM(Z6,AB6,AD6)</f>
        <v>0.32999999999999996</v>
      </c>
      <c r="AG6" s="121">
        <f>$M6*AF6*4</f>
        <v>2.6428458082191776E-2</v>
      </c>
      <c r="AH6" s="123">
        <f>SUM(Z6,AB6,AD6,AF6)</f>
        <v>1</v>
      </c>
      <c r="AI6" s="183">
        <f>SUM(AA6,AC6,AE6,AG6)/4</f>
        <v>2.0021559153175592E-2</v>
      </c>
      <c r="AJ6" s="120">
        <f>(AA6+AC6)/2</f>
        <v>1.3614660224159403E-2</v>
      </c>
      <c r="AK6" s="119">
        <f>(AE6+AG6)/2</f>
        <v>2.642845808219178E-2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3.242428393524284E-2</v>
      </c>
      <c r="C7" s="215">
        <f>IF([1]Summ!F1045="",0,[1]Summ!F1045)</f>
        <v>0</v>
      </c>
      <c r="D7" s="24">
        <f t="shared" si="0"/>
        <v>3.242428393524284E-2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1.621214196762142E-2</v>
      </c>
      <c r="J7" s="24">
        <f t="shared" si="3"/>
        <v>1.621214196762142E-2</v>
      </c>
      <c r="K7" s="22">
        <f t="shared" si="4"/>
        <v>3.242428393524284E-2</v>
      </c>
      <c r="L7" s="22">
        <f t="shared" si="5"/>
        <v>1.621214196762142E-2</v>
      </c>
      <c r="M7" s="222">
        <f t="shared" si="6"/>
        <v>1.621214196762142E-2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3139.0437157892707</v>
      </c>
      <c r="S7" s="220">
        <f>IF($B$81=0,0,(SUMIF($N$6:$N$28,$U7,L$6:L$28)+SUMIF($N$91:$N$118,$U7,L$91:L$118))*$I$83*Poor!$B$81/$B$81)</f>
        <v>3596.0755863756849</v>
      </c>
      <c r="T7" s="220">
        <f>IF($B$81=0,0,(SUMIF($N$6:$N$28,$U7,M$6:M$28)+SUMIF($N$91:$N$118,$U7,M$91:M$118))*$I$83*Poor!$B$81/$B$81)</f>
        <v>3693.7273580226442</v>
      </c>
      <c r="U7" s="221">
        <v>1</v>
      </c>
      <c r="V7" s="56"/>
      <c r="W7" s="115"/>
      <c r="X7" s="124">
        <v>4</v>
      </c>
      <c r="Y7" s="183">
        <f t="shared" ref="Y7:Y29" si="9">M7*4</f>
        <v>6.4848567870485679E-2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6.4848567870485679E-2</v>
      </c>
      <c r="AH7" s="123">
        <f t="shared" ref="AH7:AH30" si="12">SUM(Z7,AB7,AD7,AF7)</f>
        <v>1</v>
      </c>
      <c r="AI7" s="183">
        <f t="shared" ref="AI7:AI30" si="13">SUM(AA7,AC7,AE7,AG7)/4</f>
        <v>1.621214196762142E-2</v>
      </c>
      <c r="AJ7" s="120">
        <f t="shared" ref="AJ7:AJ31" si="14">(AA7+AC7)/2</f>
        <v>0</v>
      </c>
      <c r="AK7" s="119">
        <f t="shared" ref="AK7:AK31" si="15">(AE7+AG7)/2</f>
        <v>3.242428393524284E-2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2.8333333333333335E-2</v>
      </c>
      <c r="C8" s="215">
        <f>IF([1]Summ!F1046="",0,[1]Summ!F1046)</f>
        <v>0</v>
      </c>
      <c r="D8" s="24">
        <f t="shared" si="0"/>
        <v>2.8333333333333335E-2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3254.1961747752011</v>
      </c>
      <c r="S8" s="220">
        <f>IF($B$81=0,0,(SUMIF($N$6:$N$28,$U8,L$6:L$28)+SUMIF($N$91:$N$118,$U8,L$91:L$118))*$I$83*Poor!$B$81/$B$81)</f>
        <v>3012.7999999999997</v>
      </c>
      <c r="T8" s="220">
        <f>IF($B$81=0,0,(SUMIF($N$6:$N$28,$U8,M$6:M$28)+SUMIF($N$91:$N$118,$U8,M$91:M$118))*$I$83*Poor!$B$81/$B$81)</f>
        <v>350.00000000000006</v>
      </c>
      <c r="U8" s="221">
        <v>2</v>
      </c>
      <c r="V8" s="184"/>
      <c r="W8" s="115"/>
      <c r="X8" s="124">
        <v>1</v>
      </c>
      <c r="Y8" s="183">
        <f t="shared" si="9"/>
        <v>0.11333333333333334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0.11333333333333334</v>
      </c>
      <c r="AH8" s="123">
        <f t="shared" si="12"/>
        <v>1</v>
      </c>
      <c r="AI8" s="183">
        <f t="shared" si="13"/>
        <v>2.8333333333333335E-2</v>
      </c>
      <c r="AJ8" s="120">
        <f t="shared" si="14"/>
        <v>0</v>
      </c>
      <c r="AK8" s="119">
        <f t="shared" si="15"/>
        <v>5.6666666666666671E-2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6.1511547945205483E-2</v>
      </c>
      <c r="C9" s="215">
        <f>IF([1]Summ!F1047="",0,[1]Summ!F1047)</f>
        <v>0</v>
      </c>
      <c r="D9" s="24">
        <f t="shared" si="0"/>
        <v>6.1511547945205483E-2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6.7047587260273975E-2</v>
      </c>
      <c r="J9" s="24">
        <f t="shared" si="3"/>
        <v>6.7047587260273975E-2</v>
      </c>
      <c r="K9" s="22">
        <f t="shared" si="4"/>
        <v>6.1511547945205483E-2</v>
      </c>
      <c r="L9" s="22">
        <f t="shared" si="5"/>
        <v>6.7047587260273975E-2</v>
      </c>
      <c r="M9" s="222">
        <f t="shared" si="6"/>
        <v>6.7047587260273975E-2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2050.5158453221352</v>
      </c>
      <c r="S9" s="220">
        <f>IF($B$81=0,0,(SUMIF($N$6:$N$28,$U9,L$6:L$28)+SUMIF($N$91:$N$118,$U9,L$91:L$118))*$I$83*Poor!$B$81/$B$81)</f>
        <v>1118.7050922141784</v>
      </c>
      <c r="T9" s="220">
        <f>IF($B$81=0,0,(SUMIF($N$6:$N$28,$U9,M$6:M$28)+SUMIF($N$91:$N$118,$U9,M$91:M$118))*$I$83*Poor!$B$81/$B$81)</f>
        <v>1118.7050922141784</v>
      </c>
      <c r="U9" s="221">
        <v>3</v>
      </c>
      <c r="V9" s="56"/>
      <c r="W9" s="115"/>
      <c r="X9" s="124">
        <v>1</v>
      </c>
      <c r="Y9" s="183">
        <f t="shared" si="9"/>
        <v>0.2681903490410959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0.2681903490410959</v>
      </c>
      <c r="AH9" s="123">
        <f t="shared" si="12"/>
        <v>1</v>
      </c>
      <c r="AI9" s="183">
        <f t="shared" si="13"/>
        <v>6.7047587260273975E-2</v>
      </c>
      <c r="AJ9" s="120">
        <f t="shared" si="14"/>
        <v>0</v>
      </c>
      <c r="AK9" s="119">
        <f t="shared" si="15"/>
        <v>0.13409517452054795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Tomato</v>
      </c>
      <c r="B10" s="215">
        <f>IF([1]Summ!E1048="",0,[1]Summ!E1048)</f>
        <v>7.8455790784557919E-5</v>
      </c>
      <c r="C10" s="215">
        <f>IF([1]Summ!F1048="",0,[1]Summ!F1048)</f>
        <v>4.184308841843089E-4</v>
      </c>
      <c r="D10" s="24">
        <f t="shared" si="0"/>
        <v>4.9688667496886681E-4</v>
      </c>
      <c r="E10" s="26">
        <v>1</v>
      </c>
      <c r="H10" s="24">
        <f t="shared" si="1"/>
        <v>1</v>
      </c>
      <c r="I10" s="22">
        <f t="shared" si="2"/>
        <v>4.9688667496886681E-4</v>
      </c>
      <c r="J10" s="24">
        <f t="shared" si="3"/>
        <v>4.9688667496886681E-4</v>
      </c>
      <c r="K10" s="22">
        <f t="shared" si="4"/>
        <v>7.8455790784557919E-5</v>
      </c>
      <c r="L10" s="22">
        <f t="shared" si="5"/>
        <v>7.8455790784557919E-5</v>
      </c>
      <c r="M10" s="222">
        <f t="shared" si="6"/>
        <v>4.9688667496886681E-4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1.9875466998754672E-3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1.9875466998754672E-3</v>
      </c>
      <c r="AH10" s="123">
        <f t="shared" si="12"/>
        <v>1</v>
      </c>
      <c r="AI10" s="183">
        <f t="shared" si="13"/>
        <v>4.9688667496886681E-4</v>
      </c>
      <c r="AJ10" s="120">
        <f t="shared" si="14"/>
        <v>0</v>
      </c>
      <c r="AK10" s="119">
        <f t="shared" si="15"/>
        <v>9.9377334993773362E-4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Onions</v>
      </c>
      <c r="B11" s="215">
        <f>IF([1]Summ!E1049="",0,[1]Summ!E1049)</f>
        <v>-1.0638231631382316E-3</v>
      </c>
      <c r="C11" s="215">
        <f>IF([1]Summ!F1049="",0,[1]Summ!F1049)</f>
        <v>1.0638231631382316E-3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-1.0638231631382316E-3</v>
      </c>
      <c r="L11" s="22">
        <f t="shared" si="5"/>
        <v>-1.0638231631382316E-3</v>
      </c>
      <c r="M11" s="222">
        <f t="shared" si="6"/>
        <v>0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6503.0997442475618</v>
      </c>
      <c r="S11" s="220">
        <f>IF($B$81=0,0,(SUMIF($N$6:$N$28,$U11,L$6:L$28)+SUMIF($N$91:$N$118,$U11,L$91:L$118))*$I$83*Poor!$B$81/$B$81)</f>
        <v>4092.7119999999995</v>
      </c>
      <c r="T11" s="220">
        <f>IF($B$81=0,0,(SUMIF($N$6:$N$28,$U11,M$6:M$28)+SUMIF($N$91:$N$118,$U11,M$91:M$118))*$I$83*Poor!$B$81/$B$81)</f>
        <v>2845.6879999999996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Beetroot</v>
      </c>
      <c r="B12" s="215">
        <f>IF([1]Summ!E1050="",0,[1]Summ!E1050)</f>
        <v>1.8212951432129514E-4</v>
      </c>
      <c r="C12" s="215">
        <f>IF([1]Summ!F1050="",0,[1]Summ!F1050)</f>
        <v>-1.8212951432129514E-4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1.8212951432129514E-4</v>
      </c>
      <c r="L12" s="22">
        <f t="shared" si="5"/>
        <v>1.8212951432129514E-4</v>
      </c>
      <c r="M12" s="222">
        <f t="shared" si="6"/>
        <v>0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Beans: kg produced</v>
      </c>
      <c r="B13" s="215">
        <f>IF([1]Summ!E1051="",0,[1]Summ!E1051)</f>
        <v>8.8356164383561649E-3</v>
      </c>
      <c r="C13" s="215">
        <f>IF([1]Summ!F1051="",0,[1]Summ!F1051)</f>
        <v>0</v>
      </c>
      <c r="D13" s="24">
        <f t="shared" si="0"/>
        <v>8.8356164383561649E-3</v>
      </c>
      <c r="E13" s="26">
        <v>1</v>
      </c>
      <c r="H13" s="24">
        <f t="shared" si="1"/>
        <v>1</v>
      </c>
      <c r="I13" s="22">
        <f t="shared" si="2"/>
        <v>8.8356164383561649E-3</v>
      </c>
      <c r="J13" s="24">
        <f t="shared" si="3"/>
        <v>8.8356164383561649E-3</v>
      </c>
      <c r="K13" s="22">
        <f t="shared" si="4"/>
        <v>8.8356164383561649E-3</v>
      </c>
      <c r="L13" s="22">
        <f t="shared" si="5"/>
        <v>8.8356164383561649E-3</v>
      </c>
      <c r="M13" s="223">
        <f t="shared" si="6"/>
        <v>8.8356164383561649E-3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25541.766113170444</v>
      </c>
      <c r="S13" s="220">
        <f>IF($B$81=0,0,(SUMIF($N$6:$N$28,$U13,L$6:L$28)+SUMIF($N$91:$N$118,$U13,L$91:L$118))*$I$83*Poor!$B$81/$B$81)</f>
        <v>19704.971287193752</v>
      </c>
      <c r="T13" s="220">
        <f>IF($B$81=0,0,(SUMIF($N$6:$N$28,$U13,M$6:M$28)+SUMIF($N$91:$N$118,$U13,M$91:M$118))*$I$83*Poor!$B$81/$B$81)</f>
        <v>19704.971287193752</v>
      </c>
      <c r="U13" s="221">
        <v>7</v>
      </c>
      <c r="V13" s="56"/>
      <c r="W13" s="110"/>
      <c r="X13" s="118"/>
      <c r="Y13" s="183">
        <f t="shared" si="9"/>
        <v>3.5342465753424659E-2</v>
      </c>
      <c r="Z13" s="116">
        <v>1</v>
      </c>
      <c r="AA13" s="121">
        <f>$M13*Z13*4</f>
        <v>3.5342465753424659E-2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8.8356164383561649E-3</v>
      </c>
      <c r="AJ13" s="120">
        <f t="shared" si="14"/>
        <v>1.767123287671233E-2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Chillies: kg produced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Sweet potatoes</v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>
        <v>1</v>
      </c>
      <c r="O15" s="2"/>
      <c r="P15" s="22"/>
      <c r="Q15" s="59" t="s">
        <v>127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Cabbage</v>
      </c>
      <c r="B16" s="215">
        <f>IF([1]Summ!E1054="",0,[1]Summ!E1054)</f>
        <v>4.9427148194271481E-4</v>
      </c>
      <c r="C16" s="215">
        <f>IF([1]Summ!F1054="",0,[1]Summ!F1054)</f>
        <v>1.7299501867995015E-3</v>
      </c>
      <c r="D16" s="24">
        <f t="shared" si="0"/>
        <v>2.2242216687422163E-3</v>
      </c>
      <c r="E16" s="26">
        <v>1</v>
      </c>
      <c r="F16" s="22"/>
      <c r="H16" s="24">
        <f t="shared" si="1"/>
        <v>1</v>
      </c>
      <c r="I16" s="22">
        <f t="shared" si="2"/>
        <v>2.2242216687422163E-3</v>
      </c>
      <c r="J16" s="24">
        <f>IF(I$32&lt;=1+I131,I16,B16*H16+J$33*(I16-B16*H16))</f>
        <v>2.2242216687422163E-3</v>
      </c>
      <c r="K16" s="22">
        <f t="shared" si="4"/>
        <v>4.9427148194271481E-4</v>
      </c>
      <c r="L16" s="22">
        <f t="shared" si="5"/>
        <v>4.9427148194271481E-4</v>
      </c>
      <c r="M16" s="222">
        <f t="shared" si="6"/>
        <v>2.2242216687422163E-3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8.8968866749688652E-3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8.8968866749688652E-3</v>
      </c>
      <c r="AH16" s="123">
        <f t="shared" si="12"/>
        <v>1</v>
      </c>
      <c r="AI16" s="183">
        <f t="shared" si="13"/>
        <v>2.2242216687422163E-3</v>
      </c>
      <c r="AJ16" s="120">
        <f t="shared" si="14"/>
        <v>0</v>
      </c>
      <c r="AK16" s="119">
        <f t="shared" si="15"/>
        <v>4.4484433374844326E-3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</v>
      </c>
      <c r="B18" s="215">
        <f>IF([1]Summ!E1056="",0,[1]Summ!E1056)</f>
        <v>-1.8212951432129514E-4</v>
      </c>
      <c r="C18" s="215">
        <f>IF([1]Summ!F1056="",0,[1]Summ!F1056)</f>
        <v>8.3779576587795764E-4</v>
      </c>
      <c r="D18" s="24">
        <f t="shared" ref="D18:D20" si="18">SUM(B18,C18)</f>
        <v>6.556662515566625E-4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6.556662515566625E-4</v>
      </c>
      <c r="J18" s="24">
        <f t="shared" si="17"/>
        <v>-1.4230439852266948E-4</v>
      </c>
      <c r="K18" s="22">
        <f t="shared" ref="K18:K20" si="21">B18</f>
        <v>-1.8212951432129514E-4</v>
      </c>
      <c r="L18" s="22">
        <f t="shared" ref="L18:L20" si="22">IF(K18="","",K18*H18)</f>
        <v>-1.8212951432129514E-4</v>
      </c>
      <c r="M18" s="223">
        <f t="shared" ref="M18:M20" si="23">J18</f>
        <v>-1.4230439852266948E-4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3705.3892346012058</v>
      </c>
      <c r="S18" s="220">
        <f>IF($B$81=0,0,(SUMIF($N$6:$N$28,$U18,L$6:L$28)+SUMIF($N$91:$N$118,$U18,L$91:L$118))*$I$83*Poor!$B$81/$B$81)</f>
        <v>4043.1170671912068</v>
      </c>
      <c r="T18" s="220">
        <f>IF($B$81=0,0,(SUMIF($N$6:$N$28,$U18,M$6:M$28)+SUMIF($N$91:$N$118,$U18,M$91:M$118))*$I$83*Poor!$B$81/$B$81)</f>
        <v>4043.1170671912068</v>
      </c>
      <c r="U18" s="221">
        <v>12</v>
      </c>
      <c r="V18" s="56"/>
      <c r="W18" s="110"/>
      <c r="X18" s="118"/>
      <c r="Y18" s="183">
        <f t="shared" ref="Y18:Y20" si="24">M18*4</f>
        <v>-5.6921759409067792E-4</v>
      </c>
      <c r="Z18" s="116">
        <v>1.2941</v>
      </c>
      <c r="AA18" s="121">
        <f t="shared" ref="AA18:AA20" si="25">$M18*Z18*4</f>
        <v>-7.3662448851274627E-4</v>
      </c>
      <c r="AB18" s="116">
        <v>1.1765000000000001</v>
      </c>
      <c r="AC18" s="121">
        <f t="shared" ref="AC18:AC20" si="26">$M18*AB18*4</f>
        <v>-6.6968449944768268E-4</v>
      </c>
      <c r="AD18" s="116">
        <v>1.2353000000000001</v>
      </c>
      <c r="AE18" s="121">
        <f t="shared" ref="AE18:AE20" si="27">$M18*AD18*4</f>
        <v>-7.0315449398021448E-4</v>
      </c>
      <c r="AF18" s="122">
        <f t="shared" ref="AF18:AF20" si="28">1-SUM(Z18,AB18,AD18)</f>
        <v>-2.7059000000000002</v>
      </c>
      <c r="AG18" s="121">
        <f t="shared" ref="AG18:AG20" si="29">$M18*AF18*4</f>
        <v>1.5402458878499654E-3</v>
      </c>
      <c r="AH18" s="123">
        <f t="shared" ref="AH18:AH20" si="30">SUM(Z18,AB18,AD18,AF18)</f>
        <v>1</v>
      </c>
      <c r="AI18" s="183">
        <f t="shared" ref="AI18:AI20" si="31">SUM(AA18,AC18,AE18,AG18)/4</f>
        <v>-1.4230439852266951E-4</v>
      </c>
      <c r="AJ18" s="120">
        <f t="shared" ref="AJ18:AJ20" si="32">(AA18+AC18)/2</f>
        <v>-7.0315449398021448E-4</v>
      </c>
      <c r="AK18" s="119">
        <f t="shared" ref="AK18:AK20" si="33">(AE18+AG18)/2</f>
        <v>4.1854569693487546E-4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Potatoes</v>
      </c>
      <c r="B19" s="215">
        <f>IF([1]Summ!E1057="",0,[1]Summ!E1057)</f>
        <v>1.1731008717310086E-2</v>
      </c>
      <c r="C19" s="215">
        <f>IF([1]Summ!F1057="",0,[1]Summ!F1057)</f>
        <v>1.955168119551683E-3</v>
      </c>
      <c r="D19" s="24">
        <f t="shared" si="18"/>
        <v>1.3686176836861769E-2</v>
      </c>
      <c r="E19" s="26">
        <v>1</v>
      </c>
      <c r="F19" s="22"/>
      <c r="H19" s="24">
        <f t="shared" si="19"/>
        <v>1</v>
      </c>
      <c r="I19" s="22">
        <f t="shared" si="20"/>
        <v>1.3686176836861769E-2</v>
      </c>
      <c r="J19" s="24">
        <f t="shared" si="17"/>
        <v>1.1823948786881014E-2</v>
      </c>
      <c r="K19" s="22">
        <f t="shared" si="21"/>
        <v>1.1731008717310086E-2</v>
      </c>
      <c r="L19" s="22">
        <f t="shared" si="22"/>
        <v>1.1731008717310086E-2</v>
      </c>
      <c r="M19" s="223">
        <f t="shared" si="23"/>
        <v>1.1823948786881014E-2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4.7295795147524057E-2</v>
      </c>
      <c r="Z19" s="116">
        <v>2.2940999999999998</v>
      </c>
      <c r="AA19" s="121">
        <f t="shared" si="25"/>
        <v>0.10850128364793493</v>
      </c>
      <c r="AB19" s="116">
        <v>2.1764999999999999</v>
      </c>
      <c r="AC19" s="121">
        <f t="shared" si="26"/>
        <v>0.1029392981385861</v>
      </c>
      <c r="AD19" s="116">
        <v>2.2353000000000001</v>
      </c>
      <c r="AE19" s="121">
        <f t="shared" si="27"/>
        <v>0.10572029089326053</v>
      </c>
      <c r="AF19" s="122">
        <f t="shared" si="28"/>
        <v>-5.7058999999999997</v>
      </c>
      <c r="AG19" s="121">
        <f t="shared" si="29"/>
        <v>-0.26986507753225752</v>
      </c>
      <c r="AH19" s="123">
        <f t="shared" si="30"/>
        <v>1</v>
      </c>
      <c r="AI19" s="183">
        <f t="shared" si="31"/>
        <v>1.1823948786881006E-2</v>
      </c>
      <c r="AJ19" s="120">
        <f t="shared" si="32"/>
        <v>0.10572029089326052</v>
      </c>
      <c r="AK19" s="119">
        <f t="shared" si="33"/>
        <v>-8.2072393319498504E-2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Other crop: pumpkin / butternut</v>
      </c>
      <c r="B20" s="215">
        <f>IF([1]Summ!E1058="",0,[1]Summ!E1058)</f>
        <v>1.0167198007471981E-3</v>
      </c>
      <c r="C20" s="215">
        <f>IF([1]Summ!F1058="",0,[1]Summ!F1058)</f>
        <v>0</v>
      </c>
      <c r="D20" s="24">
        <f t="shared" si="18"/>
        <v>1.0167198007471981E-3</v>
      </c>
      <c r="E20" s="26">
        <v>1</v>
      </c>
      <c r="F20" s="22"/>
      <c r="H20" s="24">
        <f t="shared" si="19"/>
        <v>1</v>
      </c>
      <c r="I20" s="22">
        <f t="shared" si="20"/>
        <v>1.0167198007471981E-3</v>
      </c>
      <c r="J20" s="24">
        <f t="shared" si="17"/>
        <v>1.0167198007471981E-3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1.0167198007471981E-3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42824.737764699683</v>
      </c>
      <c r="S20" s="220">
        <f>IF($B$81=0,0,(SUMIF($N$6:$N$28,$U20,L$6:L$28)+SUMIF($N$91:$N$118,$U20,L$91:L$118))*$I$83*Poor!$B$81/$B$81)</f>
        <v>33417.600000000006</v>
      </c>
      <c r="T20" s="220">
        <f>IF($B$81=0,0,(SUMIF($N$6:$N$28,$U20,M$6:M$28)+SUMIF($N$91:$N$118,$U20,M$91:M$118))*$I$83*Poor!$B$81/$B$81)</f>
        <v>33417.600000000006</v>
      </c>
      <c r="U20" s="221">
        <v>14</v>
      </c>
      <c r="V20" s="56"/>
      <c r="W20" s="110"/>
      <c r="X20" s="118"/>
      <c r="Y20" s="183">
        <f t="shared" si="24"/>
        <v>4.0668792029887922E-3</v>
      </c>
      <c r="Z20" s="116">
        <v>3.2940999999999998</v>
      </c>
      <c r="AA20" s="121">
        <f t="shared" si="25"/>
        <v>1.339670678256538E-2</v>
      </c>
      <c r="AB20" s="116">
        <v>3.1764999999999999</v>
      </c>
      <c r="AC20" s="121">
        <f t="shared" si="26"/>
        <v>1.2918441788293898E-2</v>
      </c>
      <c r="AD20" s="116">
        <v>3.2353000000000001</v>
      </c>
      <c r="AE20" s="121">
        <f t="shared" si="27"/>
        <v>1.315757428542964E-2</v>
      </c>
      <c r="AF20" s="122">
        <f t="shared" si="28"/>
        <v>-8.7058999999999997</v>
      </c>
      <c r="AG20" s="121">
        <f t="shared" si="29"/>
        <v>-3.5405843653300129E-2</v>
      </c>
      <c r="AH20" s="123">
        <f t="shared" si="30"/>
        <v>1</v>
      </c>
      <c r="AI20" s="183">
        <f t="shared" si="31"/>
        <v>1.016719800747197E-3</v>
      </c>
      <c r="AJ20" s="120">
        <f t="shared" si="32"/>
        <v>1.315757428542964E-2</v>
      </c>
      <c r="AK20" s="119">
        <f t="shared" si="33"/>
        <v>-1.1124134683935244E-2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Weeding</v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Harvesting</v>
      </c>
      <c r="B22" s="215">
        <f>IF([1]Summ!E1060="",0,[1]Summ!E1060)</f>
        <v>9.46331506849315E-2</v>
      </c>
      <c r="C22" s="215">
        <f>IF([1]Summ!F1060="",0,[1]Summ!F1060)</f>
        <v>0</v>
      </c>
      <c r="D22" s="24">
        <f t="shared" si="34"/>
        <v>9.46331506849315E-2</v>
      </c>
      <c r="E22" s="26">
        <v>1</v>
      </c>
      <c r="F22" s="22"/>
      <c r="H22" s="24">
        <f t="shared" si="35"/>
        <v>1</v>
      </c>
      <c r="I22" s="22">
        <f t="shared" si="36"/>
        <v>9.46331506849315E-2</v>
      </c>
      <c r="J22" s="24">
        <f t="shared" si="17"/>
        <v>9.46331506849315E-2</v>
      </c>
      <c r="K22" s="22">
        <f t="shared" si="37"/>
        <v>9.46331506849315E-2</v>
      </c>
      <c r="L22" s="22">
        <f t="shared" si="38"/>
        <v>9.46331506849315E-2</v>
      </c>
      <c r="M22" s="223">
        <f t="shared" si="39"/>
        <v>9.46331506849315E-2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0.378532602739726</v>
      </c>
      <c r="Z22" s="116">
        <v>5.2941000000000003</v>
      </c>
      <c r="AA22" s="121">
        <f t="shared" si="41"/>
        <v>2.0039894521643835</v>
      </c>
      <c r="AB22" s="116">
        <v>5.1764999999999999</v>
      </c>
      <c r="AC22" s="121">
        <f t="shared" si="42"/>
        <v>1.9594740180821917</v>
      </c>
      <c r="AD22" s="116">
        <v>5.2352999999999996</v>
      </c>
      <c r="AE22" s="121">
        <f t="shared" si="43"/>
        <v>1.9817317351232875</v>
      </c>
      <c r="AF22" s="122">
        <f t="shared" si="44"/>
        <v>-14.7059</v>
      </c>
      <c r="AG22" s="121">
        <f t="shared" si="45"/>
        <v>-5.5666626026301369</v>
      </c>
      <c r="AH22" s="123">
        <f t="shared" si="46"/>
        <v>1</v>
      </c>
      <c r="AI22" s="183">
        <f t="shared" si="47"/>
        <v>9.4633150684931389E-2</v>
      </c>
      <c r="AJ22" s="120">
        <f t="shared" si="48"/>
        <v>1.9817317351232875</v>
      </c>
      <c r="AK22" s="119">
        <f t="shared" si="49"/>
        <v>-1.7924654337534247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/>
      <c r="O23" s="2"/>
      <c r="P23" s="22"/>
      <c r="Q23" s="171" t="s">
        <v>100</v>
      </c>
      <c r="R23" s="179">
        <f>SUM(R7:R22)</f>
        <v>87018.748592605494</v>
      </c>
      <c r="S23" s="179">
        <f>SUM(S7:S22)</f>
        <v>68985.981032974829</v>
      </c>
      <c r="T23" s="179">
        <f>SUM(T7:T22)</f>
        <v>65173.808804621789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9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9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2">
        <f t="shared" si="6"/>
        <v>0.13095238095238096</v>
      </c>
      <c r="N26" s="227">
        <v>12</v>
      </c>
      <c r="O26" s="2"/>
      <c r="P26" s="29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5.1727575093399751E-2</v>
      </c>
      <c r="C27" s="215">
        <f>IF([1]Summ!F1065="",0,[1]Summ!F1065)</f>
        <v>-5.1727575093399751E-2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5.1727575093399751E-2</v>
      </c>
      <c r="L27" s="22">
        <f t="shared" si="5"/>
        <v>5.1727575093399751E-2</v>
      </c>
      <c r="M27" s="224">
        <f t="shared" si="6"/>
        <v>0</v>
      </c>
      <c r="N27" s="227"/>
      <c r="O27" s="2"/>
      <c r="P27" s="29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5.6049937733499376E-4</v>
      </c>
      <c r="C28" s="215">
        <f>IF([1]Summ!F1066="",0,[1]Summ!F1066)</f>
        <v>-5.6049937733499376E-4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5.6049937733499376E-4</v>
      </c>
      <c r="L28" s="22">
        <f t="shared" si="5"/>
        <v>5.6049937733499376E-4</v>
      </c>
      <c r="M28" s="222">
        <f t="shared" si="6"/>
        <v>0</v>
      </c>
      <c r="N28" s="227"/>
      <c r="O28" s="2"/>
      <c r="P28" s="29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0.20849846884184306</v>
      </c>
      <c r="C29" s="215">
        <f>IF([1]Summ!F1067="",0,[1]Summ!F1067)</f>
        <v>1.6138305100153974E-2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0.20849846884184306</v>
      </c>
      <c r="L29" s="22">
        <f t="shared" si="5"/>
        <v>0.20849846884184306</v>
      </c>
      <c r="M29" s="222">
        <f t="shared" si="6"/>
        <v>0.22463677394199705</v>
      </c>
      <c r="N29" s="227"/>
      <c r="P29" s="29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0.71440989937733512</v>
      </c>
      <c r="C30" s="103"/>
      <c r="D30" s="24">
        <f>(D119-B124)</f>
        <v>1.541411890366432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0.92111408116996618</v>
      </c>
      <c r="J30" s="229">
        <f>IF(I$32&lt;=1,I30,1-SUM(J6:J29))</f>
        <v>0.39390798373511338</v>
      </c>
      <c r="K30" s="22">
        <f t="shared" si="4"/>
        <v>0.71440989937733512</v>
      </c>
      <c r="L30" s="22">
        <f>IF(L124=L119,0,IF(K30="",0,(L119-L124)/(B119-B124)*K30))</f>
        <v>0.43679884125195861</v>
      </c>
      <c r="M30" s="175">
        <f t="shared" si="6"/>
        <v>0.39390798373511338</v>
      </c>
      <c r="N30" s="166" t="s">
        <v>86</v>
      </c>
      <c r="O30" s="2"/>
      <c r="P30" s="29"/>
      <c r="Q30" s="232" t="s">
        <v>141</v>
      </c>
      <c r="R30" s="232">
        <f t="shared" ref="R30:T32" si="50">IF(R24&gt;R$23,R24-R$23,0)</f>
        <v>0</v>
      </c>
      <c r="S30" s="232">
        <f t="shared" si="50"/>
        <v>0</v>
      </c>
      <c r="T30" s="232">
        <f t="shared" si="50"/>
        <v>0</v>
      </c>
      <c r="V30" s="56"/>
      <c r="W30" s="110"/>
      <c r="X30" s="118"/>
      <c r="Y30" s="183">
        <f>M30*4</f>
        <v>1.5756319349404535</v>
      </c>
      <c r="Z30" s="122">
        <f>IF($Y30=0,0,AA30/($Y$30))</f>
        <v>-0.9708467219129725</v>
      </c>
      <c r="AA30" s="187">
        <f>IF(AA79*4/$I$83+SUM(AA6:AA29)&lt;1,AA79*4/$I$83,1-SUM(AA6:AA29))</f>
        <v>-1.5296970989783332</v>
      </c>
      <c r="AB30" s="122">
        <f>IF($Y30=0,0,AC30/($Y$30))</f>
        <v>-0.91637257192475485</v>
      </c>
      <c r="AC30" s="187">
        <f>IF(AC79*4/$I$83+SUM(AC6:AC29)&lt;1,AC79*4/$I$83,1-SUM(AC6:AC29))</f>
        <v>-1.4438658886281615</v>
      </c>
      <c r="AD30" s="122">
        <f>IF($Y30=0,0,AE30/($Y$30))</f>
        <v>-0.9405267981196207</v>
      </c>
      <c r="AE30" s="187">
        <f>IF(AE79*4/$I$83+SUM(AE6:AE29)&lt;1,AE79*4/$I$83,1-SUM(AE6:AE29))</f>
        <v>-1.4819240587845672</v>
      </c>
      <c r="AF30" s="122">
        <f>IF($Y30=0,0,AG30/($Y$30))</f>
        <v>3.8277460919573478</v>
      </c>
      <c r="AG30" s="187">
        <f>IF(AG79*4/$I$83+SUM(AG6:AG29)&lt;1,AG79*4/$I$83,1-SUM(AG6:AG29))</f>
        <v>6.0311189813315149</v>
      </c>
      <c r="AH30" s="123">
        <f t="shared" si="12"/>
        <v>0.99999999999999956</v>
      </c>
      <c r="AI30" s="183">
        <f t="shared" si="13"/>
        <v>0.39390798373511338</v>
      </c>
      <c r="AJ30" s="120">
        <f t="shared" si="14"/>
        <v>-1.4867814938032473</v>
      </c>
      <c r="AK30" s="119">
        <f t="shared" si="15"/>
        <v>2.2745974612734736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-7.5877786982255557E-2</v>
      </c>
      <c r="M31" s="178">
        <f t="shared" si="6"/>
        <v>0</v>
      </c>
      <c r="N31" s="167">
        <f>M31*I83</f>
        <v>0</v>
      </c>
      <c r="P31" s="29"/>
      <c r="Q31" s="236" t="s">
        <v>142</v>
      </c>
      <c r="R31" s="232">
        <f t="shared" si="50"/>
        <v>0</v>
      </c>
      <c r="S31" s="232">
        <f t="shared" si="50"/>
        <v>2889.0246032389841</v>
      </c>
      <c r="T31" s="232">
        <f>IF(T25&gt;T$23,T25-T$23,0)</f>
        <v>6701.196831592024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1.3841865069133608</v>
      </c>
      <c r="C32" s="29">
        <f>SUM(C6:C31)</f>
        <v>-3.0326730765350383E-2</v>
      </c>
      <c r="D32" s="24">
        <f>SUM(D6:D30)</f>
        <v>2.1808617671371069</v>
      </c>
      <c r="E32" s="2"/>
      <c r="F32" s="2"/>
      <c r="H32" s="17"/>
      <c r="I32" s="22">
        <f>SUM(I6:I30)</f>
        <v>1.5298662961349128</v>
      </c>
      <c r="J32" s="17"/>
      <c r="L32" s="22">
        <f>SUM(L6:L30)</f>
        <v>1.0758777869822556</v>
      </c>
      <c r="M32" s="23"/>
      <c r="N32" s="56"/>
      <c r="O32" s="2"/>
      <c r="P32" s="29"/>
      <c r="Q32" s="232" t="s">
        <v>143</v>
      </c>
      <c r="R32" s="232">
        <f t="shared" si="50"/>
        <v>25778.657043608313</v>
      </c>
      <c r="S32" s="232">
        <f t="shared" si="50"/>
        <v>43811.424603238978</v>
      </c>
      <c r="T32" s="232">
        <f t="shared" si="50"/>
        <v>47623.596831592018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0.99999999999999933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4.753558972322023E-2</v>
      </c>
      <c r="K33" s="14"/>
      <c r="L33" s="11"/>
      <c r="M33" s="30"/>
      <c r="N33" s="168" t="s">
        <v>87</v>
      </c>
      <c r="O33" s="2"/>
      <c r="P33" s="56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6701.196831592024</v>
      </c>
      <c r="O34" s="2"/>
      <c r="P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56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56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Cows' milk sales - season 1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1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 (hides): quantity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56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3500</v>
      </c>
      <c r="C39" s="216">
        <f>IF([1]Summ!F1074="",0,[1]Summ!F1074)</f>
        <v>0</v>
      </c>
      <c r="D39" s="38">
        <f t="shared" si="58"/>
        <v>3500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3304</v>
      </c>
      <c r="J39" s="38">
        <f t="shared" si="53"/>
        <v>3303.9999999999995</v>
      </c>
      <c r="K39" s="40">
        <f t="shared" si="54"/>
        <v>7.0150824272185192E-2</v>
      </c>
      <c r="L39" s="22">
        <f t="shared" si="55"/>
        <v>6.622237811294282E-2</v>
      </c>
      <c r="M39" s="24">
        <f t="shared" si="56"/>
        <v>6.622237811294282E-2</v>
      </c>
      <c r="N39" s="2"/>
      <c r="O39" s="2"/>
      <c r="P39" s="56"/>
      <c r="Q39" s="59"/>
      <c r="R39" s="250"/>
      <c r="S39" s="250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3303.9999999999995</v>
      </c>
      <c r="AH39" s="123">
        <f t="shared" si="61"/>
        <v>1</v>
      </c>
      <c r="AI39" s="112">
        <f t="shared" si="61"/>
        <v>3303.9999999999995</v>
      </c>
      <c r="AJ39" s="148">
        <f t="shared" si="62"/>
        <v>0</v>
      </c>
      <c r="AK39" s="147">
        <f t="shared" si="63"/>
        <v>3303.9999999999995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Goat sales - local: no. sold</v>
      </c>
      <c r="B40" s="216">
        <f>IF([1]Summ!E1075="",0,[1]Summ!E1075)</f>
        <v>660.5</v>
      </c>
      <c r="C40" s="216">
        <f>IF([1]Summ!F1075="",0,[1]Summ!F1075)</f>
        <v>-1321</v>
      </c>
      <c r="D40" s="38">
        <f t="shared" si="58"/>
        <v>-660.5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-623.51199999999994</v>
      </c>
      <c r="J40" s="38">
        <f t="shared" si="53"/>
        <v>-623.51199999999994</v>
      </c>
      <c r="K40" s="40">
        <f t="shared" si="54"/>
        <v>1.3238462694793807E-2</v>
      </c>
      <c r="L40" s="22">
        <f t="shared" si="55"/>
        <v>1.2497108783885354E-2</v>
      </c>
      <c r="M40" s="24">
        <f t="shared" si="56"/>
        <v>-1.2497108783885352E-2</v>
      </c>
      <c r="N40" s="2"/>
      <c r="O40" s="2"/>
      <c r="P40" s="56"/>
      <c r="Q40" s="59"/>
      <c r="R40" s="250"/>
      <c r="S40" s="250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-623.51199999999994</v>
      </c>
      <c r="AH40" s="123">
        <f t="shared" si="61"/>
        <v>1</v>
      </c>
      <c r="AI40" s="112">
        <f t="shared" si="61"/>
        <v>-623.51199999999994</v>
      </c>
      <c r="AJ40" s="148">
        <f t="shared" si="62"/>
        <v>0</v>
      </c>
      <c r="AK40" s="147">
        <f t="shared" si="63"/>
        <v>-623.51199999999994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Sheep sales - local: no. sold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56"/>
      <c r="Q41" s="59"/>
      <c r="R41" s="250"/>
      <c r="S41" s="250"/>
      <c r="T41" s="251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Chicken sales: no. sold</v>
      </c>
      <c r="B42" s="216">
        <f>IF([1]Summ!E1077="",0,[1]Summ!E1077)</f>
        <v>140</v>
      </c>
      <c r="C42" s="216">
        <f>IF([1]Summ!F1077="",0,[1]Summ!F1077)</f>
        <v>0</v>
      </c>
      <c r="D42" s="38">
        <f t="shared" si="58"/>
        <v>140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165.2</v>
      </c>
      <c r="J42" s="38">
        <f t="shared" si="53"/>
        <v>165.2</v>
      </c>
      <c r="K42" s="40">
        <f t="shared" si="54"/>
        <v>2.8060329708874078E-3</v>
      </c>
      <c r="L42" s="22">
        <f t="shared" si="55"/>
        <v>3.3111189056471411E-3</v>
      </c>
      <c r="M42" s="24">
        <f t="shared" si="56"/>
        <v>3.3111189056471411E-3</v>
      </c>
      <c r="N42" s="2"/>
      <c r="O42" s="2"/>
      <c r="P42" s="56"/>
      <c r="Q42" s="41"/>
      <c r="R42" s="41"/>
      <c r="S42" s="252"/>
      <c r="T42" s="252"/>
      <c r="U42" s="56"/>
      <c r="V42" s="56"/>
      <c r="W42" s="115"/>
      <c r="X42" s="118"/>
      <c r="Y42" s="110"/>
      <c r="Z42" s="116">
        <v>0.25</v>
      </c>
      <c r="AA42" s="147">
        <f t="shared" si="64"/>
        <v>41.3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82.6</v>
      </c>
      <c r="AF42" s="122">
        <f t="shared" si="57"/>
        <v>0.25</v>
      </c>
      <c r="AG42" s="147">
        <f t="shared" si="60"/>
        <v>41.3</v>
      </c>
      <c r="AH42" s="123">
        <f t="shared" si="61"/>
        <v>1</v>
      </c>
      <c r="AI42" s="112">
        <f t="shared" si="61"/>
        <v>165.2</v>
      </c>
      <c r="AJ42" s="148">
        <f t="shared" si="62"/>
        <v>41.3</v>
      </c>
      <c r="AK42" s="147">
        <f t="shared" si="63"/>
        <v>123.89999999999999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Maize: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54" si="67">E9</f>
        <v>1.0900000000000001</v>
      </c>
      <c r="F43" s="26">
        <v>1.4</v>
      </c>
      <c r="G43" s="22">
        <f t="shared" si="59"/>
        <v>1.65</v>
      </c>
      <c r="H43" s="24">
        <f t="shared" si="51"/>
        <v>1.526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19"/>
      <c r="T43" s="219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Tomato</v>
      </c>
      <c r="B44" s="216">
        <f>IF([1]Summ!E1079="",0,[1]Summ!E1079)</f>
        <v>480</v>
      </c>
      <c r="C44" s="216">
        <f>IF([1]Summ!F1079="",0,[1]Summ!F1079)</f>
        <v>-480</v>
      </c>
      <c r="D44" s="38">
        <f t="shared" si="58"/>
        <v>0</v>
      </c>
      <c r="E44" s="75">
        <f t="shared" si="67"/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9.6206844716139692E-3</v>
      </c>
      <c r="L44" s="22">
        <f t="shared" si="55"/>
        <v>1.3468958260259557E-2</v>
      </c>
      <c r="M44" s="24">
        <f t="shared" si="56"/>
        <v>0</v>
      </c>
      <c r="N44" s="2"/>
      <c r="O44" s="2"/>
      <c r="P44" s="56"/>
      <c r="Q44" s="253"/>
      <c r="R44" s="41"/>
      <c r="S44" s="41"/>
      <c r="T44" s="251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Onions</v>
      </c>
      <c r="B45" s="216">
        <f>IF([1]Summ!E1080="",0,[1]Summ!E1080)</f>
        <v>1000</v>
      </c>
      <c r="C45" s="216">
        <f>IF([1]Summ!F1080="",0,[1]Summ!F1080)</f>
        <v>-850</v>
      </c>
      <c r="D45" s="38">
        <f t="shared" si="58"/>
        <v>150</v>
      </c>
      <c r="E45" s="75">
        <f t="shared" si="67"/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210</v>
      </c>
      <c r="J45" s="38">
        <f t="shared" si="53"/>
        <v>210.00000000000006</v>
      </c>
      <c r="K45" s="40">
        <f t="shared" si="54"/>
        <v>2.0043092649195772E-2</v>
      </c>
      <c r="L45" s="22">
        <f t="shared" si="55"/>
        <v>2.8060329708874079E-2</v>
      </c>
      <c r="M45" s="24">
        <f t="shared" si="56"/>
        <v>4.209049456331113E-3</v>
      </c>
      <c r="N45" s="2"/>
      <c r="O45" s="2"/>
      <c r="P45" s="56"/>
      <c r="Q45" s="253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52.500000000000014</v>
      </c>
      <c r="AB45" s="116">
        <v>0.25</v>
      </c>
      <c r="AC45" s="147">
        <f t="shared" si="65"/>
        <v>52.500000000000014</v>
      </c>
      <c r="AD45" s="116">
        <v>0.25</v>
      </c>
      <c r="AE45" s="147">
        <f t="shared" si="66"/>
        <v>52.500000000000014</v>
      </c>
      <c r="AF45" s="122">
        <f t="shared" si="57"/>
        <v>0.25</v>
      </c>
      <c r="AG45" s="147">
        <f t="shared" si="60"/>
        <v>52.500000000000014</v>
      </c>
      <c r="AH45" s="123">
        <f t="shared" si="61"/>
        <v>1</v>
      </c>
      <c r="AI45" s="112">
        <f t="shared" si="61"/>
        <v>210.00000000000006</v>
      </c>
      <c r="AJ45" s="148">
        <f t="shared" si="62"/>
        <v>105.00000000000003</v>
      </c>
      <c r="AK45" s="147">
        <f t="shared" si="63"/>
        <v>105.00000000000003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Beetroot</v>
      </c>
      <c r="B46" s="216">
        <f>IF([1]Summ!E1081="",0,[1]Summ!E1081)</f>
        <v>50</v>
      </c>
      <c r="C46" s="216">
        <f>IF([1]Summ!F1081="",0,[1]Summ!F1081)</f>
        <v>50</v>
      </c>
      <c r="D46" s="38">
        <f t="shared" si="58"/>
        <v>100</v>
      </c>
      <c r="E46" s="75">
        <f t="shared" si="67"/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140</v>
      </c>
      <c r="J46" s="38">
        <f t="shared" si="53"/>
        <v>140</v>
      </c>
      <c r="K46" s="40">
        <f t="shared" si="54"/>
        <v>1.0021546324597886E-3</v>
      </c>
      <c r="L46" s="22">
        <f t="shared" si="55"/>
        <v>1.4030164854437041E-3</v>
      </c>
      <c r="M46" s="24">
        <f t="shared" si="56"/>
        <v>2.8060329708874078E-3</v>
      </c>
      <c r="N46" s="2"/>
      <c r="O46" s="2"/>
      <c r="P46" s="56"/>
      <c r="Q46" s="253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35</v>
      </c>
      <c r="AB46" s="116">
        <v>0.25</v>
      </c>
      <c r="AC46" s="147">
        <f t="shared" si="65"/>
        <v>35</v>
      </c>
      <c r="AD46" s="116">
        <v>0.25</v>
      </c>
      <c r="AE46" s="147">
        <f t="shared" si="66"/>
        <v>35</v>
      </c>
      <c r="AF46" s="122">
        <f t="shared" si="57"/>
        <v>0.25</v>
      </c>
      <c r="AG46" s="147">
        <f t="shared" si="60"/>
        <v>35</v>
      </c>
      <c r="AH46" s="123">
        <f t="shared" si="61"/>
        <v>1</v>
      </c>
      <c r="AI46" s="112">
        <f t="shared" si="61"/>
        <v>140</v>
      </c>
      <c r="AJ46" s="148">
        <f t="shared" si="62"/>
        <v>70</v>
      </c>
      <c r="AK46" s="147">
        <f t="shared" si="63"/>
        <v>70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Beans: kg produced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1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Chillies: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3"/>
      <c r="R48" s="250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Sweet potatoes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75">
        <f t="shared" si="67"/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3"/>
      <c r="R49" s="250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Cabbage</v>
      </c>
      <c r="B50" s="216">
        <f>IF([1]Summ!E1085="",0,[1]Summ!E1085)</f>
        <v>252</v>
      </c>
      <c r="C50" s="216">
        <f>IF([1]Summ!F1085="",0,[1]Summ!F1085)</f>
        <v>-252</v>
      </c>
      <c r="D50" s="38">
        <f t="shared" si="68"/>
        <v>0</v>
      </c>
      <c r="E50" s="75">
        <f t="shared" si="67"/>
        <v>1</v>
      </c>
      <c r="F50" s="26">
        <v>1.4</v>
      </c>
      <c r="G50" s="22">
        <f t="shared" si="59"/>
        <v>1.65</v>
      </c>
      <c r="H50" s="24">
        <f t="shared" ref="H50:H64" si="69">(E50*F50)</f>
        <v>1.4</v>
      </c>
      <c r="I50" s="39">
        <f t="shared" ref="I50:I64" si="70">D50*H50</f>
        <v>0</v>
      </c>
      <c r="J50" s="38">
        <f t="shared" ref="J50:J64" si="71">J104*I$83</f>
        <v>0</v>
      </c>
      <c r="K50" s="40">
        <f t="shared" ref="K50:K64" si="72">(B50/B$65)</f>
        <v>5.0508593475973342E-3</v>
      </c>
      <c r="L50" s="22">
        <f t="shared" ref="L50:L64" si="73">(K50*H50)</f>
        <v>7.0712030866362675E-3</v>
      </c>
      <c r="M50" s="24">
        <f t="shared" ref="M50:M64" si="74">J50/B$65</f>
        <v>0</v>
      </c>
      <c r="N50" s="2"/>
      <c r="P50" s="64"/>
      <c r="Q50" s="253"/>
      <c r="R50" s="250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Groundnuts (dry): no. local meas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75">
        <f t="shared" si="67"/>
        <v>1</v>
      </c>
      <c r="F51" s="26">
        <v>1.4</v>
      </c>
      <c r="G51" s="22">
        <f t="shared" si="59"/>
        <v>1.65</v>
      </c>
      <c r="H51" s="24">
        <f t="shared" si="69"/>
        <v>1.4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3"/>
      <c r="R51" s="250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Spinach</v>
      </c>
      <c r="B52" s="216">
        <f>IF([1]Summ!E1087="",0,[1]Summ!E1087)</f>
        <v>230</v>
      </c>
      <c r="C52" s="216">
        <f>IF([1]Summ!F1087="",0,[1]Summ!F1087)</f>
        <v>-230</v>
      </c>
      <c r="D52" s="38">
        <f t="shared" si="68"/>
        <v>0</v>
      </c>
      <c r="E52" s="75">
        <f t="shared" si="67"/>
        <v>1</v>
      </c>
      <c r="F52" s="26">
        <v>1.4</v>
      </c>
      <c r="G52" s="22">
        <f t="shared" si="59"/>
        <v>1.65</v>
      </c>
      <c r="H52" s="24">
        <f t="shared" si="69"/>
        <v>1.4</v>
      </c>
      <c r="I52" s="39">
        <f t="shared" si="70"/>
        <v>0</v>
      </c>
      <c r="J52" s="38">
        <f t="shared" si="71"/>
        <v>0</v>
      </c>
      <c r="K52" s="40">
        <f t="shared" si="72"/>
        <v>4.6099113093150271E-3</v>
      </c>
      <c r="L52" s="22">
        <f t="shared" si="73"/>
        <v>6.4538758330410376E-3</v>
      </c>
      <c r="M52" s="24">
        <f t="shared" si="74"/>
        <v>0</v>
      </c>
      <c r="N52" s="2"/>
      <c r="O52" s="2"/>
      <c r="P52" s="59"/>
      <c r="Q52" s="41"/>
      <c r="R52" s="240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Other crop: Potatoes</v>
      </c>
      <c r="B53" s="216">
        <f>IF([1]Summ!E1088="",0,[1]Summ!E1088)</f>
        <v>140</v>
      </c>
      <c r="C53" s="216">
        <f>IF([1]Summ!F1088="",0,[1]Summ!F1088)</f>
        <v>-140</v>
      </c>
      <c r="D53" s="38">
        <f t="shared" si="68"/>
        <v>0</v>
      </c>
      <c r="E53" s="75">
        <f t="shared" si="67"/>
        <v>1</v>
      </c>
      <c r="F53" s="26">
        <v>1.4</v>
      </c>
      <c r="G53" s="22">
        <f t="shared" si="59"/>
        <v>1.65</v>
      </c>
      <c r="H53" s="24">
        <f t="shared" si="69"/>
        <v>1.4</v>
      </c>
      <c r="I53" s="39">
        <f t="shared" si="70"/>
        <v>0</v>
      </c>
      <c r="J53" s="38">
        <f t="shared" si="71"/>
        <v>0</v>
      </c>
      <c r="K53" s="40">
        <f t="shared" si="72"/>
        <v>2.8060329708874078E-3</v>
      </c>
      <c r="L53" s="22">
        <f t="shared" si="73"/>
        <v>3.9284461592423705E-3</v>
      </c>
      <c r="M53" s="24">
        <f t="shared" si="74"/>
        <v>0</v>
      </c>
      <c r="N53" s="2"/>
      <c r="O53" s="2"/>
      <c r="P53" s="56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Other crop: pumpkin / butternut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75">
        <f t="shared" si="67"/>
        <v>1</v>
      </c>
      <c r="F54" s="26">
        <v>1.4</v>
      </c>
      <c r="G54" s="22">
        <f t="shared" si="59"/>
        <v>1.65</v>
      </c>
      <c r="H54" s="24">
        <f t="shared" si="69"/>
        <v>1.4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56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Agricultural cash income -- see Data2</v>
      </c>
      <c r="B55" s="216">
        <f>IF([1]Summ!E1090="",0,[1]Summ!E1090)</f>
        <v>11520</v>
      </c>
      <c r="C55" s="216">
        <f>IF([1]Summ!F1090="",0,[1]Summ!F1090)</f>
        <v>0</v>
      </c>
      <c r="D55" s="38">
        <f t="shared" si="68"/>
        <v>11520</v>
      </c>
      <c r="E55" s="26">
        <v>1</v>
      </c>
      <c r="F55" s="26">
        <v>1.1100000000000001</v>
      </c>
      <c r="G55" s="22">
        <f t="shared" si="59"/>
        <v>1.65</v>
      </c>
      <c r="H55" s="24">
        <f t="shared" si="69"/>
        <v>1.1100000000000001</v>
      </c>
      <c r="I55" s="39">
        <f t="shared" si="70"/>
        <v>12787.2</v>
      </c>
      <c r="J55" s="38">
        <f t="shared" si="71"/>
        <v>12787.200000000003</v>
      </c>
      <c r="K55" s="40">
        <f t="shared" si="72"/>
        <v>0.23089642731873528</v>
      </c>
      <c r="L55" s="22">
        <f t="shared" si="73"/>
        <v>0.25629503432379619</v>
      </c>
      <c r="M55" s="24">
        <f t="shared" si="74"/>
        <v>0.25629503432379619</v>
      </c>
      <c r="N55" s="2"/>
      <c r="O55" s="2"/>
      <c r="P55" s="56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3196.8000000000006</v>
      </c>
      <c r="AB55" s="116">
        <v>0.25</v>
      </c>
      <c r="AC55" s="147">
        <f t="shared" si="65"/>
        <v>3196.8000000000006</v>
      </c>
      <c r="AD55" s="116">
        <v>0.25</v>
      </c>
      <c r="AE55" s="147">
        <f t="shared" si="66"/>
        <v>3196.8000000000006</v>
      </c>
      <c r="AF55" s="122">
        <f t="shared" si="57"/>
        <v>0.25</v>
      </c>
      <c r="AG55" s="147">
        <f t="shared" si="60"/>
        <v>3196.8000000000006</v>
      </c>
      <c r="AH55" s="123">
        <f t="shared" si="61"/>
        <v>1</v>
      </c>
      <c r="AI55" s="112">
        <f t="shared" si="61"/>
        <v>12787.200000000003</v>
      </c>
      <c r="AJ55" s="148">
        <f t="shared" si="62"/>
        <v>6393.6000000000013</v>
      </c>
      <c r="AK55" s="147">
        <f t="shared" si="63"/>
        <v>6393.6000000000013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Construction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9"/>
        <v>1.1100000000000001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Domestic work cash income -- see Data2</v>
      </c>
      <c r="B57" s="216">
        <f>IF([1]Summ!E1092="",0,[1]Summ!E1092)</f>
        <v>3600</v>
      </c>
      <c r="C57" s="216">
        <f>IF([1]Summ!F1092="",0,[1]Summ!F1092)</f>
        <v>0</v>
      </c>
      <c r="D57" s="38">
        <f t="shared" si="68"/>
        <v>3600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9"/>
        <v>1.1100000000000001</v>
      </c>
      <c r="I57" s="39">
        <f t="shared" si="70"/>
        <v>3996.0000000000005</v>
      </c>
      <c r="J57" s="38">
        <f t="shared" si="71"/>
        <v>3996.0000000000009</v>
      </c>
      <c r="K57" s="40">
        <f t="shared" si="72"/>
        <v>7.2155133537104774E-2</v>
      </c>
      <c r="L57" s="22">
        <f t="shared" si="73"/>
        <v>8.0092198226186309E-2</v>
      </c>
      <c r="M57" s="24">
        <f t="shared" si="74"/>
        <v>8.0092198226186323E-2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999.00000000000023</v>
      </c>
      <c r="AB57" s="116">
        <v>0.25</v>
      </c>
      <c r="AC57" s="147">
        <f t="shared" si="65"/>
        <v>999.00000000000023</v>
      </c>
      <c r="AD57" s="116">
        <v>0.25</v>
      </c>
      <c r="AE57" s="147">
        <f t="shared" si="66"/>
        <v>999.00000000000023</v>
      </c>
      <c r="AF57" s="122">
        <f t="shared" si="57"/>
        <v>0.25</v>
      </c>
      <c r="AG57" s="147">
        <f t="shared" si="60"/>
        <v>999.00000000000023</v>
      </c>
      <c r="AH57" s="123">
        <f t="shared" si="61"/>
        <v>1</v>
      </c>
      <c r="AI57" s="112">
        <f t="shared" si="61"/>
        <v>3996.0000000000009</v>
      </c>
      <c r="AJ57" s="148">
        <f t="shared" si="62"/>
        <v>1998.0000000000005</v>
      </c>
      <c r="AK57" s="147">
        <f t="shared" si="63"/>
        <v>1998.0000000000005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Formal Employment (conservancies, etc.)</v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9"/>
        <v>0.94399999999999995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Self-employment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</v>
      </c>
      <c r="G59" s="22">
        <f t="shared" si="59"/>
        <v>1.65</v>
      </c>
      <c r="H59" s="24">
        <f t="shared" si="69"/>
        <v>0.8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Small business -- see Data2</v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0.8</v>
      </c>
      <c r="F60" s="26">
        <v>1.18</v>
      </c>
      <c r="G60" s="22">
        <f t="shared" si="59"/>
        <v>1.65</v>
      </c>
      <c r="H60" s="24">
        <f t="shared" si="69"/>
        <v>0.94399999999999995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Social development -- see Data2</v>
      </c>
      <c r="B61" s="216">
        <f>IF([1]Summ!E1096="",0,[1]Summ!E1096)</f>
        <v>28320</v>
      </c>
      <c r="C61" s="216">
        <f>IF([1]Summ!F1096="",0,[1]Summ!F1096)</f>
        <v>0</v>
      </c>
      <c r="D61" s="38">
        <f t="shared" si="68"/>
        <v>28320</v>
      </c>
      <c r="E61" s="26">
        <v>1</v>
      </c>
      <c r="F61" s="26">
        <v>1.18</v>
      </c>
      <c r="G61" s="22">
        <f t="shared" si="59"/>
        <v>1.65</v>
      </c>
      <c r="H61" s="24">
        <f t="shared" si="69"/>
        <v>1.18</v>
      </c>
      <c r="I61" s="39">
        <f t="shared" si="70"/>
        <v>33417.599999999999</v>
      </c>
      <c r="J61" s="38">
        <f t="shared" si="71"/>
        <v>33417.600000000006</v>
      </c>
      <c r="K61" s="40">
        <f t="shared" si="72"/>
        <v>0.56762038382522428</v>
      </c>
      <c r="L61" s="22">
        <f t="shared" si="73"/>
        <v>0.66979205291376465</v>
      </c>
      <c r="M61" s="24">
        <f t="shared" si="74"/>
        <v>0.66979205291376476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8354.4000000000015</v>
      </c>
      <c r="AB61" s="116">
        <v>0.25</v>
      </c>
      <c r="AC61" s="147">
        <f t="shared" si="65"/>
        <v>8354.4000000000015</v>
      </c>
      <c r="AD61" s="116">
        <v>0.25</v>
      </c>
      <c r="AE61" s="147">
        <f t="shared" si="66"/>
        <v>8354.4000000000015</v>
      </c>
      <c r="AF61" s="122">
        <f t="shared" si="57"/>
        <v>0.25</v>
      </c>
      <c r="AG61" s="147">
        <f t="shared" si="60"/>
        <v>8354.4000000000015</v>
      </c>
      <c r="AH61" s="123">
        <f t="shared" si="75"/>
        <v>1</v>
      </c>
      <c r="AI61" s="112">
        <f t="shared" si="75"/>
        <v>33417.600000000006</v>
      </c>
      <c r="AJ61" s="148">
        <f t="shared" si="62"/>
        <v>16708.800000000003</v>
      </c>
      <c r="AK61" s="147">
        <f t="shared" si="63"/>
        <v>16708.800000000003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>Public works -- see Data2</v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1.18</v>
      </c>
      <c r="G62" s="22">
        <f t="shared" si="59"/>
        <v>1.65</v>
      </c>
      <c r="H62" s="24">
        <f t="shared" si="69"/>
        <v>1.18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>Remittances: no. times per year</v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1.1100000000000001</v>
      </c>
      <c r="G63" s="22">
        <f t="shared" si="59"/>
        <v>1.65</v>
      </c>
      <c r="H63" s="24">
        <f t="shared" si="69"/>
        <v>1.1100000000000001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49892.5</v>
      </c>
      <c r="C65" s="41">
        <f>SUM(C37:C64)</f>
        <v>-3223</v>
      </c>
      <c r="D65" s="42">
        <f>SUM(D37:D64)</f>
        <v>46669.5</v>
      </c>
      <c r="E65" s="32"/>
      <c r="F65" s="32"/>
      <c r="G65" s="32"/>
      <c r="H65" s="31"/>
      <c r="I65" s="39">
        <f>SUM(I37:I64)</f>
        <v>53396.487999999998</v>
      </c>
      <c r="J65" s="39">
        <f>SUM(J37:J64)</f>
        <v>53396.488000000012</v>
      </c>
      <c r="K65" s="40">
        <f>SUM(K37:K64)</f>
        <v>1</v>
      </c>
      <c r="L65" s="22">
        <f>SUM(L37:L64)</f>
        <v>1.1485957207997195</v>
      </c>
      <c r="M65" s="24">
        <f>SUM(M37:M64)</f>
        <v>1.0702307561256705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12679.000000000004</v>
      </c>
      <c r="AB65" s="137"/>
      <c r="AC65" s="153">
        <f>SUM(AC37:AC64)</f>
        <v>12637.700000000003</v>
      </c>
      <c r="AD65" s="137"/>
      <c r="AE65" s="153">
        <f>SUM(AE37:AE64)</f>
        <v>12720.300000000003</v>
      </c>
      <c r="AF65" s="137"/>
      <c r="AG65" s="153">
        <f>SUM(AG37:AG64)</f>
        <v>15359.488000000001</v>
      </c>
      <c r="AH65" s="137"/>
      <c r="AI65" s="153">
        <f>SUM(AI37:AI64)</f>
        <v>53396.488000000012</v>
      </c>
      <c r="AJ65" s="153">
        <f>SUM(AJ37:AJ64)</f>
        <v>25316.700000000004</v>
      </c>
      <c r="AK65" s="153">
        <f>SUM(AK37:AK64)</f>
        <v>28079.788000000004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17826.682776473466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76">J124*I$83</f>
        <v>24957.355887062851</v>
      </c>
      <c r="K70" s="40">
        <f>B70/B$76</f>
        <v>0.35730185451668017</v>
      </c>
      <c r="L70" s="22">
        <f t="shared" ref="L70:L75" si="77">(L124*G$37*F$9/F$7)/B$130</f>
        <v>0.5002225963233522</v>
      </c>
      <c r="M70" s="24">
        <f>J70/B$76</f>
        <v>0.5002225963233522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6239.3389717657128</v>
      </c>
      <c r="AB70" s="116">
        <v>0.25</v>
      </c>
      <c r="AC70" s="147">
        <f>$J70*AB70</f>
        <v>6239.3389717657128</v>
      </c>
      <c r="AD70" s="116">
        <v>0.25</v>
      </c>
      <c r="AE70" s="147">
        <f>$J70*AD70</f>
        <v>6239.3389717657128</v>
      </c>
      <c r="AF70" s="122">
        <f>1-SUM(Z70,AB70,AD70)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19473.333333333336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22978.533333333333</v>
      </c>
      <c r="J71" s="51">
        <f t="shared" si="76"/>
        <v>22978.533333333333</v>
      </c>
      <c r="K71" s="40">
        <f t="shared" ref="K71:K72" si="79">B71/B$76</f>
        <v>0.39030582418867238</v>
      </c>
      <c r="L71" s="22">
        <f t="shared" si="77"/>
        <v>0.46056087254263323</v>
      </c>
      <c r="M71" s="24">
        <f t="shared" ref="M71:M72" si="80">J71/B$76</f>
        <v>0.46056087254263334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0</v>
      </c>
      <c r="K72" s="40">
        <f t="shared" si="79"/>
        <v>0.69509445307410933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2550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5.1109886255449218E-2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270.81</v>
      </c>
      <c r="AB73" s="116">
        <v>0.09</v>
      </c>
      <c r="AC73" s="147">
        <f>$H$73*$B$73*AB73</f>
        <v>270.81</v>
      </c>
      <c r="AD73" s="116">
        <v>0.23</v>
      </c>
      <c r="AE73" s="147">
        <f>$H$73*$B$73*AD73</f>
        <v>692.07</v>
      </c>
      <c r="AF73" s="122">
        <f>1-SUM(Z73,AB73,AD73)</f>
        <v>0.59</v>
      </c>
      <c r="AG73" s="147">
        <f>$H$73*$B$73*AF73</f>
        <v>1775.31</v>
      </c>
      <c r="AH73" s="155">
        <f>SUM(Z73,AB73,AD73,AF73)</f>
        <v>1</v>
      </c>
      <c r="AI73" s="147">
        <f>SUM(AA73,AC73,AE73,AG73)</f>
        <v>3009</v>
      </c>
      <c r="AJ73" s="148">
        <f>(AA73+AC73)</f>
        <v>541.62</v>
      </c>
      <c r="AK73" s="147">
        <f>(AE73+AG73)</f>
        <v>2467.38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13367.999999999998</v>
      </c>
      <c r="C74" s="46"/>
      <c r="D74" s="38"/>
      <c r="E74" s="32"/>
      <c r="F74" s="32"/>
      <c r="G74" s="32"/>
      <c r="H74" s="31"/>
      <c r="I74" s="39">
        <f>I128*I$83</f>
        <v>28439.132112937157</v>
      </c>
      <c r="J74" s="51">
        <f t="shared" si="76"/>
        <v>12161.795611195847</v>
      </c>
      <c r="K74" s="40">
        <f>B74/B$76</f>
        <v>0.26793606253444902</v>
      </c>
      <c r="L74" s="22">
        <f t="shared" si="77"/>
        <v>0.2703019189431668</v>
      </c>
      <c r="M74" s="24">
        <f>J74/B$76</f>
        <v>0.24375999621578087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-11807.239401705063</v>
      </c>
      <c r="AB74" s="156"/>
      <c r="AC74" s="147">
        <f>AC30*$I$83/4</f>
        <v>-11144.735923454735</v>
      </c>
      <c r="AD74" s="156"/>
      <c r="AE74" s="147">
        <f>AE30*$I$83/4</f>
        <v>-11438.494685583286</v>
      </c>
      <c r="AF74" s="156"/>
      <c r="AG74" s="147">
        <f>AG30*$I$83/4</f>
        <v>46552.265621938925</v>
      </c>
      <c r="AH74" s="155"/>
      <c r="AI74" s="147">
        <f>SUM(AA74,AC74,AE74,AG74)</f>
        <v>12161.795611195841</v>
      </c>
      <c r="AJ74" s="148">
        <f>(AA74+AC74)</f>
        <v>-22951.975325159798</v>
      </c>
      <c r="AK74" s="147">
        <f>(AE74+AG74)</f>
        <v>35113.770936355635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18246.900429939353</v>
      </c>
      <c r="AB75" s="158"/>
      <c r="AC75" s="149">
        <f>AA75+AC65-SUM(AC70,AC74)</f>
        <v>35789.997381628375</v>
      </c>
      <c r="AD75" s="158"/>
      <c r="AE75" s="149">
        <f>AC75+AE65-SUM(AE70,AE74)</f>
        <v>53709.453095445948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16277.336501741316</v>
      </c>
      <c r="AJ75" s="151">
        <f>AJ76-SUM(AJ70,AJ74)</f>
        <v>35789.997381628375</v>
      </c>
      <c r="AK75" s="149">
        <f>AJ75+AK76-SUM(AK70,AK74)</f>
        <v>16277.336501741316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49892.5</v>
      </c>
      <c r="C76" s="46"/>
      <c r="D76" s="38"/>
      <c r="E76" s="32"/>
      <c r="F76" s="32"/>
      <c r="G76" s="32"/>
      <c r="H76" s="31"/>
      <c r="I76" s="39">
        <f>I130*I$83</f>
        <v>53396.488000000012</v>
      </c>
      <c r="J76" s="51">
        <f t="shared" si="76"/>
        <v>53396.488000000012</v>
      </c>
      <c r="K76" s="40">
        <f>SUM(K70:K75)</f>
        <v>1.7617480805693599</v>
      </c>
      <c r="L76" s="22">
        <f>SUM(L70:L75)</f>
        <v>1.2310853878091521</v>
      </c>
      <c r="M76" s="24">
        <f>SUM(M70:M75)</f>
        <v>1.2045434650817664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12679.000000000004</v>
      </c>
      <c r="AB76" s="137"/>
      <c r="AC76" s="153">
        <f>AC65</f>
        <v>12637.700000000003</v>
      </c>
      <c r="AD76" s="137"/>
      <c r="AE76" s="153">
        <f>AE65</f>
        <v>12720.300000000003</v>
      </c>
      <c r="AF76" s="137"/>
      <c r="AG76" s="153">
        <f>AG65</f>
        <v>15359.488000000001</v>
      </c>
      <c r="AH76" s="137"/>
      <c r="AI76" s="153">
        <f>SUM(AA76,AC76,AE76,AG76)</f>
        <v>53396.488000000012</v>
      </c>
      <c r="AJ76" s="154">
        <f>SUM(AA76,AC76)</f>
        <v>25316.700000000004</v>
      </c>
      <c r="AK76" s="154">
        <f>SUM(AE76,AG76)</f>
        <v>28079.788000000004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22978.533333333336</v>
      </c>
      <c r="J77" s="100">
        <f t="shared" si="76"/>
        <v>6701.196831592024</v>
      </c>
      <c r="K77" s="40"/>
      <c r="L77" s="22">
        <f>-(L131*G$37*F$9/F$7)/B$130</f>
        <v>-0.46056087254263334</v>
      </c>
      <c r="M77" s="24">
        <f>-J77/B$76</f>
        <v>-0.13431270895609609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18246.900429939353</v>
      </c>
      <c r="AD78" s="112"/>
      <c r="AE78" s="112">
        <f>AC75</f>
        <v>35789.997381628375</v>
      </c>
      <c r="AF78" s="112"/>
      <c r="AG78" s="112">
        <f>AE75</f>
        <v>53709.453095445948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6439.6610282342908</v>
      </c>
      <c r="AB79" s="112"/>
      <c r="AC79" s="112">
        <f>AA79-AA74+AC65-AC70</f>
        <v>24645.261458173642</v>
      </c>
      <c r="AD79" s="112"/>
      <c r="AE79" s="112">
        <f>AC79-AC74+AE65-AE70</f>
        <v>42270.958409862666</v>
      </c>
      <c r="AF79" s="112"/>
      <c r="AG79" s="112">
        <f>AE79-AE74+AG65-AG70</f>
        <v>62829.602123680233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0.6488734887907448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7.9007092198581557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18711.946757248563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7718.6780373650317</v>
      </c>
      <c r="AB83" s="112"/>
      <c r="AC83" s="165">
        <f>$I$83*AB82/4</f>
        <v>7718.6780373650317</v>
      </c>
      <c r="AD83" s="112"/>
      <c r="AE83" s="165">
        <f>$I$83*AD82/4</f>
        <v>7718.6780373650317</v>
      </c>
      <c r="AF83" s="112"/>
      <c r="AG83" s="165">
        <f>$I$83*AF82/4</f>
        <v>7718.6780373650317</v>
      </c>
      <c r="AH83" s="165">
        <f>SUM(AA83,AC83,AE83,AG83)</f>
        <v>30874.712149460127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32335.238179999302</v>
      </c>
      <c r="C84" s="46"/>
      <c r="D84" s="233"/>
      <c r="E84" s="64"/>
      <c r="F84" s="64"/>
      <c r="G84" s="64"/>
      <c r="H84" s="234">
        <f>IF(B84=0,0,I84/B84)</f>
        <v>1.5121729436687739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5">
        <f t="shared" si="81"/>
        <v>0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 (hides): quantity</v>
      </c>
      <c r="B92" s="60">
        <f t="shared" si="82"/>
        <v>0</v>
      </c>
      <c r="C92" s="60">
        <f t="shared" si="82"/>
        <v>0</v>
      </c>
      <c r="D92" s="24">
        <f t="shared" ref="D92:D118" si="87">SUM(B92,C92)</f>
        <v>0</v>
      </c>
      <c r="H92" s="24">
        <f t="shared" ref="H92:H118" si="88">(E38*F38/G38*F$7/F$9)</f>
        <v>0.3575757575757576</v>
      </c>
      <c r="I92" s="22">
        <f t="shared" ref="I92:I118" si="89">(D92*H92)</f>
        <v>0</v>
      </c>
      <c r="J92" s="24">
        <f t="shared" ref="J92:J118" si="90">IF(I$32&lt;=1+I$131,I92,L92+J$33*(I92-L92))</f>
        <v>0</v>
      </c>
      <c r="K92" s="22">
        <f t="shared" ref="K92:K118" si="91">IF(B92="",0,B92)</f>
        <v>0</v>
      </c>
      <c r="L92" s="22">
        <f t="shared" ref="L92:L118" si="92">(K92*H92)</f>
        <v>0</v>
      </c>
      <c r="M92" s="225">
        <f t="shared" ref="M92:M118" si="9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0.18704627826306652</v>
      </c>
      <c r="C93" s="60">
        <f t="shared" si="82"/>
        <v>0</v>
      </c>
      <c r="D93" s="24">
        <f t="shared" si="87"/>
        <v>0.18704627826306652</v>
      </c>
      <c r="H93" s="24">
        <f t="shared" si="88"/>
        <v>0.57212121212121214</v>
      </c>
      <c r="I93" s="22">
        <f t="shared" si="89"/>
        <v>0.10701314344262715</v>
      </c>
      <c r="J93" s="24">
        <f t="shared" si="90"/>
        <v>0.10701314344262715</v>
      </c>
      <c r="K93" s="22">
        <f t="shared" si="91"/>
        <v>0.18704627826306652</v>
      </c>
      <c r="L93" s="22">
        <f t="shared" si="92"/>
        <v>0.10701314344262715</v>
      </c>
      <c r="M93" s="225">
        <f t="shared" si="93"/>
        <v>0.10701314344262715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Goat sales - local: no. sold</v>
      </c>
      <c r="B94" s="60">
        <f t="shared" si="82"/>
        <v>3.5298304797930127E-2</v>
      </c>
      <c r="C94" s="60">
        <f t="shared" si="82"/>
        <v>-7.0596609595860255E-2</v>
      </c>
      <c r="D94" s="24">
        <f t="shared" si="87"/>
        <v>-3.5298304797930127E-2</v>
      </c>
      <c r="H94" s="24">
        <f t="shared" si="88"/>
        <v>0.57212121212121214</v>
      </c>
      <c r="I94" s="22">
        <f t="shared" si="89"/>
        <v>-2.0194908926815781E-2</v>
      </c>
      <c r="J94" s="24">
        <f t="shared" si="90"/>
        <v>-2.0194908926815781E-2</v>
      </c>
      <c r="K94" s="22">
        <f t="shared" si="91"/>
        <v>3.5298304797930127E-2</v>
      </c>
      <c r="L94" s="22">
        <f t="shared" si="92"/>
        <v>2.0194908926815781E-2</v>
      </c>
      <c r="M94" s="225">
        <f t="shared" si="93"/>
        <v>-2.0194908926815781E-2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Sheep sales - local: no. sold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0.57212121212121214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5">
        <f t="shared" si="93"/>
        <v>0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Chicken sales: no. sold</v>
      </c>
      <c r="B96" s="60">
        <f t="shared" si="82"/>
        <v>7.4818511305226607E-3</v>
      </c>
      <c r="C96" s="60">
        <f t="shared" si="82"/>
        <v>0</v>
      </c>
      <c r="D96" s="24">
        <f t="shared" si="87"/>
        <v>7.4818511305226607E-3</v>
      </c>
      <c r="H96" s="24">
        <f t="shared" si="88"/>
        <v>0.7151515151515152</v>
      </c>
      <c r="I96" s="22">
        <f t="shared" si="89"/>
        <v>5.3506571721313578E-3</v>
      </c>
      <c r="J96" s="24">
        <f t="shared" si="90"/>
        <v>5.3506571721313578E-3</v>
      </c>
      <c r="K96" s="22">
        <f t="shared" si="91"/>
        <v>7.4818511305226607E-3</v>
      </c>
      <c r="L96" s="22">
        <f t="shared" si="92"/>
        <v>5.3506571721313578E-3</v>
      </c>
      <c r="M96" s="225">
        <f t="shared" si="93"/>
        <v>5.3506571721313578E-3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Maize: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0.92484848484848492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5">
        <f t="shared" si="93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Tomato</v>
      </c>
      <c r="B98" s="60">
        <f t="shared" si="82"/>
        <v>2.5652061018934837E-2</v>
      </c>
      <c r="C98" s="60">
        <f t="shared" si="82"/>
        <v>-2.5652061018934837E-2</v>
      </c>
      <c r="D98" s="24">
        <f t="shared" si="87"/>
        <v>0</v>
      </c>
      <c r="H98" s="24">
        <f t="shared" si="88"/>
        <v>0.84848484848484851</v>
      </c>
      <c r="I98" s="22">
        <f t="shared" si="89"/>
        <v>0</v>
      </c>
      <c r="J98" s="24">
        <f t="shared" si="90"/>
        <v>0</v>
      </c>
      <c r="K98" s="22">
        <f t="shared" si="91"/>
        <v>2.5652061018934837E-2</v>
      </c>
      <c r="L98" s="22">
        <f t="shared" si="92"/>
        <v>2.1765385106975014E-2</v>
      </c>
      <c r="M98" s="225">
        <f t="shared" si="93"/>
        <v>0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Onions</v>
      </c>
      <c r="B99" s="60">
        <f t="shared" si="82"/>
        <v>5.3441793789447578E-2</v>
      </c>
      <c r="C99" s="60">
        <f t="shared" si="82"/>
        <v>-4.5425524721030439E-2</v>
      </c>
      <c r="D99" s="24">
        <f t="shared" si="87"/>
        <v>8.0162690684171395E-3</v>
      </c>
      <c r="H99" s="24">
        <f t="shared" si="88"/>
        <v>0.84848484848484851</v>
      </c>
      <c r="I99" s="22">
        <f t="shared" si="89"/>
        <v>6.8016828459296942E-3</v>
      </c>
      <c r="J99" s="24">
        <f t="shared" si="90"/>
        <v>6.8016828459296942E-3</v>
      </c>
      <c r="K99" s="22">
        <f t="shared" si="91"/>
        <v>5.3441793789447578E-2</v>
      </c>
      <c r="L99" s="22">
        <f t="shared" si="92"/>
        <v>4.5344552306197945E-2</v>
      </c>
      <c r="M99" s="225">
        <f t="shared" si="93"/>
        <v>6.8016828459296942E-3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Beetroot</v>
      </c>
      <c r="B100" s="60">
        <f t="shared" si="82"/>
        <v>2.6720896894723788E-3</v>
      </c>
      <c r="C100" s="60">
        <f t="shared" si="82"/>
        <v>2.6720896894723788E-3</v>
      </c>
      <c r="D100" s="24">
        <f t="shared" si="87"/>
        <v>5.3441793789447576E-3</v>
      </c>
      <c r="H100" s="24">
        <f t="shared" si="88"/>
        <v>0.84848484848484851</v>
      </c>
      <c r="I100" s="22">
        <f t="shared" si="89"/>
        <v>4.5344552306197947E-3</v>
      </c>
      <c r="J100" s="24">
        <f t="shared" si="90"/>
        <v>4.5344552306197947E-3</v>
      </c>
      <c r="K100" s="22">
        <f t="shared" si="91"/>
        <v>2.6720896894723788E-3</v>
      </c>
      <c r="L100" s="22">
        <f t="shared" si="92"/>
        <v>2.2672276153098973E-3</v>
      </c>
      <c r="M100" s="225">
        <f t="shared" si="93"/>
        <v>4.5344552306197947E-3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Beans: kg produced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0.84848484848484851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5">
        <f t="shared" si="93"/>
        <v>0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Chillies: kg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0.84848484848484851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5">
        <f t="shared" si="93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Sweet potatoes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0.84848484848484851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5">
        <f t="shared" si="93"/>
        <v>0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Cabbage</v>
      </c>
      <c r="B104" s="60">
        <f t="shared" si="82"/>
        <v>1.346733203494079E-2</v>
      </c>
      <c r="C104" s="60">
        <f t="shared" si="82"/>
        <v>-1.346733203494079E-2</v>
      </c>
      <c r="D104" s="24">
        <f t="shared" si="87"/>
        <v>0</v>
      </c>
      <c r="H104" s="24">
        <f t="shared" si="88"/>
        <v>0.84848484848484851</v>
      </c>
      <c r="I104" s="22">
        <f t="shared" si="89"/>
        <v>0</v>
      </c>
      <c r="J104" s="24">
        <f t="shared" si="90"/>
        <v>0</v>
      </c>
      <c r="K104" s="22">
        <f t="shared" si="91"/>
        <v>1.346733203494079E-2</v>
      </c>
      <c r="L104" s="22">
        <f t="shared" si="92"/>
        <v>1.1426827181161883E-2</v>
      </c>
      <c r="M104" s="225">
        <f t="shared" si="93"/>
        <v>0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Groundnuts (dry): no. local meas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0.84848484848484851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5">
        <f t="shared" si="93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Spinach</v>
      </c>
      <c r="B106" s="60">
        <f t="shared" si="82"/>
        <v>1.2291612571572944E-2</v>
      </c>
      <c r="C106" s="60">
        <f t="shared" si="82"/>
        <v>-1.2291612571572944E-2</v>
      </c>
      <c r="D106" s="24">
        <f t="shared" si="87"/>
        <v>0</v>
      </c>
      <c r="H106" s="24">
        <f t="shared" si="88"/>
        <v>0.84848484848484851</v>
      </c>
      <c r="I106" s="22">
        <f t="shared" si="89"/>
        <v>0</v>
      </c>
      <c r="J106" s="24">
        <f t="shared" si="90"/>
        <v>0</v>
      </c>
      <c r="K106" s="22">
        <f t="shared" si="91"/>
        <v>1.2291612571572944E-2</v>
      </c>
      <c r="L106" s="22">
        <f t="shared" si="92"/>
        <v>1.0429247030425529E-2</v>
      </c>
      <c r="M106" s="225">
        <f t="shared" si="93"/>
        <v>0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Other crop: Potatoes</v>
      </c>
      <c r="B107" s="60">
        <f t="shared" si="82"/>
        <v>7.4818511305226607E-3</v>
      </c>
      <c r="C107" s="60">
        <f t="shared" si="82"/>
        <v>-7.4818511305226607E-3</v>
      </c>
      <c r="D107" s="24">
        <f t="shared" si="87"/>
        <v>0</v>
      </c>
      <c r="H107" s="24">
        <f t="shared" si="88"/>
        <v>0.84848484848484851</v>
      </c>
      <c r="I107" s="22">
        <f t="shared" si="89"/>
        <v>0</v>
      </c>
      <c r="J107" s="24">
        <f t="shared" si="90"/>
        <v>0</v>
      </c>
      <c r="K107" s="22">
        <f t="shared" si="91"/>
        <v>7.4818511305226607E-3</v>
      </c>
      <c r="L107" s="22">
        <f t="shared" si="92"/>
        <v>6.3482373228677122E-3</v>
      </c>
      <c r="M107" s="225">
        <f t="shared" si="93"/>
        <v>0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Other crop: pumpkin / butternut</v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0.84848484848484851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5">
        <f t="shared" si="93"/>
        <v>0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Agricultural cash income -- see Data2</v>
      </c>
      <c r="B109" s="60">
        <f t="shared" si="82"/>
        <v>0.61564946445443613</v>
      </c>
      <c r="C109" s="60">
        <f t="shared" si="82"/>
        <v>0</v>
      </c>
      <c r="D109" s="24">
        <f t="shared" si="87"/>
        <v>0.61564946445443613</v>
      </c>
      <c r="H109" s="24">
        <f t="shared" si="88"/>
        <v>0.67272727272727284</v>
      </c>
      <c r="I109" s="22">
        <f t="shared" si="89"/>
        <v>0.41416418517843895</v>
      </c>
      <c r="J109" s="24">
        <f t="shared" si="90"/>
        <v>0.41416418517843895</v>
      </c>
      <c r="K109" s="22">
        <f t="shared" si="91"/>
        <v>0.61564946445443613</v>
      </c>
      <c r="L109" s="22">
        <f t="shared" si="92"/>
        <v>0.41416418517843895</v>
      </c>
      <c r="M109" s="225">
        <f t="shared" si="93"/>
        <v>0.41416418517843895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Construction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0.67272727272727284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5">
        <f t="shared" si="9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Domestic work cash income -- see Data2</v>
      </c>
      <c r="B111" s="60">
        <f t="shared" si="82"/>
        <v>0.19239045764201129</v>
      </c>
      <c r="C111" s="60">
        <f t="shared" si="82"/>
        <v>0</v>
      </c>
      <c r="D111" s="24">
        <f t="shared" si="87"/>
        <v>0.19239045764201129</v>
      </c>
      <c r="H111" s="24">
        <f t="shared" si="88"/>
        <v>0.67272727272727284</v>
      </c>
      <c r="I111" s="22">
        <f t="shared" si="89"/>
        <v>0.12942630786826217</v>
      </c>
      <c r="J111" s="24">
        <f t="shared" si="90"/>
        <v>0.12942630786826217</v>
      </c>
      <c r="K111" s="22">
        <f t="shared" si="91"/>
        <v>0.19239045764201129</v>
      </c>
      <c r="L111" s="22">
        <f t="shared" si="92"/>
        <v>0.12942630786826217</v>
      </c>
      <c r="M111" s="225">
        <f t="shared" si="93"/>
        <v>0.12942630786826217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Formal Employment (conservancies, etc.)</v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0.57212121212121214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5">
        <f t="shared" si="93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Self-employment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0.48484848484848486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5">
        <f t="shared" si="93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Small business -- see Data2</v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0.57212121212121214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5">
        <f t="shared" si="93"/>
        <v>0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Social development -- see Data2</v>
      </c>
      <c r="B115" s="60">
        <f t="shared" si="82"/>
        <v>1.5134716001171555</v>
      </c>
      <c r="C115" s="60">
        <f t="shared" si="82"/>
        <v>0</v>
      </c>
      <c r="D115" s="24">
        <f t="shared" si="87"/>
        <v>1.5134716001171555</v>
      </c>
      <c r="H115" s="24">
        <f t="shared" si="88"/>
        <v>0.7151515151515152</v>
      </c>
      <c r="I115" s="22">
        <f t="shared" si="89"/>
        <v>1.0823615079625719</v>
      </c>
      <c r="J115" s="24">
        <f t="shared" si="90"/>
        <v>1.0823615079625719</v>
      </c>
      <c r="K115" s="22">
        <f t="shared" si="91"/>
        <v>1.5134716001171555</v>
      </c>
      <c r="L115" s="22">
        <f t="shared" si="92"/>
        <v>1.0823615079625719</v>
      </c>
      <c r="M115" s="225">
        <f t="shared" si="93"/>
        <v>1.0823615079625719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>Public works -- see Data2</v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0.7151515151515152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5">
        <f t="shared" si="93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>Remittances: no. times per year</v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0.67272727272727284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5">
        <f t="shared" si="93"/>
        <v>0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5">
        <f t="shared" si="9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2.6663446966400137</v>
      </c>
      <c r="C119" s="29">
        <f>SUM(C91:C118)</f>
        <v>-0.17224290138338955</v>
      </c>
      <c r="D119" s="24">
        <f>SUM(D91:D118)</f>
        <v>2.4941017952566238</v>
      </c>
      <c r="E119" s="22"/>
      <c r="F119" s="2"/>
      <c r="G119" s="2"/>
      <c r="H119" s="31"/>
      <c r="I119" s="22">
        <f>SUM(I91:I118)</f>
        <v>1.7294570307737653</v>
      </c>
      <c r="J119" s="24">
        <f>SUM(J91:J118)</f>
        <v>1.7294570307737653</v>
      </c>
      <c r="K119" s="22">
        <f>SUM(K91:K118)</f>
        <v>2.6663446966400137</v>
      </c>
      <c r="L119" s="22">
        <f>SUM(L91:L118)</f>
        <v>1.8560921871137852</v>
      </c>
      <c r="M119" s="57">
        <f t="shared" si="81"/>
        <v>1.7294570307737653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0.95268990489019179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9">
        <f>(B124)</f>
        <v>0.95268990489019179</v>
      </c>
      <c r="L124" s="29">
        <f>IF(SUMPRODUCT($B$124:$B124,$H$124:$H124)&lt;L$119,($B124*$H124),L$119)</f>
        <v>0.80834294960379915</v>
      </c>
      <c r="M124" s="238">
        <f t="shared" si="94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9">
        <f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238">
        <f t="shared" si="94"/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0.13627657416309133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0.13627657416309133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0.71440989937733512</v>
      </c>
      <c r="C128" s="56"/>
      <c r="D128" s="31"/>
      <c r="E128" s="2"/>
      <c r="F128" s="2"/>
      <c r="G128" s="2"/>
      <c r="H128" s="24"/>
      <c r="I128" s="29">
        <f>(I30)</f>
        <v>0.92111408116996618</v>
      </c>
      <c r="J128" s="226">
        <f>(J30)</f>
        <v>0.39390798373511338</v>
      </c>
      <c r="K128" s="29">
        <f>(B128)</f>
        <v>0.71440989937733512</v>
      </c>
      <c r="L128" s="29">
        <f>IF(L124=L119,0,(L119-L124)/(B119-B124)*K128)</f>
        <v>0.43679884125195861</v>
      </c>
      <c r="M128" s="238">
        <f t="shared" si="94"/>
        <v>0.39390798373511338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2.6663446966400137</v>
      </c>
      <c r="C130" s="56"/>
      <c r="D130" s="31"/>
      <c r="E130" s="2"/>
      <c r="F130" s="2"/>
      <c r="G130" s="2"/>
      <c r="H130" s="24"/>
      <c r="I130" s="29">
        <f>(I119)</f>
        <v>1.7294570307737653</v>
      </c>
      <c r="J130" s="226">
        <f>(J119)</f>
        <v>1.7294570307737653</v>
      </c>
      <c r="K130" s="29">
        <f>(B130)</f>
        <v>2.6663446966400137</v>
      </c>
      <c r="L130" s="29">
        <f>(L119)</f>
        <v>1.8560921871137852</v>
      </c>
      <c r="M130" s="238">
        <f t="shared" si="94"/>
        <v>1.7294570307737653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0.7442509333236047</v>
      </c>
      <c r="J131" s="235">
        <f>IF(SUMPRODUCT($B124:$B125,$H124:$H125)&gt;(J119-J128),SUMPRODUCT($B124:$B125,$H124:$H125)+J128-J119,0)</f>
        <v>0.21704483588875179</v>
      </c>
      <c r="K131" s="29"/>
      <c r="L131" s="29">
        <f>IF(I131&lt;SUM(L126:L127),0,I131-(SUM(L126:L127)))</f>
        <v>0.7442509333236047</v>
      </c>
      <c r="M131" s="235">
        <f>IF(I131&lt;SUM(M126:M127),0,I131-(SUM(M126:M127)))</f>
        <v>0.7442509333236047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244" operator="equal">
      <formula>16</formula>
    </cfRule>
    <cfRule type="cellIs" dxfId="407" priority="245" operator="equal">
      <formula>15</formula>
    </cfRule>
    <cfRule type="cellIs" dxfId="406" priority="246" operator="equal">
      <formula>14</formula>
    </cfRule>
    <cfRule type="cellIs" dxfId="405" priority="247" operator="equal">
      <formula>13</formula>
    </cfRule>
    <cfRule type="cellIs" dxfId="404" priority="248" operator="equal">
      <formula>12</formula>
    </cfRule>
    <cfRule type="cellIs" dxfId="403" priority="249" operator="equal">
      <formula>11</formula>
    </cfRule>
    <cfRule type="cellIs" dxfId="402" priority="250" operator="equal">
      <formula>10</formula>
    </cfRule>
    <cfRule type="cellIs" dxfId="401" priority="251" operator="equal">
      <formula>9</formula>
    </cfRule>
    <cfRule type="cellIs" dxfId="400" priority="252" operator="equal">
      <formula>8</formula>
    </cfRule>
    <cfRule type="cellIs" dxfId="399" priority="253" operator="equal">
      <formula>7</formula>
    </cfRule>
    <cfRule type="cellIs" dxfId="398" priority="254" operator="equal">
      <formula>6</formula>
    </cfRule>
    <cfRule type="cellIs" dxfId="397" priority="255" operator="equal">
      <formula>5</formula>
    </cfRule>
    <cfRule type="cellIs" dxfId="396" priority="256" operator="equal">
      <formula>4</formula>
    </cfRule>
    <cfRule type="cellIs" dxfId="395" priority="257" operator="equal">
      <formula>3</formula>
    </cfRule>
    <cfRule type="cellIs" dxfId="394" priority="258" operator="equal">
      <formula>2</formula>
    </cfRule>
    <cfRule type="cellIs" dxfId="393" priority="259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6" activePane="bottomRight" state="frozen"/>
      <selection pane="topRight" activeCell="B1" sqref="B1"/>
      <selection pane="bottomLeft" activeCell="A3" sqref="A3"/>
      <selection pane="bottomRight" activeCell="N118" sqref="N11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5.2556592777085923E-2</v>
      </c>
      <c r="C6" s="102">
        <f>IF([1]Summ!$I1044="",0,[1]Summ!$I1044)</f>
        <v>-1.6684632627646322E-2</v>
      </c>
      <c r="D6" s="24">
        <f t="shared" ref="D6:D29" si="0">(B6+C6)</f>
        <v>3.5871960149439601E-2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1.79359800747198E-2</v>
      </c>
      <c r="J6" s="24">
        <f t="shared" ref="J6:J13" si="3">IF(I$32&lt;=1+I$131,I6,B6*H6+J$33*(I6-B6*H6))</f>
        <v>2.1814753759943413E-2</v>
      </c>
      <c r="K6" s="22">
        <f t="shared" ref="K6:K31" si="4">B6</f>
        <v>5.2556592777085923E-2</v>
      </c>
      <c r="L6" s="22">
        <f t="shared" ref="L6:L29" si="5">IF(K6="","",K6*H6)</f>
        <v>2.6278296388542961E-2</v>
      </c>
      <c r="M6" s="222">
        <f t="shared" ref="M6:M31" si="6">J6</f>
        <v>2.1814753759943413E-2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8.7259015039773652E-2</v>
      </c>
      <c r="Z6" s="156">
        <f>Poor!Z6</f>
        <v>0.17</v>
      </c>
      <c r="AA6" s="121">
        <f>$M6*Z6*4</f>
        <v>1.4834032556761521E-2</v>
      </c>
      <c r="AB6" s="156">
        <f>Poor!AB6</f>
        <v>0.17</v>
      </c>
      <c r="AC6" s="121">
        <f t="shared" ref="AC6:AC29" si="7">$M6*AB6*4</f>
        <v>1.4834032556761521E-2</v>
      </c>
      <c r="AD6" s="156">
        <f>Poor!AD6</f>
        <v>0.33</v>
      </c>
      <c r="AE6" s="121">
        <f t="shared" ref="AE6:AE29" si="8">$M6*AD6*4</f>
        <v>2.8795474963125307E-2</v>
      </c>
      <c r="AF6" s="122">
        <f>1-SUM(Z6,AB6,AD6)</f>
        <v>0.32999999999999996</v>
      </c>
      <c r="AG6" s="121">
        <f>$M6*AF6*4</f>
        <v>2.8795474963125303E-2</v>
      </c>
      <c r="AH6" s="123">
        <f>SUM(Z6,AB6,AD6,AF6)</f>
        <v>1</v>
      </c>
      <c r="AI6" s="183">
        <f>SUM(AA6,AC6,AE6,AG6)/4</f>
        <v>2.1814753759943413E-2</v>
      </c>
      <c r="AJ6" s="120">
        <f>(AA6+AC6)/2</f>
        <v>1.4834032556761521E-2</v>
      </c>
      <c r="AK6" s="119">
        <f>(AE6+AG6)/2</f>
        <v>2.8795474963125303E-2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4.187456413449564E-2</v>
      </c>
      <c r="C7" s="102">
        <f>IF([1]Summ!$I1045="",0,[1]Summ!$I1045)</f>
        <v>0</v>
      </c>
      <c r="D7" s="24">
        <f t="shared" si="0"/>
        <v>4.187456413449564E-2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2.093728206724782E-2</v>
      </c>
      <c r="J7" s="24">
        <f t="shared" si="3"/>
        <v>2.093728206724782E-2</v>
      </c>
      <c r="K7" s="22">
        <f t="shared" si="4"/>
        <v>4.187456413449564E-2</v>
      </c>
      <c r="L7" s="22">
        <f t="shared" si="5"/>
        <v>2.093728206724782E-2</v>
      </c>
      <c r="M7" s="222">
        <f t="shared" si="6"/>
        <v>2.093728206724782E-2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5752.6982138318717</v>
      </c>
      <c r="S7" s="220">
        <f>IF($B$81=0,0,(SUMIF($N$6:$N$28,$U7,L$6:L$28)+SUMIF($N$91:$N$118,$U7,L$91:L$118))*$I$83*Poor!$B$81/$B$81)</f>
        <v>6487.395628282934</v>
      </c>
      <c r="T7" s="220">
        <f>IF($B$81=0,0,(SUMIF($N$6:$N$28,$U7,M$6:M$28)+SUMIF($N$91:$N$118,$U7,M$91:M$118))*$I$83*Poor!$B$81/$B$81)</f>
        <v>7108.708312548004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8.374912826899128E-2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8.374912826899128E-2</v>
      </c>
      <c r="AH7" s="123">
        <f t="shared" ref="AH7:AH30" si="12">SUM(Z7,AB7,AD7,AF7)</f>
        <v>1</v>
      </c>
      <c r="AI7" s="183">
        <f t="shared" ref="AI7:AI30" si="13">SUM(AA7,AC7,AE7,AG7)/4</f>
        <v>2.093728206724782E-2</v>
      </c>
      <c r="AJ7" s="120">
        <f t="shared" ref="AJ7:AJ31" si="14">(AA7+AC7)/2</f>
        <v>0</v>
      </c>
      <c r="AK7" s="119">
        <f t="shared" ref="AK7:AK31" si="15">(AE7+AG7)/2</f>
        <v>4.187456413449564E-2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2.8333333333333335E-2</v>
      </c>
      <c r="C8" s="102">
        <f>IF([1]Summ!$I1046="",0,[1]Summ!$I1046)</f>
        <v>0</v>
      </c>
      <c r="D8" s="24">
        <f t="shared" si="0"/>
        <v>2.8333333333333335E-2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23506.728409331092</v>
      </c>
      <c r="S8" s="220">
        <f>IF($B$81=0,0,(SUMIF($N$6:$N$28,$U8,L$6:L$28)+SUMIF($N$91:$N$118,$U8,L$91:L$118))*$I$83*Poor!$B$81/$B$81)</f>
        <v>22708.000000000004</v>
      </c>
      <c r="T8" s="220">
        <f>IF($B$81=0,0,(SUMIF($N$6:$N$28,$U8,M$6:M$28)+SUMIF($N$91:$N$118,$U8,M$91:M$118))*$I$83*Poor!$B$81/$B$81)</f>
        <v>11724.420339206097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0.11333333333333334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2.8333333333333335E-2</v>
      </c>
      <c r="AJ8" s="120">
        <f t="shared" si="14"/>
        <v>5.6666666666666671E-2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7.5706520547945202E-2</v>
      </c>
      <c r="C9" s="102">
        <f>IF([1]Summ!$I1047="",0,[1]Summ!$I1047)</f>
        <v>2.3658287671232875E-2</v>
      </c>
      <c r="D9" s="24">
        <f t="shared" si="0"/>
        <v>9.9364808219178077E-2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0.10830764095890411</v>
      </c>
      <c r="J9" s="24">
        <f t="shared" si="3"/>
        <v>9.6317684833650774E-2</v>
      </c>
      <c r="K9" s="22">
        <f t="shared" si="4"/>
        <v>7.5706520547945202E-2</v>
      </c>
      <c r="L9" s="22">
        <f t="shared" si="5"/>
        <v>8.2520107397260276E-2</v>
      </c>
      <c r="M9" s="222">
        <f t="shared" si="6"/>
        <v>9.6317684833650774E-2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2671.9956497648514</v>
      </c>
      <c r="S9" s="220">
        <f>IF($B$81=0,0,(SUMIF($N$6:$N$28,$U9,L$6:L$28)+SUMIF($N$91:$N$118,$U9,L$91:L$118))*$I$83*Poor!$B$81/$B$81)</f>
        <v>1457.7673937927914</v>
      </c>
      <c r="T9" s="220">
        <f>IF($B$81=0,0,(SUMIF($N$6:$N$28,$U9,M$6:M$28)+SUMIF($N$91:$N$118,$U9,M$91:M$118))*$I$83*Poor!$B$81/$B$81)</f>
        <v>1319.9567999679357</v>
      </c>
      <c r="U9" s="221">
        <v>3</v>
      </c>
      <c r="V9" s="56"/>
      <c r="W9" s="115"/>
      <c r="X9" s="118">
        <f>Poor!X9</f>
        <v>1</v>
      </c>
      <c r="Y9" s="183">
        <f t="shared" si="9"/>
        <v>0.3852707393346031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0.3852707393346031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9.6317684833650774E-2</v>
      </c>
      <c r="AJ9" s="120">
        <f t="shared" si="14"/>
        <v>0.19263536966730155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Tomato</v>
      </c>
      <c r="B10" s="101">
        <f>IF([1]Summ!$H1048="",0,[1]Summ!$H1048)</f>
        <v>0</v>
      </c>
      <c r="C10" s="102">
        <f>IF([1]Summ!$I1048="",0,[1]Summ!$I1048)</f>
        <v>2.6151930261519304E-4</v>
      </c>
      <c r="D10" s="24">
        <f t="shared" si="0"/>
        <v>2.6151930261519304E-4</v>
      </c>
      <c r="E10" s="75">
        <f>Poor!E10</f>
        <v>1</v>
      </c>
      <c r="H10" s="24">
        <f t="shared" si="1"/>
        <v>1</v>
      </c>
      <c r="I10" s="22">
        <f t="shared" si="2"/>
        <v>2.6151930261519304E-4</v>
      </c>
      <c r="J10" s="24">
        <f t="shared" si="3"/>
        <v>1.3992547291575687E-4</v>
      </c>
      <c r="K10" s="22">
        <f t="shared" si="4"/>
        <v>0</v>
      </c>
      <c r="L10" s="22">
        <f t="shared" si="5"/>
        <v>0</v>
      </c>
      <c r="M10" s="222">
        <f t="shared" si="6"/>
        <v>1.3992547291575687E-4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8316.9511901782571</v>
      </c>
      <c r="S10" s="220">
        <f>IF($B$81=0,0,(SUMIF($N$6:$N$28,$U10,L$6:L$28)+SUMIF($N$91:$N$118,$U10,L$91:L$118))*$I$83*Poor!$B$81/$B$81)</f>
        <v>3245</v>
      </c>
      <c r="T10" s="220">
        <f>IF($B$81=0,0,(SUMIF($N$6:$N$28,$U10,M$6:M$28)+SUMIF($N$91:$N$118,$U10,M$91:M$118))*$I$83*Poor!$B$81/$B$81)</f>
        <v>3876.357060031411</v>
      </c>
      <c r="U10" s="221">
        <v>4</v>
      </c>
      <c r="V10" s="56"/>
      <c r="W10" s="115"/>
      <c r="X10" s="118">
        <f>Poor!X10</f>
        <v>1</v>
      </c>
      <c r="Y10" s="183">
        <f t="shared" si="9"/>
        <v>5.597018916630275E-4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5.597018916630275E-4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1.3992547291575687E-4</v>
      </c>
      <c r="AJ10" s="120">
        <f t="shared" si="14"/>
        <v>2.7985094583151375E-4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Onions</v>
      </c>
      <c r="B11" s="101">
        <f>IF([1]Summ!$H1049="",0,[1]Summ!$H1049)</f>
        <v>-1.2515566625155664E-4</v>
      </c>
      <c r="C11" s="102">
        <f>IF([1]Summ!$I1049="",0,[1]Summ!$I1049)</f>
        <v>1.2515566625155664E-4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-5.8191332784730151E-5</v>
      </c>
      <c r="K11" s="22">
        <f t="shared" si="4"/>
        <v>-1.2515566625155664E-4</v>
      </c>
      <c r="L11" s="22">
        <f t="shared" si="5"/>
        <v>-1.2515566625155664E-4</v>
      </c>
      <c r="M11" s="222">
        <f t="shared" si="6"/>
        <v>-5.8191332784730151E-5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22289.429189677729</v>
      </c>
      <c r="S11" s="220">
        <f>IF($B$81=0,0,(SUMIF($N$6:$N$28,$U11,L$6:L$28)+SUMIF($N$91:$N$118,$U11,L$91:L$118))*$I$83*Poor!$B$81/$B$81)</f>
        <v>14013.679999999998</v>
      </c>
      <c r="T11" s="220">
        <f>IF($B$81=0,0,(SUMIF($N$6:$N$28,$U11,M$6:M$28)+SUMIF($N$91:$N$118,$U11,M$91:M$118))*$I$83*Poor!$B$81/$B$81)</f>
        <v>11750.896296847424</v>
      </c>
      <c r="U11" s="221">
        <v>5</v>
      </c>
      <c r="V11" s="56"/>
      <c r="W11" s="115"/>
      <c r="X11" s="118">
        <f>Poor!X11</f>
        <v>1</v>
      </c>
      <c r="Y11" s="183">
        <f t="shared" si="9"/>
        <v>-2.327653311389206E-4</v>
      </c>
      <c r="Z11" s="125">
        <f>IF($Y11=0,0,AA11/$Y11)</f>
        <v>1.0991230791187365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-2.5583774747350271E-4</v>
      </c>
      <c r="AB11" s="125">
        <f>IF($Y11=0,0,AC11/$Y11)</f>
        <v>-9.9123079118736426E-2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2.307241633458211E-5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-5.8191332784730151E-5</v>
      </c>
      <c r="AJ11" s="120">
        <f t="shared" si="14"/>
        <v>-1.163826655694603E-4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Beetroot</v>
      </c>
      <c r="B12" s="101">
        <f>IF([1]Summ!$H1050="",0,[1]Summ!$H1050)</f>
        <v>5.4638854296388541E-4</v>
      </c>
      <c r="C12" s="102">
        <f>IF([1]Summ!$I1050="",0,[1]Summ!$I1050)</f>
        <v>-5.4638854296388541E-4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2.5404425133632196E-4</v>
      </c>
      <c r="K12" s="22">
        <f t="shared" si="4"/>
        <v>5.4638854296388541E-4</v>
      </c>
      <c r="L12" s="22">
        <f t="shared" si="5"/>
        <v>5.4638854296388541E-4</v>
      </c>
      <c r="M12" s="222">
        <f t="shared" si="6"/>
        <v>2.5404425133632196E-4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1.0161770053452878E-3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6.8083859358134295E-4</v>
      </c>
      <c r="AF12" s="122">
        <f>1-SUM(Z12,AB12,AD12)</f>
        <v>0.32999999999999996</v>
      </c>
      <c r="AG12" s="121">
        <f>$M12*AF12*4</f>
        <v>3.3533841176394496E-4</v>
      </c>
      <c r="AH12" s="123">
        <f t="shared" si="12"/>
        <v>1</v>
      </c>
      <c r="AI12" s="183">
        <f t="shared" si="13"/>
        <v>2.5404425133632196E-4</v>
      </c>
      <c r="AJ12" s="120">
        <f t="shared" si="14"/>
        <v>0</v>
      </c>
      <c r="AK12" s="119">
        <f t="shared" si="15"/>
        <v>5.0808850267264392E-4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f>IF([1]Summ!$H1051="",0,[1]Summ!$H1051)</f>
        <v>1.1044520547945205E-2</v>
      </c>
      <c r="C13" s="102">
        <f>IF([1]Summ!$I1051="",0,[1]Summ!$I1051)</f>
        <v>-1.1044520547945202E-3</v>
      </c>
      <c r="D13" s="24">
        <f t="shared" si="0"/>
        <v>9.940068493150685E-3</v>
      </c>
      <c r="E13" s="75">
        <f>Poor!E13</f>
        <v>1</v>
      </c>
      <c r="H13" s="24">
        <f t="shared" si="1"/>
        <v>1</v>
      </c>
      <c r="I13" s="22">
        <f t="shared" si="2"/>
        <v>9.940068493150685E-3</v>
      </c>
      <c r="J13" s="24">
        <f t="shared" si="3"/>
        <v>1.0453585291792054E-2</v>
      </c>
      <c r="K13" s="22">
        <f t="shared" si="4"/>
        <v>1.1044520547945205E-2</v>
      </c>
      <c r="L13" s="22">
        <f t="shared" si="5"/>
        <v>1.1044520547945205E-2</v>
      </c>
      <c r="M13" s="223">
        <f t="shared" si="6"/>
        <v>1.0453585291792054E-2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48608.336911454768</v>
      </c>
      <c r="S13" s="220">
        <f>IF($B$81=0,0,(SUMIF($N$6:$N$28,$U13,L$6:L$28)+SUMIF($N$91:$N$118,$U13,L$91:L$118))*$I$83*Poor!$B$81/$B$81)</f>
        <v>37162.74549515031</v>
      </c>
      <c r="T13" s="220">
        <f>IF($B$81=0,0,(SUMIF($N$6:$N$28,$U13,M$6:M$28)+SUMIF($N$91:$N$118,$U13,M$91:M$118))*$I$83*Poor!$B$81/$B$81)</f>
        <v>37162.74549515031</v>
      </c>
      <c r="U13" s="221">
        <v>7</v>
      </c>
      <c r="V13" s="56"/>
      <c r="W13" s="110"/>
      <c r="X13" s="118"/>
      <c r="Y13" s="183">
        <f t="shared" si="9"/>
        <v>4.1814341167168215E-2</v>
      </c>
      <c r="Z13" s="156">
        <f>Poor!Z13</f>
        <v>1</v>
      </c>
      <c r="AA13" s="121">
        <f>$M13*Z13*4</f>
        <v>4.1814341167168215E-2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1.0453585291792054E-2</v>
      </c>
      <c r="AJ13" s="120">
        <f t="shared" si="14"/>
        <v>2.0907170583584107E-2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Chillies: kg produced</v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Sweet potatoes</v>
      </c>
      <c r="B15" s="101">
        <f>IF([1]Summ!$H1053="",0,[1]Summ!$H1053)</f>
        <v>4.3066625155666248E-2</v>
      </c>
      <c r="C15" s="102">
        <f>IF([1]Summ!$I1053="",0,[1]Summ!$I1053)</f>
        <v>1.4850560398505658E-3</v>
      </c>
      <c r="D15" s="24">
        <f t="shared" si="0"/>
        <v>4.4551681195516814E-2</v>
      </c>
      <c r="E15" s="75">
        <f>Poor!E15</f>
        <v>1</v>
      </c>
      <c r="F15" s="22"/>
      <c r="H15" s="24">
        <f t="shared" si="1"/>
        <v>1</v>
      </c>
      <c r="I15" s="22">
        <f t="shared" si="2"/>
        <v>4.4551681195516814E-2</v>
      </c>
      <c r="J15" s="24">
        <f>IF(I$32&lt;=1+I131,I15,B15*H15+J$33*(I15-B15*H15))</f>
        <v>4.3861201948295014E-2</v>
      </c>
      <c r="K15" s="22">
        <f t="shared" si="4"/>
        <v>4.3066625155666248E-2</v>
      </c>
      <c r="L15" s="22">
        <f t="shared" si="5"/>
        <v>4.3066625155666248E-2</v>
      </c>
      <c r="M15" s="224">
        <f t="shared" si="6"/>
        <v>4.3861201948295014E-2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0.17544480779318006</v>
      </c>
      <c r="Z15" s="156">
        <f>Poor!Z15</f>
        <v>0.25</v>
      </c>
      <c r="AA15" s="121">
        <f t="shared" si="16"/>
        <v>4.3861201948295014E-2</v>
      </c>
      <c r="AB15" s="156">
        <f>Poor!AB15</f>
        <v>0.25</v>
      </c>
      <c r="AC15" s="121">
        <f t="shared" si="7"/>
        <v>4.3861201948295014E-2</v>
      </c>
      <c r="AD15" s="156">
        <f>Poor!AD15</f>
        <v>0.25</v>
      </c>
      <c r="AE15" s="121">
        <f t="shared" si="8"/>
        <v>4.3861201948295014E-2</v>
      </c>
      <c r="AF15" s="122">
        <f t="shared" si="10"/>
        <v>0.25</v>
      </c>
      <c r="AG15" s="121">
        <f t="shared" si="11"/>
        <v>4.3861201948295014E-2</v>
      </c>
      <c r="AH15" s="123">
        <f t="shared" si="12"/>
        <v>1</v>
      </c>
      <c r="AI15" s="183">
        <f t="shared" si="13"/>
        <v>4.3861201948295014E-2</v>
      </c>
      <c r="AJ15" s="120">
        <f t="shared" si="14"/>
        <v>4.3861201948295014E-2</v>
      </c>
      <c r="AK15" s="119">
        <f t="shared" si="15"/>
        <v>4.3861201948295014E-2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Cabbage</v>
      </c>
      <c r="B16" s="101">
        <f>IF([1]Summ!$H1054="",0,[1]Summ!$H1054)</f>
        <v>2.9656288916562888E-3</v>
      </c>
      <c r="C16" s="102">
        <f>IF([1]Summ!$I1054="",0,[1]Summ!$I1054)</f>
        <v>1.7299501867995017E-3</v>
      </c>
      <c r="D16" s="24">
        <f t="shared" si="0"/>
        <v>4.6955790784557905E-3</v>
      </c>
      <c r="E16" s="75">
        <f>Poor!E16</f>
        <v>1</v>
      </c>
      <c r="F16" s="22"/>
      <c r="H16" s="24">
        <f t="shared" si="1"/>
        <v>1</v>
      </c>
      <c r="I16" s="22">
        <f t="shared" si="2"/>
        <v>4.6955790784557905E-3</v>
      </c>
      <c r="J16" s="24">
        <f>IF(I$32&lt;=1+I131,I16,B16*H16+J$33*(I16-B16*H16))</f>
        <v>3.8912358949940206E-3</v>
      </c>
      <c r="K16" s="22">
        <f t="shared" si="4"/>
        <v>2.9656288916562888E-3</v>
      </c>
      <c r="L16" s="22">
        <f t="shared" si="5"/>
        <v>2.9656288916562888E-3</v>
      </c>
      <c r="M16" s="222">
        <f t="shared" si="6"/>
        <v>3.8912358949940206E-3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30848.328050842993</v>
      </c>
      <c r="S16" s="220">
        <f>IF($B$81=0,0,(SUMIF($N$6:$N$28,$U16,L$6:L$28)+SUMIF($N$91:$N$118,$U16,L$91:L$118))*$I$83*Poor!$B$81/$B$81)</f>
        <v>16320</v>
      </c>
      <c r="T16" s="220">
        <f>IF($B$81=0,0,(SUMIF($N$6:$N$28,$U16,M$6:M$28)+SUMIF($N$91:$N$118,$U16,M$91:M$118))*$I$83*Poor!$B$81/$B$81)</f>
        <v>18066.397833849598</v>
      </c>
      <c r="U16" s="221">
        <v>10</v>
      </c>
      <c r="V16" s="56"/>
      <c r="W16" s="110"/>
      <c r="X16" s="118"/>
      <c r="Y16" s="183">
        <f t="shared" si="9"/>
        <v>1.5564943579976082E-2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1.5564943579976082E-2</v>
      </c>
      <c r="AH16" s="123">
        <f t="shared" si="12"/>
        <v>1</v>
      </c>
      <c r="AI16" s="183">
        <f t="shared" si="13"/>
        <v>3.8912358949940206E-3</v>
      </c>
      <c r="AJ16" s="120">
        <f t="shared" si="14"/>
        <v>0</v>
      </c>
      <c r="AK16" s="119">
        <f t="shared" si="15"/>
        <v>7.7824717899880411E-3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12702.252726817702</v>
      </c>
      <c r="S17" s="220">
        <f>IF($B$81=0,0,(SUMIF($N$6:$N$28,$U17,L$6:L$28)+SUMIF($N$91:$N$118,$U17,L$91:L$118))*$I$83*Poor!$B$81/$B$81)</f>
        <v>7929.6</v>
      </c>
      <c r="T17" s="220">
        <f>IF($B$81=0,0,(SUMIF($N$6:$N$28,$U17,M$6:M$28)+SUMIF($N$91:$N$118,$U17,M$91:M$118))*$I$83*Poor!$B$81/$B$81)</f>
        <v>7929.6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</v>
      </c>
      <c r="B18" s="101">
        <f>IF([1]Summ!$H1056="",0,[1]Summ!$H1056)</f>
        <v>1.8212951432129514E-4</v>
      </c>
      <c r="C18" s="102">
        <f>IF([1]Summ!$I1056="",0,[1]Summ!$I1056)</f>
        <v>5.4638854296388541E-4</v>
      </c>
      <c r="D18" s="24">
        <f t="shared" ref="D18:D25" si="18">(B18+C18)</f>
        <v>7.2851805728518055E-4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7.2851805728518055E-4</v>
      </c>
      <c r="J18" s="24">
        <f t="shared" si="17"/>
        <v>4.7447380594885859E-4</v>
      </c>
      <c r="K18" s="22">
        <f t="shared" ref="K18:K25" si="21">B18</f>
        <v>1.8212951432129514E-4</v>
      </c>
      <c r="L18" s="22">
        <f t="shared" ref="L18:L25" si="22">IF(K18="","",K18*H18)</f>
        <v>1.8212951432129514E-4</v>
      </c>
      <c r="M18" s="223">
        <f t="shared" ref="M18:M25" si="23">J18</f>
        <v>4.7447380594885859E-4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3368.5356678192775</v>
      </c>
      <c r="S18" s="220">
        <f>IF($B$81=0,0,(SUMIF($N$6:$N$28,$U18,L$6:L$28)+SUMIF($N$91:$N$118,$U18,L$91:L$118))*$I$83*Poor!$B$81/$B$81)</f>
        <v>3675.560970173824</v>
      </c>
      <c r="T18" s="220">
        <f>IF($B$81=0,0,(SUMIF($N$6:$N$28,$U18,M$6:M$28)+SUMIF($N$91:$N$118,$U18,M$91:M$118))*$I$83*Poor!$B$81/$B$81)</f>
        <v>3675.560970173824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Potatoes</v>
      </c>
      <c r="B19" s="101">
        <f>IF([1]Summ!$H1057="",0,[1]Summ!$H1057)</f>
        <v>4.0569738480697386E-2</v>
      </c>
      <c r="C19" s="102">
        <f>IF([1]Summ!$I1057="",0,[1]Summ!$I1057)</f>
        <v>8.3094645080946453E-3</v>
      </c>
      <c r="D19" s="24">
        <f t="shared" si="18"/>
        <v>4.8879202988792031E-2</v>
      </c>
      <c r="E19" s="75">
        <f>Poor!E19</f>
        <v>1</v>
      </c>
      <c r="F19" s="22"/>
      <c r="H19" s="24">
        <f t="shared" si="19"/>
        <v>1</v>
      </c>
      <c r="I19" s="22">
        <f t="shared" si="20"/>
        <v>4.8879202988792031E-2</v>
      </c>
      <c r="J19" s="24">
        <f t="shared" si="17"/>
        <v>4.5015703804651613E-2</v>
      </c>
      <c r="K19" s="22">
        <f t="shared" si="21"/>
        <v>4.0569738480697386E-2</v>
      </c>
      <c r="L19" s="22">
        <f t="shared" si="22"/>
        <v>4.0569738480697386E-2</v>
      </c>
      <c r="M19" s="223">
        <f t="shared" si="23"/>
        <v>4.5015703804651613E-2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 / butternut</v>
      </c>
      <c r="B20" s="101">
        <f>IF([1]Summ!$H1058="",0,[1]Summ!$H1058)</f>
        <v>1.0167198007471981E-3</v>
      </c>
      <c r="C20" s="102">
        <f>IF([1]Summ!$I1058="",0,[1]Summ!$I1058)</f>
        <v>1.0167198007471981E-3</v>
      </c>
      <c r="D20" s="24">
        <f t="shared" si="18"/>
        <v>2.0334396014943961E-3</v>
      </c>
      <c r="E20" s="75">
        <f>Poor!E20</f>
        <v>1</v>
      </c>
      <c r="F20" s="22"/>
      <c r="H20" s="24">
        <f t="shared" si="19"/>
        <v>1</v>
      </c>
      <c r="I20" s="22">
        <f t="shared" si="20"/>
        <v>2.0334396014943961E-3</v>
      </c>
      <c r="J20" s="24">
        <f t="shared" si="17"/>
        <v>1.5607140586077683E-3</v>
      </c>
      <c r="K20" s="22">
        <f t="shared" si="21"/>
        <v>1.0167198007471981E-3</v>
      </c>
      <c r="L20" s="22">
        <f t="shared" si="22"/>
        <v>1.0167198007471981E-3</v>
      </c>
      <c r="M20" s="223">
        <f t="shared" si="23"/>
        <v>1.5607140586077683E-3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12883.713480057955</v>
      </c>
      <c r="S20" s="220">
        <f>IF($B$81=0,0,(SUMIF($N$6:$N$28,$U20,L$6:L$28)+SUMIF($N$91:$N$118,$U20,L$91:L$118))*$I$83*Poor!$B$81/$B$81)</f>
        <v>10053.599999999999</v>
      </c>
      <c r="T20" s="220">
        <f>IF($B$81=0,0,(SUMIF($N$6:$N$28,$U20,M$6:M$28)+SUMIF($N$91:$N$118,$U20,M$91:M$118))*$I$83*Poor!$B$81/$B$81)</f>
        <v>10053.599999999999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Weeding</v>
      </c>
      <c r="B21" s="101">
        <f>IF([1]Summ!$H1059="",0,[1]Summ!$H1059)</f>
        <v>7.5706520547945202E-2</v>
      </c>
      <c r="C21" s="102">
        <f>IF([1]Summ!$I1059="",0,[1]Summ!$I1059)</f>
        <v>0</v>
      </c>
      <c r="D21" s="24">
        <f t="shared" si="18"/>
        <v>7.5706520547945202E-2</v>
      </c>
      <c r="E21" s="75">
        <f>Poor!E21</f>
        <v>1</v>
      </c>
      <c r="F21" s="22"/>
      <c r="H21" s="24">
        <f t="shared" si="19"/>
        <v>1</v>
      </c>
      <c r="I21" s="22">
        <f t="shared" si="20"/>
        <v>7.5706520547945202E-2</v>
      </c>
      <c r="J21" s="24">
        <f t="shared" si="17"/>
        <v>7.5706520547945202E-2</v>
      </c>
      <c r="K21" s="22">
        <f t="shared" si="21"/>
        <v>7.5706520547945202E-2</v>
      </c>
      <c r="L21" s="22">
        <f t="shared" si="22"/>
        <v>7.5706520547945202E-2</v>
      </c>
      <c r="M21" s="223">
        <f t="shared" si="23"/>
        <v>7.5706520547945202E-2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1512.172943668774</v>
      </c>
      <c r="S21" s="220">
        <f>IF($B$81=0,0,(SUMIF($N$6:$N$28,$U21,L$6:L$28)+SUMIF($N$91:$N$118,$U21,L$91:L$118))*$I$83*Poor!$B$81/$B$81)</f>
        <v>1110.0000000000002</v>
      </c>
      <c r="T21" s="220">
        <f>IF($B$81=0,0,(SUMIF($N$6:$N$28,$U21,M$6:M$28)+SUMIF($N$91:$N$118,$U21,M$91:M$118))*$I$83*Poor!$B$81/$B$81)</f>
        <v>1110.0000000000002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Harvesting</v>
      </c>
      <c r="B22" s="101">
        <f>IF([1]Summ!$H1060="",0,[1]Summ!$H1060)</f>
        <v>7.0974863013698625E-2</v>
      </c>
      <c r="C22" s="102">
        <f>IF([1]Summ!$I1060="",0,[1]Summ!$I1060)</f>
        <v>0</v>
      </c>
      <c r="D22" s="24">
        <f t="shared" si="18"/>
        <v>7.0974863013698625E-2</v>
      </c>
      <c r="E22" s="75">
        <f>Poor!E22</f>
        <v>1</v>
      </c>
      <c r="F22" s="22"/>
      <c r="H22" s="24">
        <f t="shared" si="19"/>
        <v>1</v>
      </c>
      <c r="I22" s="22">
        <f t="shared" si="20"/>
        <v>7.0974863013698625E-2</v>
      </c>
      <c r="J22" s="24">
        <f t="shared" si="17"/>
        <v>7.0974863013698625E-2</v>
      </c>
      <c r="K22" s="22">
        <f t="shared" si="21"/>
        <v>7.0974863013698625E-2</v>
      </c>
      <c r="L22" s="22">
        <f t="shared" si="22"/>
        <v>7.0974863013698625E-2</v>
      </c>
      <c r="M22" s="223">
        <f t="shared" si="23"/>
        <v>7.0974863013698625E-2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>
        <v>7</v>
      </c>
      <c r="O23" s="2"/>
      <c r="P23" s="22"/>
      <c r="Q23" s="171" t="s">
        <v>100</v>
      </c>
      <c r="R23" s="179">
        <f>SUM(R7:R22)</f>
        <v>172461.14243344529</v>
      </c>
      <c r="S23" s="179">
        <f>SUM(S7:S22)</f>
        <v>124163.34948739989</v>
      </c>
      <c r="T23" s="179">
        <f>SUM(T7:T22)</f>
        <v>113778.24310777462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48896.472302880473</v>
      </c>
      <c r="S24" s="41">
        <f>IF($B$81=0,0,(SUM(($B$70*$H$70))+((1-$D$29)*$I$83))*Poor!$B$81/$B$81)</f>
        <v>48896.472302880473</v>
      </c>
      <c r="T24" s="41">
        <f>IF($B$81=0,0,(SUM(($B$70*$H$70))+((1-$D$29)*$I$83))*Poor!$B$81/$B$81)</f>
        <v>48896.472302880473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3.0517235865504359E-2</v>
      </c>
      <c r="C27" s="102">
        <f>IF([1]Summ!$I1065="",0,[1]Summ!$I1065)</f>
        <v>-3.0517235865504359E-2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1.418903898725863E-2</v>
      </c>
      <c r="K27" s="22">
        <f t="shared" si="4"/>
        <v>3.0517235865504359E-2</v>
      </c>
      <c r="L27" s="22">
        <f t="shared" si="5"/>
        <v>3.0517235865504359E-2</v>
      </c>
      <c r="M27" s="224">
        <f t="shared" si="6"/>
        <v>1.418903898725863E-2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5.675615594903452E-2</v>
      </c>
      <c r="Z27" s="156">
        <f>Poor!Z27</f>
        <v>0.25</v>
      </c>
      <c r="AA27" s="121">
        <f t="shared" si="16"/>
        <v>1.418903898725863E-2</v>
      </c>
      <c r="AB27" s="156">
        <f>Poor!AB27</f>
        <v>0.25</v>
      </c>
      <c r="AC27" s="121">
        <f t="shared" si="7"/>
        <v>1.418903898725863E-2</v>
      </c>
      <c r="AD27" s="156">
        <f>Poor!AD27</f>
        <v>0.25</v>
      </c>
      <c r="AE27" s="121">
        <f t="shared" si="8"/>
        <v>1.418903898725863E-2</v>
      </c>
      <c r="AF27" s="122">
        <f t="shared" si="10"/>
        <v>0.25</v>
      </c>
      <c r="AG27" s="121">
        <f t="shared" si="11"/>
        <v>1.418903898725863E-2</v>
      </c>
      <c r="AH27" s="123">
        <f t="shared" si="12"/>
        <v>1</v>
      </c>
      <c r="AI27" s="183">
        <f t="shared" si="13"/>
        <v>1.418903898725863E-2</v>
      </c>
      <c r="AJ27" s="120">
        <f t="shared" si="14"/>
        <v>1.418903898725863E-2</v>
      </c>
      <c r="AK27" s="119">
        <f t="shared" si="15"/>
        <v>1.418903898725863E-2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0.2100769915068493</v>
      </c>
      <c r="C29" s="102">
        <f>IF([1]Summ!$I1067="",0,[1]Summ!$I1067)</f>
        <v>1.4559782435147765E-2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0.21786717916189327</v>
      </c>
      <c r="K29" s="22">
        <f t="shared" si="4"/>
        <v>0.2100769915068493</v>
      </c>
      <c r="L29" s="22">
        <f t="shared" si="5"/>
        <v>0.2100769915068493</v>
      </c>
      <c r="M29" s="222">
        <f t="shared" si="6"/>
        <v>0.21786717916189327</v>
      </c>
      <c r="N29" s="227"/>
      <c r="P29" s="22"/>
      <c r="V29" s="56"/>
      <c r="W29" s="110"/>
      <c r="X29" s="118"/>
      <c r="Y29" s="183">
        <f t="shared" si="9"/>
        <v>0.87146871664757308</v>
      </c>
      <c r="Z29" s="156">
        <f>Poor!Z29</f>
        <v>0.25</v>
      </c>
      <c r="AA29" s="121">
        <f t="shared" si="16"/>
        <v>0.21786717916189327</v>
      </c>
      <c r="AB29" s="156">
        <f>Poor!AB29</f>
        <v>0.25</v>
      </c>
      <c r="AC29" s="121">
        <f t="shared" si="7"/>
        <v>0.21786717916189327</v>
      </c>
      <c r="AD29" s="156">
        <f>Poor!AD29</f>
        <v>0.25</v>
      </c>
      <c r="AE29" s="121">
        <f t="shared" si="8"/>
        <v>0.21786717916189327</v>
      </c>
      <c r="AF29" s="122">
        <f t="shared" si="10"/>
        <v>0.25</v>
      </c>
      <c r="AG29" s="121">
        <f t="shared" si="11"/>
        <v>0.21786717916189327</v>
      </c>
      <c r="AH29" s="123">
        <f t="shared" si="12"/>
        <v>1</v>
      </c>
      <c r="AI29" s="183">
        <f t="shared" si="13"/>
        <v>0.21786717916189327</v>
      </c>
      <c r="AJ29" s="120">
        <f t="shared" si="14"/>
        <v>0.21786717916189327</v>
      </c>
      <c r="AK29" s="119">
        <f t="shared" si="15"/>
        <v>0.21786717916189327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0.6807752441843089</v>
      </c>
      <c r="C30" s="103"/>
      <c r="D30" s="24">
        <f>(D119-B124)</f>
        <v>3.9167660198229042</v>
      </c>
      <c r="E30" s="75">
        <f>Poor!E30</f>
        <v>1</v>
      </c>
      <c r="H30" s="96">
        <f>(E30*F$7/F$9)</f>
        <v>1</v>
      </c>
      <c r="I30" s="29">
        <f>IF(E30&gt;=1,I119-I124,MIN(I119-I124,B30*H30))</f>
        <v>2.0321875005410948</v>
      </c>
      <c r="J30" s="229">
        <f>IF(I$32&lt;=1,I30,1-SUM(J6:J29))</f>
        <v>0.22921903205165328</v>
      </c>
      <c r="K30" s="22">
        <f t="shared" si="4"/>
        <v>0.6807752441843089</v>
      </c>
      <c r="L30" s="22">
        <f>IF(L124=L119,0,IF(K30="",0,(L119-L124)/(B119-B124)*K30))</f>
        <v>0.39996559446727392</v>
      </c>
      <c r="M30" s="175">
        <f t="shared" si="6"/>
        <v>0.22921903205165328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0.91687612820661313</v>
      </c>
      <c r="Z30" s="122">
        <f>IF($Y30=0,0,AA30/($Y$30))</f>
        <v>5.3964378389540414E-2</v>
      </c>
      <c r="AA30" s="187">
        <f>IF(AA79*4/$I$84+SUM(AA6:AA29)&lt;1,AA79*4/$I$84,1-SUM(AA6:AA29))</f>
        <v>4.9478650318878437E-2</v>
      </c>
      <c r="AB30" s="122">
        <f>IF($Y30=0,0,AC30/($Y$30))</f>
        <v>0.64368330434800525</v>
      </c>
      <c r="AC30" s="187">
        <f>IF(AC79*4/$I$84+SUM(AC6:AC29)&lt;1,AC79*4/$I$84,1-SUM(AC6:AC29))</f>
        <v>0.59017785588183802</v>
      </c>
      <c r="AD30" s="122">
        <f>IF($Y30=0,0,AE30/($Y$30))</f>
        <v>0.62773872019550314</v>
      </c>
      <c r="AE30" s="187">
        <f>IF(AE79*4/$I$84+SUM(AE6:AE29)&lt;1,AE79*4/$I$84,1-SUM(AE6:AE29))</f>
        <v>0.57555864729822737</v>
      </c>
      <c r="AF30" s="122">
        <f>IF($Y30=0,0,AG30/($Y$30))</f>
        <v>0.51979767055695481</v>
      </c>
      <c r="AG30" s="187">
        <f>IF(AG79*4/$I$84+SUM(AG6:AG29)&lt;1,AG79*4/$I$84,1-SUM(AG6:AG29))</f>
        <v>0.47659007563107736</v>
      </c>
      <c r="AH30" s="123">
        <f t="shared" si="12"/>
        <v>1.8451840734900036</v>
      </c>
      <c r="AI30" s="183">
        <f t="shared" si="13"/>
        <v>0.4229513072825053</v>
      </c>
      <c r="AJ30" s="120">
        <f t="shared" si="14"/>
        <v>0.31982825310035823</v>
      </c>
      <c r="AK30" s="119">
        <f t="shared" si="15"/>
        <v>0.52607436146465236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-0.16362443890302081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1.4848360802265315</v>
      </c>
      <c r="C32" s="77">
        <f>SUM(C6:C31)</f>
        <v>2.8396150627941E-3</v>
      </c>
      <c r="D32" s="24">
        <f>SUM(D6:D30)</f>
        <v>4.7236664709279212</v>
      </c>
      <c r="E32" s="2"/>
      <c r="F32" s="2"/>
      <c r="H32" s="17"/>
      <c r="I32" s="22">
        <f>SUM(I6:I30)</f>
        <v>2.8091575222438698</v>
      </c>
      <c r="J32" s="17"/>
      <c r="L32" s="22">
        <f>SUM(L6:L30)</f>
        <v>1.1636244389030208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3.2250708990765919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0.53504835595882272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f>IF([1]Summ!$H1072="",0,[1]Summ!$H1072)</f>
        <v>4000</v>
      </c>
      <c r="C37" s="104">
        <f>IF([1]Summ!$I1072="",0,[1]Summ!$I1072)</f>
        <v>2000</v>
      </c>
      <c r="D37" s="38">
        <f t="shared" ref="D37:D64" si="25">B37+C37</f>
        <v>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3540</v>
      </c>
      <c r="J37" s="38">
        <f>J91*I$83</f>
        <v>2991.357060031411</v>
      </c>
      <c r="K37" s="40">
        <f>(B37/B$65)</f>
        <v>3.864547606395826E-2</v>
      </c>
      <c r="L37" s="22">
        <f t="shared" ref="L37" si="28">(K37*H37)</f>
        <v>2.2800830877735372E-2</v>
      </c>
      <c r="M37" s="24">
        <f>J37/B$65</f>
        <v>2.8900604415549112E-2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0.5795559208070401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1733.6586953891449</v>
      </c>
      <c r="AD37" s="122">
        <f>IF($J37=0,0,AE37/($J37))</f>
        <v>0.42044407919295984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1257.6983646422661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2991.357060031411</v>
      </c>
      <c r="AJ37" s="148">
        <f>(AA37+AC37)</f>
        <v>1733.6586953891449</v>
      </c>
      <c r="AK37" s="147">
        <f>(AE37+AG37)</f>
        <v>1257.6983646422661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 (hides): quantity</v>
      </c>
      <c r="B38" s="104">
        <f>IF([1]Summ!$H1073="",0,[1]Summ!$H1073)</f>
        <v>1500</v>
      </c>
      <c r="C38" s="104">
        <f>IF([1]Summ!$I1073="",0,[1]Summ!$I1073)</f>
        <v>0</v>
      </c>
      <c r="D38" s="38">
        <f t="shared" si="25"/>
        <v>1500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885</v>
      </c>
      <c r="J38" s="38">
        <f t="shared" ref="J38:J64" si="32">J92*I$83</f>
        <v>885</v>
      </c>
      <c r="K38" s="40">
        <f t="shared" ref="K38:K64" si="33">(B38/B$65)</f>
        <v>1.4492053523984348E-2</v>
      </c>
      <c r="L38" s="22">
        <f t="shared" ref="L38:L64" si="34">(K38*H38)</f>
        <v>8.5503115791507652E-3</v>
      </c>
      <c r="M38" s="24">
        <f t="shared" ref="M38:M64" si="35">J38/B$65</f>
        <v>8.5503115791507652E-3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0.5795559208070401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512.90698991423051</v>
      </c>
      <c r="AD38" s="122">
        <f>IF($J38=0,0,AE38/($J38))</f>
        <v>0.4204440791929599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372.09301008576949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885</v>
      </c>
      <c r="AJ38" s="148">
        <f t="shared" ref="AJ38:AJ64" si="38">(AA38+AC38)</f>
        <v>512.90698991423051</v>
      </c>
      <c r="AK38" s="147">
        <f t="shared" ref="AK38:AK64" si="39">(AE38+AG38)</f>
        <v>372.09301008576949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7000</v>
      </c>
      <c r="C39" s="104">
        <f>IF([1]Summ!$I1074="",0,[1]Summ!$I1074)</f>
        <v>0</v>
      </c>
      <c r="D39" s="38">
        <f t="shared" si="25"/>
        <v>7000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6608</v>
      </c>
      <c r="J39" s="38">
        <f t="shared" si="32"/>
        <v>6607.9999999999991</v>
      </c>
      <c r="K39" s="40">
        <f t="shared" si="33"/>
        <v>6.7629583111926961E-2</v>
      </c>
      <c r="L39" s="22">
        <f t="shared" si="34"/>
        <v>6.3842326457659054E-2</v>
      </c>
      <c r="M39" s="24">
        <f t="shared" si="35"/>
        <v>6.384232645765904E-2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6607.9999999999991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6607.9999999999991</v>
      </c>
      <c r="AJ39" s="148">
        <f t="shared" si="38"/>
        <v>6607.9999999999991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Goat sales - local: no. sold</v>
      </c>
      <c r="B40" s="104">
        <f>IF([1]Summ!$H1075="",0,[1]Summ!$H1075)</f>
        <v>6720</v>
      </c>
      <c r="C40" s="104">
        <f>IF([1]Summ!$I1075="",0,[1]Summ!$I1075)</f>
        <v>-4480</v>
      </c>
      <c r="D40" s="38">
        <f t="shared" si="25"/>
        <v>2240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2114.56</v>
      </c>
      <c r="J40" s="38">
        <f t="shared" si="32"/>
        <v>4080.8962968474234</v>
      </c>
      <c r="K40" s="40">
        <f t="shared" si="33"/>
        <v>6.4924399787449877E-2</v>
      </c>
      <c r="L40" s="22">
        <f t="shared" si="34"/>
        <v>6.1288633399352678E-2</v>
      </c>
      <c r="M40" s="24">
        <f t="shared" si="35"/>
        <v>3.9427045039828253E-2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4080.8962968474234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4080.8962968474234</v>
      </c>
      <c r="AJ40" s="148">
        <f t="shared" si="38"/>
        <v>4080.8962968474234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Sheep sales - local: no. sold</v>
      </c>
      <c r="B41" s="104">
        <f>IF([1]Summ!$H1076="",0,[1]Summ!$H1076)</f>
        <v>600</v>
      </c>
      <c r="C41" s="104">
        <f>IF([1]Summ!$I1076="",0,[1]Summ!$I1076)</f>
        <v>0</v>
      </c>
      <c r="D41" s="38">
        <f t="shared" si="25"/>
        <v>600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566.4</v>
      </c>
      <c r="J41" s="38">
        <f t="shared" si="32"/>
        <v>566.4</v>
      </c>
      <c r="K41" s="40">
        <f t="shared" si="33"/>
        <v>5.7968214095937397E-3</v>
      </c>
      <c r="L41" s="22">
        <f t="shared" si="34"/>
        <v>5.4721994106564902E-3</v>
      </c>
      <c r="M41" s="24">
        <f t="shared" si="35"/>
        <v>5.4721994106564902E-3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94">
        <f>X11</f>
        <v>1</v>
      </c>
      <c r="Y41" s="110"/>
      <c r="Z41" s="122">
        <f>Z11</f>
        <v>1.0991230791187365</v>
      </c>
      <c r="AA41" s="147">
        <f t="shared" si="40"/>
        <v>622.54331201285231</v>
      </c>
      <c r="AB41" s="122">
        <f>AB11</f>
        <v>-9.9123079118736426E-2</v>
      </c>
      <c r="AC41" s="147">
        <f t="shared" si="41"/>
        <v>-56.143312012852313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566.4</v>
      </c>
      <c r="AJ41" s="148">
        <f t="shared" si="38"/>
        <v>566.4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Chicken sales: no. sold</v>
      </c>
      <c r="B42" s="104">
        <f>IF([1]Summ!$H1077="",0,[1]Summ!$H1077)</f>
        <v>420</v>
      </c>
      <c r="C42" s="104">
        <f>IF([1]Summ!$I1077="",0,[1]Summ!$I1077)</f>
        <v>0</v>
      </c>
      <c r="D42" s="38">
        <f t="shared" si="25"/>
        <v>420</v>
      </c>
      <c r="E42" s="75">
        <f>Poor!E42</f>
        <v>1</v>
      </c>
      <c r="F42" s="75">
        <f>Poor!F42</f>
        <v>1.18</v>
      </c>
      <c r="G42" s="75">
        <f>Poor!G42</f>
        <v>1.65</v>
      </c>
      <c r="H42" s="24">
        <f t="shared" si="30"/>
        <v>1.18</v>
      </c>
      <c r="I42" s="39">
        <f t="shared" si="31"/>
        <v>495.59999999999997</v>
      </c>
      <c r="J42" s="38">
        <f t="shared" si="32"/>
        <v>495.6</v>
      </c>
      <c r="K42" s="40">
        <f t="shared" si="33"/>
        <v>4.0577749867156173E-3</v>
      </c>
      <c r="L42" s="22">
        <f t="shared" si="34"/>
        <v>4.7881744843244279E-3</v>
      </c>
      <c r="M42" s="24">
        <f t="shared" si="35"/>
        <v>4.7881744843244287E-3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123.9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247.8</v>
      </c>
      <c r="AF42" s="122">
        <f t="shared" si="29"/>
        <v>0.25</v>
      </c>
      <c r="AG42" s="147">
        <f t="shared" si="36"/>
        <v>123.9</v>
      </c>
      <c r="AH42" s="123">
        <f t="shared" si="37"/>
        <v>1</v>
      </c>
      <c r="AI42" s="112">
        <f t="shared" si="37"/>
        <v>495.6</v>
      </c>
      <c r="AJ42" s="148">
        <f t="shared" si="38"/>
        <v>123.9</v>
      </c>
      <c r="AK42" s="147">
        <f t="shared" si="39"/>
        <v>371.70000000000005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Maize: kg produced</v>
      </c>
      <c r="B43" s="104">
        <f>IF([1]Summ!$H1078="",0,[1]Summ!$H1078)</f>
        <v>7500</v>
      </c>
      <c r="C43" s="104">
        <f>IF([1]Summ!$I1078="",0,[1]Summ!$I1078)</f>
        <v>-7500</v>
      </c>
      <c r="D43" s="38">
        <f t="shared" si="25"/>
        <v>0</v>
      </c>
      <c r="E43" s="75">
        <f>Poor!E43</f>
        <v>1.0900000000000001</v>
      </c>
      <c r="F43" s="75">
        <f>Poor!F43</f>
        <v>1.4</v>
      </c>
      <c r="G43" s="75">
        <f>Poor!G43</f>
        <v>1.65</v>
      </c>
      <c r="H43" s="24">
        <f t="shared" si="30"/>
        <v>1.526</v>
      </c>
      <c r="I43" s="39">
        <f t="shared" si="31"/>
        <v>0</v>
      </c>
      <c r="J43" s="38">
        <f t="shared" si="32"/>
        <v>5321.3715660512744</v>
      </c>
      <c r="K43" s="40">
        <f t="shared" si="33"/>
        <v>7.2460267619921748E-2</v>
      </c>
      <c r="L43" s="22">
        <f t="shared" si="34"/>
        <v>0.11057436838800058</v>
      </c>
      <c r="M43" s="24">
        <f t="shared" si="35"/>
        <v>5.1411734370815657E-2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1330.3428915128186</v>
      </c>
      <c r="AB43" s="156">
        <f>Poor!AB43</f>
        <v>0.25</v>
      </c>
      <c r="AC43" s="147">
        <f t="shared" si="41"/>
        <v>1330.3428915128186</v>
      </c>
      <c r="AD43" s="156">
        <f>Poor!AD43</f>
        <v>0.25</v>
      </c>
      <c r="AE43" s="147">
        <f t="shared" si="42"/>
        <v>1330.3428915128186</v>
      </c>
      <c r="AF43" s="122">
        <f t="shared" si="29"/>
        <v>0.25</v>
      </c>
      <c r="AG43" s="147">
        <f t="shared" si="36"/>
        <v>1330.3428915128186</v>
      </c>
      <c r="AH43" s="123">
        <f t="shared" si="37"/>
        <v>1</v>
      </c>
      <c r="AI43" s="112">
        <f t="shared" si="37"/>
        <v>5321.3715660512744</v>
      </c>
      <c r="AJ43" s="148">
        <f t="shared" si="38"/>
        <v>2660.6857830256372</v>
      </c>
      <c r="AK43" s="147">
        <f t="shared" si="39"/>
        <v>2660.6857830256372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Tomato</v>
      </c>
      <c r="B44" s="104">
        <f>IF([1]Summ!$H1079="",0,[1]Summ!$H1079)</f>
        <v>300</v>
      </c>
      <c r="C44" s="104">
        <f>IF([1]Summ!$I1079="",0,[1]Summ!$I1079)</f>
        <v>-300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195.27969049729444</v>
      </c>
      <c r="K44" s="40">
        <f t="shared" si="33"/>
        <v>2.8984107047968699E-3</v>
      </c>
      <c r="L44" s="22">
        <f t="shared" si="34"/>
        <v>4.0577749867156173E-3</v>
      </c>
      <c r="M44" s="24">
        <f t="shared" si="35"/>
        <v>1.8866691512225925E-3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48.81992262432361</v>
      </c>
      <c r="AB44" s="156">
        <f>Poor!AB44</f>
        <v>0.25</v>
      </c>
      <c r="AC44" s="147">
        <f t="shared" si="41"/>
        <v>48.81992262432361</v>
      </c>
      <c r="AD44" s="156">
        <f>Poor!AD44</f>
        <v>0.25</v>
      </c>
      <c r="AE44" s="147">
        <f t="shared" si="42"/>
        <v>48.81992262432361</v>
      </c>
      <c r="AF44" s="122">
        <f t="shared" si="29"/>
        <v>0.25</v>
      </c>
      <c r="AG44" s="147">
        <f t="shared" si="36"/>
        <v>48.81992262432361</v>
      </c>
      <c r="AH44" s="123">
        <f t="shared" si="37"/>
        <v>1</v>
      </c>
      <c r="AI44" s="112">
        <f t="shared" si="37"/>
        <v>195.27969049729444</v>
      </c>
      <c r="AJ44" s="148">
        <f t="shared" si="38"/>
        <v>97.639845248647219</v>
      </c>
      <c r="AK44" s="147">
        <f t="shared" si="39"/>
        <v>97.639845248647219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Onions</v>
      </c>
      <c r="B45" s="104">
        <f>IF([1]Summ!$H1080="",0,[1]Summ!$H1080)</f>
        <v>780</v>
      </c>
      <c r="C45" s="104">
        <f>IF([1]Summ!$I1080="",0,[1]Summ!$I1080)</f>
        <v>-78</v>
      </c>
      <c r="D45" s="38">
        <f t="shared" si="25"/>
        <v>702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982.8</v>
      </c>
      <c r="J45" s="38">
        <f t="shared" si="32"/>
        <v>1033.5727195292966</v>
      </c>
      <c r="K45" s="40">
        <f t="shared" si="33"/>
        <v>7.5358678324718613E-3</v>
      </c>
      <c r="L45" s="22">
        <f t="shared" si="34"/>
        <v>1.0550214965460606E-2</v>
      </c>
      <c r="M45" s="24">
        <f t="shared" si="35"/>
        <v>9.9857274482324197E-3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258.39317988232415</v>
      </c>
      <c r="AB45" s="156">
        <f>Poor!AB45</f>
        <v>0.25</v>
      </c>
      <c r="AC45" s="147">
        <f t="shared" si="41"/>
        <v>258.39317988232415</v>
      </c>
      <c r="AD45" s="156">
        <f>Poor!AD45</f>
        <v>0.25</v>
      </c>
      <c r="AE45" s="147">
        <f t="shared" si="42"/>
        <v>258.39317988232415</v>
      </c>
      <c r="AF45" s="122">
        <f t="shared" si="29"/>
        <v>0.25</v>
      </c>
      <c r="AG45" s="147">
        <f t="shared" si="36"/>
        <v>258.39317988232415</v>
      </c>
      <c r="AH45" s="123">
        <f t="shared" si="37"/>
        <v>1</v>
      </c>
      <c r="AI45" s="112">
        <f t="shared" si="37"/>
        <v>1033.5727195292966</v>
      </c>
      <c r="AJ45" s="148">
        <f t="shared" si="38"/>
        <v>516.7863597646483</v>
      </c>
      <c r="AK45" s="147">
        <f t="shared" si="39"/>
        <v>516.7863597646483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Beetroot</v>
      </c>
      <c r="B46" s="104">
        <f>IF([1]Summ!$H1081="",0,[1]Summ!$H1081)</f>
        <v>300</v>
      </c>
      <c r="C46" s="104">
        <f>IF([1]Summ!$I1081="",0,[1]Summ!$I1081)</f>
        <v>150</v>
      </c>
      <c r="D46" s="38">
        <f t="shared" si="25"/>
        <v>450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630</v>
      </c>
      <c r="J46" s="38">
        <f t="shared" si="32"/>
        <v>532.36015475135275</v>
      </c>
      <c r="K46" s="40">
        <f t="shared" si="33"/>
        <v>2.8984107047968699E-3</v>
      </c>
      <c r="L46" s="22">
        <f t="shared" si="34"/>
        <v>4.0577749867156173E-3</v>
      </c>
      <c r="M46" s="24">
        <f t="shared" si="35"/>
        <v>5.1433279044621298E-3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133.09003868783819</v>
      </c>
      <c r="AB46" s="156">
        <f>Poor!AB46</f>
        <v>0.25</v>
      </c>
      <c r="AC46" s="147">
        <f t="shared" si="41"/>
        <v>133.09003868783819</v>
      </c>
      <c r="AD46" s="156">
        <f>Poor!AD46</f>
        <v>0.25</v>
      </c>
      <c r="AE46" s="147">
        <f t="shared" si="42"/>
        <v>133.09003868783819</v>
      </c>
      <c r="AF46" s="122">
        <f t="shared" si="29"/>
        <v>0.25</v>
      </c>
      <c r="AG46" s="147">
        <f t="shared" si="36"/>
        <v>133.09003868783819</v>
      </c>
      <c r="AH46" s="123">
        <f t="shared" si="37"/>
        <v>1</v>
      </c>
      <c r="AI46" s="112">
        <f t="shared" si="37"/>
        <v>532.36015475135275</v>
      </c>
      <c r="AJ46" s="148">
        <f t="shared" si="38"/>
        <v>266.18007737567638</v>
      </c>
      <c r="AK46" s="147">
        <f t="shared" si="39"/>
        <v>266.18007737567638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Beans: kg produced</v>
      </c>
      <c r="B47" s="104">
        <f>IF([1]Summ!$H1082="",0,[1]Summ!$H1082)</f>
        <v>360</v>
      </c>
      <c r="C47" s="104">
        <f>IF([1]Summ!$I1082="",0,[1]Summ!$I1082)</f>
        <v>45</v>
      </c>
      <c r="D47" s="38">
        <f t="shared" si="25"/>
        <v>405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567</v>
      </c>
      <c r="J47" s="38">
        <f t="shared" si="32"/>
        <v>537.70804642540588</v>
      </c>
      <c r="K47" s="40">
        <f t="shared" si="33"/>
        <v>3.4780928457562436E-3</v>
      </c>
      <c r="L47" s="22">
        <f t="shared" si="34"/>
        <v>4.8693299840587411E-3</v>
      </c>
      <c r="M47" s="24">
        <f t="shared" si="35"/>
        <v>5.1949958593826952E-3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134.42701160635147</v>
      </c>
      <c r="AB47" s="156">
        <f>Poor!AB47</f>
        <v>0.25</v>
      </c>
      <c r="AC47" s="147">
        <f t="shared" si="41"/>
        <v>134.42701160635147</v>
      </c>
      <c r="AD47" s="156">
        <f>Poor!AD47</f>
        <v>0.25</v>
      </c>
      <c r="AE47" s="147">
        <f t="shared" si="42"/>
        <v>134.42701160635147</v>
      </c>
      <c r="AF47" s="122">
        <f t="shared" si="29"/>
        <v>0.25</v>
      </c>
      <c r="AG47" s="147">
        <f t="shared" si="36"/>
        <v>134.42701160635147</v>
      </c>
      <c r="AH47" s="123">
        <f t="shared" si="37"/>
        <v>1</v>
      </c>
      <c r="AI47" s="112">
        <f t="shared" si="37"/>
        <v>537.70804642540588</v>
      </c>
      <c r="AJ47" s="148">
        <f t="shared" si="38"/>
        <v>268.85402321270294</v>
      </c>
      <c r="AK47" s="147">
        <f t="shared" si="39"/>
        <v>268.85402321270294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Chillies: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</v>
      </c>
      <c r="B49" s="104">
        <f>IF([1]Summ!$H1084="",0,[1]Summ!$H1084)</f>
        <v>45</v>
      </c>
      <c r="C49" s="104">
        <f>IF([1]Summ!$I1084="",0,[1]Summ!$I1084)</f>
        <v>-45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29.291953574594167</v>
      </c>
      <c r="K49" s="40">
        <f t="shared" si="33"/>
        <v>4.3476160571953045E-4</v>
      </c>
      <c r="L49" s="22">
        <f t="shared" si="34"/>
        <v>6.0866624800734264E-4</v>
      </c>
      <c r="M49" s="24">
        <f t="shared" si="35"/>
        <v>2.8300037268338892E-4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7.3229883936485418</v>
      </c>
      <c r="AB49" s="156">
        <f>Poor!AB49</f>
        <v>0.25</v>
      </c>
      <c r="AC49" s="147">
        <f t="shared" si="41"/>
        <v>7.3229883936485418</v>
      </c>
      <c r="AD49" s="156">
        <f>Poor!AD49</f>
        <v>0.25</v>
      </c>
      <c r="AE49" s="147">
        <f t="shared" si="42"/>
        <v>7.3229883936485418</v>
      </c>
      <c r="AF49" s="122">
        <f t="shared" si="29"/>
        <v>0.25</v>
      </c>
      <c r="AG49" s="147">
        <f t="shared" si="36"/>
        <v>7.3229883936485418</v>
      </c>
      <c r="AH49" s="123">
        <f t="shared" si="37"/>
        <v>1</v>
      </c>
      <c r="AI49" s="112">
        <f t="shared" si="37"/>
        <v>29.291953574594167</v>
      </c>
      <c r="AJ49" s="148">
        <f t="shared" si="38"/>
        <v>14.645976787297084</v>
      </c>
      <c r="AK49" s="147">
        <f t="shared" si="39"/>
        <v>14.645976787297084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Cabbage</v>
      </c>
      <c r="B50" s="104">
        <f>IF([1]Summ!$H1085="",0,[1]Summ!$H1085)</f>
        <v>210</v>
      </c>
      <c r="C50" s="104">
        <f>IF([1]Summ!$I1085="",0,[1]Summ!$I1085)</f>
        <v>-210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136.69578334810612</v>
      </c>
      <c r="K50" s="40">
        <f t="shared" si="33"/>
        <v>2.0288874933578087E-3</v>
      </c>
      <c r="L50" s="22">
        <f t="shared" si="34"/>
        <v>2.840442490700932E-3</v>
      </c>
      <c r="M50" s="24">
        <f t="shared" si="35"/>
        <v>1.3206684058558148E-3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34.17394583702653</v>
      </c>
      <c r="AB50" s="156">
        <f>Poor!AB55</f>
        <v>0.25</v>
      </c>
      <c r="AC50" s="147">
        <f t="shared" si="41"/>
        <v>34.17394583702653</v>
      </c>
      <c r="AD50" s="156">
        <f>Poor!AD55</f>
        <v>0.25</v>
      </c>
      <c r="AE50" s="147">
        <f t="shared" si="42"/>
        <v>34.17394583702653</v>
      </c>
      <c r="AF50" s="122">
        <f t="shared" si="29"/>
        <v>0.25</v>
      </c>
      <c r="AG50" s="147">
        <f t="shared" si="36"/>
        <v>34.17394583702653</v>
      </c>
      <c r="AH50" s="123">
        <f t="shared" si="37"/>
        <v>1</v>
      </c>
      <c r="AI50" s="112">
        <f t="shared" si="37"/>
        <v>136.69578334810612</v>
      </c>
      <c r="AJ50" s="148">
        <f t="shared" si="38"/>
        <v>68.347891674053059</v>
      </c>
      <c r="AK50" s="147">
        <f t="shared" si="39"/>
        <v>68.347891674053059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Groundnuts (dry): no. local meas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Spinach</v>
      </c>
      <c r="B52" s="104">
        <f>IF([1]Summ!$H1087="",0,[1]Summ!$H1087)</f>
        <v>165</v>
      </c>
      <c r="C52" s="104">
        <f>IF([1]Summ!$I1087="",0,[1]Summ!$I1087)</f>
        <v>-165</v>
      </c>
      <c r="D52" s="38">
        <f t="shared" si="25"/>
        <v>0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0</v>
      </c>
      <c r="J52" s="38">
        <f t="shared" si="32"/>
        <v>107.40382977351194</v>
      </c>
      <c r="K52" s="40">
        <f t="shared" si="33"/>
        <v>1.5941258876382783E-3</v>
      </c>
      <c r="L52" s="22">
        <f t="shared" si="34"/>
        <v>2.2317762426935896E-3</v>
      </c>
      <c r="M52" s="24">
        <f t="shared" si="35"/>
        <v>1.037668033172426E-3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26.850957443377986</v>
      </c>
      <c r="AB52" s="156">
        <f>Poor!AB57</f>
        <v>0.25</v>
      </c>
      <c r="AC52" s="147">
        <f t="shared" si="41"/>
        <v>26.850957443377986</v>
      </c>
      <c r="AD52" s="156">
        <f>Poor!AD57</f>
        <v>0.25</v>
      </c>
      <c r="AE52" s="147">
        <f t="shared" si="42"/>
        <v>26.850957443377986</v>
      </c>
      <c r="AF52" s="122">
        <f t="shared" si="29"/>
        <v>0.25</v>
      </c>
      <c r="AG52" s="147">
        <f t="shared" si="36"/>
        <v>26.850957443377986</v>
      </c>
      <c r="AH52" s="123">
        <f t="shared" si="37"/>
        <v>1</v>
      </c>
      <c r="AI52" s="112">
        <f t="shared" si="37"/>
        <v>107.40382977351194</v>
      </c>
      <c r="AJ52" s="148">
        <f t="shared" si="38"/>
        <v>53.701914886755972</v>
      </c>
      <c r="AK52" s="147">
        <f t="shared" si="39"/>
        <v>53.701914886755972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Other crop: Potatoes</v>
      </c>
      <c r="B53" s="104">
        <f>IF([1]Summ!$H1088="",0,[1]Summ!$H1088)</f>
        <v>5525</v>
      </c>
      <c r="C53" s="104">
        <f>IF([1]Summ!$I1088="",0,[1]Summ!$I1088)</f>
        <v>-5525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3596.4009666585066</v>
      </c>
      <c r="K53" s="40">
        <f t="shared" si="33"/>
        <v>5.3379063813342349E-2</v>
      </c>
      <c r="L53" s="22">
        <f t="shared" si="34"/>
        <v>7.4730689338679282E-2</v>
      </c>
      <c r="M53" s="24">
        <f t="shared" si="35"/>
        <v>3.474615686834942E-2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Other crop: pumpkin / butternut</v>
      </c>
      <c r="B54" s="104">
        <f>IF([1]Summ!$H1089="",0,[1]Summ!$H1089)</f>
        <v>360</v>
      </c>
      <c r="C54" s="104">
        <f>IF([1]Summ!$I1089="",0,[1]Summ!$I1089)</f>
        <v>-360</v>
      </c>
      <c r="D54" s="38">
        <f t="shared" si="25"/>
        <v>0</v>
      </c>
      <c r="E54" s="75">
        <f>Poor!E54</f>
        <v>1</v>
      </c>
      <c r="F54" s="75">
        <f>Poor!F54</f>
        <v>1.4</v>
      </c>
      <c r="G54" s="75">
        <f>Poor!G54</f>
        <v>1.65</v>
      </c>
      <c r="H54" s="24">
        <f t="shared" si="30"/>
        <v>1.4</v>
      </c>
      <c r="I54" s="39">
        <f t="shared" si="31"/>
        <v>0</v>
      </c>
      <c r="J54" s="38">
        <f t="shared" si="32"/>
        <v>234.33562859675334</v>
      </c>
      <c r="K54" s="40">
        <f t="shared" si="33"/>
        <v>3.4780928457562436E-3</v>
      </c>
      <c r="L54" s="22">
        <f t="shared" si="34"/>
        <v>4.8693299840587411E-3</v>
      </c>
      <c r="M54" s="24">
        <f t="shared" si="35"/>
        <v>2.2640029814671113E-3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f>IF([1]Summ!$H1091="",0,[1]Summ!$H1091)</f>
        <v>2400</v>
      </c>
      <c r="C56" s="104">
        <f>IF([1]Summ!$I1091="",0,[1]Summ!$I1091)</f>
        <v>0</v>
      </c>
      <c r="D56" s="38">
        <f t="shared" si="25"/>
        <v>2400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2664.0000000000005</v>
      </c>
      <c r="J56" s="38">
        <f t="shared" si="32"/>
        <v>2664.0000000000005</v>
      </c>
      <c r="K56" s="40">
        <f t="shared" si="33"/>
        <v>2.3187285638374959E-2</v>
      </c>
      <c r="L56" s="22">
        <f t="shared" si="34"/>
        <v>2.5737887058596205E-2</v>
      </c>
      <c r="M56" s="24">
        <f t="shared" si="35"/>
        <v>2.5737887058596209E-2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f>IF([1]Summ!$H1092="",0,[1]Summ!$H1092)</f>
        <v>27000</v>
      </c>
      <c r="C57" s="104">
        <f>IF([1]Summ!$I1092="",0,[1]Summ!$I1092)</f>
        <v>0</v>
      </c>
      <c r="D57" s="38">
        <f t="shared" si="25"/>
        <v>27000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29970.000000000004</v>
      </c>
      <c r="J57" s="38">
        <f t="shared" si="32"/>
        <v>29970.000000000004</v>
      </c>
      <c r="K57" s="40">
        <f t="shared" si="33"/>
        <v>0.26085696343171827</v>
      </c>
      <c r="L57" s="22">
        <f t="shared" si="34"/>
        <v>0.2895512294092073</v>
      </c>
      <c r="M57" s="24">
        <f t="shared" si="35"/>
        <v>0.2895512294092073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f>IF([1]Summ!$H1094="",0,[1]Summ!$H1094)</f>
        <v>20400</v>
      </c>
      <c r="C59" s="104">
        <f>IF([1]Summ!$I1094="",0,[1]Summ!$I1094)</f>
        <v>4080</v>
      </c>
      <c r="D59" s="38">
        <f t="shared" si="25"/>
        <v>24480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19584</v>
      </c>
      <c r="J59" s="38">
        <f t="shared" si="32"/>
        <v>18066.397833849598</v>
      </c>
      <c r="K59" s="40">
        <f t="shared" si="33"/>
        <v>0.19709192792618713</v>
      </c>
      <c r="L59" s="22">
        <f t="shared" si="34"/>
        <v>0.15767354234094971</v>
      </c>
      <c r="M59" s="24">
        <f t="shared" si="35"/>
        <v>0.17454613626249552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4516.5994584623995</v>
      </c>
      <c r="AB59" s="156">
        <f>Poor!AB59</f>
        <v>0.25</v>
      </c>
      <c r="AC59" s="147">
        <f t="shared" si="41"/>
        <v>4516.5994584623995</v>
      </c>
      <c r="AD59" s="156">
        <f>Poor!AD59</f>
        <v>0.25</v>
      </c>
      <c r="AE59" s="147">
        <f t="shared" si="42"/>
        <v>4516.5994584623995</v>
      </c>
      <c r="AF59" s="122">
        <f t="shared" si="29"/>
        <v>0.25</v>
      </c>
      <c r="AG59" s="147">
        <f t="shared" si="36"/>
        <v>4516.5994584623995</v>
      </c>
      <c r="AH59" s="123">
        <f t="shared" ref="AH59:AI64" si="43">SUM(Z59,AB59,AD59,AF59)</f>
        <v>1</v>
      </c>
      <c r="AI59" s="112">
        <f t="shared" si="43"/>
        <v>18066.397833849598</v>
      </c>
      <c r="AJ59" s="148">
        <f t="shared" si="38"/>
        <v>9033.1989169247991</v>
      </c>
      <c r="AK59" s="147">
        <f t="shared" si="39"/>
        <v>9033.1989169247991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f>IF([1]Summ!$H1095="",0,[1]Summ!$H1095)</f>
        <v>8400</v>
      </c>
      <c r="C60" s="104">
        <f>IF([1]Summ!$I1095="",0,[1]Summ!$I1095)</f>
        <v>0</v>
      </c>
      <c r="D60" s="38">
        <f t="shared" si="25"/>
        <v>8400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7929.5999999999995</v>
      </c>
      <c r="J60" s="38">
        <f t="shared" si="32"/>
        <v>7929.5999999999995</v>
      </c>
      <c r="K60" s="40">
        <f t="shared" si="33"/>
        <v>8.1155499734312353E-2</v>
      </c>
      <c r="L60" s="22">
        <f t="shared" si="34"/>
        <v>7.661079174919086E-2</v>
      </c>
      <c r="M60" s="24">
        <f t="shared" si="35"/>
        <v>7.661079174919086E-2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1982.3999999999999</v>
      </c>
      <c r="AB60" s="156">
        <f>Poor!AB60</f>
        <v>0.25</v>
      </c>
      <c r="AC60" s="147">
        <f t="shared" si="41"/>
        <v>1982.3999999999999</v>
      </c>
      <c r="AD60" s="156">
        <f>Poor!AD60</f>
        <v>0.25</v>
      </c>
      <c r="AE60" s="147">
        <f t="shared" si="42"/>
        <v>1982.3999999999999</v>
      </c>
      <c r="AF60" s="122">
        <f t="shared" si="29"/>
        <v>0.25</v>
      </c>
      <c r="AG60" s="147">
        <f t="shared" si="36"/>
        <v>1982.3999999999999</v>
      </c>
      <c r="AH60" s="123">
        <f t="shared" si="43"/>
        <v>1</v>
      </c>
      <c r="AI60" s="112">
        <f t="shared" si="43"/>
        <v>7929.5999999999995</v>
      </c>
      <c r="AJ60" s="148">
        <f t="shared" si="38"/>
        <v>3964.7999999999997</v>
      </c>
      <c r="AK60" s="147">
        <f t="shared" si="39"/>
        <v>3964.7999999999997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f>IF([1]Summ!$H1096="",0,[1]Summ!$H1096)</f>
        <v>8520</v>
      </c>
      <c r="C61" s="104">
        <f>IF([1]Summ!$I1096="",0,[1]Summ!$I1096)</f>
        <v>0</v>
      </c>
      <c r="D61" s="38">
        <f t="shared" si="25"/>
        <v>8520</v>
      </c>
      <c r="E61" s="75">
        <f>Poor!E61</f>
        <v>1</v>
      </c>
      <c r="F61" s="75">
        <f>Poor!F61</f>
        <v>1.18</v>
      </c>
      <c r="G61" s="75">
        <f>Poor!G61</f>
        <v>1.65</v>
      </c>
      <c r="H61" s="24">
        <f t="shared" si="30"/>
        <v>1.18</v>
      </c>
      <c r="I61" s="39">
        <f t="shared" si="31"/>
        <v>10053.6</v>
      </c>
      <c r="J61" s="38">
        <f t="shared" si="32"/>
        <v>10053.599999999999</v>
      </c>
      <c r="K61" s="40">
        <f t="shared" si="33"/>
        <v>8.2314864016231101E-2</v>
      </c>
      <c r="L61" s="22">
        <f t="shared" si="34"/>
        <v>9.7131539539152698E-2</v>
      </c>
      <c r="M61" s="24">
        <f t="shared" si="35"/>
        <v>9.7131539539152684E-2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2513.3999999999996</v>
      </c>
      <c r="AB61" s="156">
        <f>Poor!AB61</f>
        <v>0.25</v>
      </c>
      <c r="AC61" s="147">
        <f t="shared" si="41"/>
        <v>2513.3999999999996</v>
      </c>
      <c r="AD61" s="156">
        <f>Poor!AD61</f>
        <v>0.25</v>
      </c>
      <c r="AE61" s="147">
        <f t="shared" si="42"/>
        <v>2513.3999999999996</v>
      </c>
      <c r="AF61" s="122">
        <f t="shared" si="29"/>
        <v>0.25</v>
      </c>
      <c r="AG61" s="147">
        <f t="shared" si="36"/>
        <v>2513.3999999999996</v>
      </c>
      <c r="AH61" s="123">
        <f t="shared" si="43"/>
        <v>1</v>
      </c>
      <c r="AI61" s="112">
        <f t="shared" si="43"/>
        <v>10053.599999999999</v>
      </c>
      <c r="AJ61" s="148">
        <f t="shared" si="38"/>
        <v>5026.7999999999993</v>
      </c>
      <c r="AK61" s="147">
        <f t="shared" si="39"/>
        <v>5026.7999999999993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Remittances: no. times per year</v>
      </c>
      <c r="B63" s="104">
        <f>IF([1]Summ!$H1098="",0,[1]Summ!$H1098)</f>
        <v>1000</v>
      </c>
      <c r="C63" s="104">
        <f>IF([1]Summ!$I1098="",0,[1]Summ!$I1098)</f>
        <v>0</v>
      </c>
      <c r="D63" s="38">
        <f t="shared" si="25"/>
        <v>1000</v>
      </c>
      <c r="E63" s="75">
        <f>Poor!E63</f>
        <v>1</v>
      </c>
      <c r="F63" s="75">
        <f>Poor!F63</f>
        <v>1.1100000000000001</v>
      </c>
      <c r="G63" s="75">
        <f>Poor!G63</f>
        <v>1.65</v>
      </c>
      <c r="H63" s="24">
        <f t="shared" si="30"/>
        <v>1.1100000000000001</v>
      </c>
      <c r="I63" s="39">
        <f t="shared" si="31"/>
        <v>1110</v>
      </c>
      <c r="J63" s="38">
        <f t="shared" si="32"/>
        <v>1110.0000000000002</v>
      </c>
      <c r="K63" s="40">
        <f t="shared" si="33"/>
        <v>9.6613690159895651E-3</v>
      </c>
      <c r="L63" s="22">
        <f t="shared" si="34"/>
        <v>1.0724119607748418E-2</v>
      </c>
      <c r="M63" s="24">
        <f t="shared" si="35"/>
        <v>1.072411960774842E-2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277.50000000000006</v>
      </c>
      <c r="AB63" s="156">
        <f>Poor!AB63</f>
        <v>0.25</v>
      </c>
      <c r="AC63" s="147">
        <f t="shared" si="41"/>
        <v>277.50000000000006</v>
      </c>
      <c r="AD63" s="156">
        <f>Poor!AD63</f>
        <v>0.25</v>
      </c>
      <c r="AE63" s="147">
        <f t="shared" si="42"/>
        <v>277.50000000000006</v>
      </c>
      <c r="AF63" s="122">
        <f t="shared" si="29"/>
        <v>0.25</v>
      </c>
      <c r="AG63" s="147">
        <f t="shared" si="36"/>
        <v>277.50000000000006</v>
      </c>
      <c r="AH63" s="123">
        <f t="shared" si="43"/>
        <v>1</v>
      </c>
      <c r="AI63" s="112">
        <f t="shared" si="43"/>
        <v>1110.0000000000002</v>
      </c>
      <c r="AJ63" s="148">
        <f t="shared" si="38"/>
        <v>555.00000000000011</v>
      </c>
      <c r="AK63" s="147">
        <f t="shared" si="39"/>
        <v>555.00000000000011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103505</v>
      </c>
      <c r="C65" s="39">
        <f>SUM(C37:C64)</f>
        <v>-12388</v>
      </c>
      <c r="D65" s="42">
        <f>SUM(D37:D64)</f>
        <v>91117</v>
      </c>
      <c r="E65" s="32"/>
      <c r="F65" s="32"/>
      <c r="G65" s="32"/>
      <c r="H65" s="31"/>
      <c r="I65" s="39">
        <f>SUM(I37:I64)</f>
        <v>87700.560000000012</v>
      </c>
      <c r="J65" s="39">
        <f>SUM(J37:J64)</f>
        <v>97145.271529934544</v>
      </c>
      <c r="K65" s="40">
        <f>SUM(K37:K64)</f>
        <v>0.99999999999999989</v>
      </c>
      <c r="L65" s="22">
        <f>SUM(L37:L64)</f>
        <v>1.0435619535288148</v>
      </c>
      <c r="M65" s="24">
        <f>SUM(M37:M64)</f>
        <v>0.93855631640920256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22698.660003310382</v>
      </c>
      <c r="AB65" s="137"/>
      <c r="AC65" s="153">
        <f>SUM(AC37:AC64)</f>
        <v>13453.74276774063</v>
      </c>
      <c r="AD65" s="137"/>
      <c r="AE65" s="153">
        <f>SUM(AE37:AE64)</f>
        <v>13140.911769178143</v>
      </c>
      <c r="AF65" s="137"/>
      <c r="AG65" s="153">
        <f>SUM(AG37:AG64)</f>
        <v>11387.220394450109</v>
      </c>
      <c r="AH65" s="137"/>
      <c r="AI65" s="153">
        <f>SUM(AI37:AI64)</f>
        <v>60680.534934679265</v>
      </c>
      <c r="AJ65" s="153">
        <f>SUM(AJ37:AJ64)</f>
        <v>36152.402771051013</v>
      </c>
      <c r="AK65" s="153">
        <f>SUM(AK37:AK64)</f>
        <v>24528.132163628252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17826.682776473466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24957.355887062851</v>
      </c>
      <c r="J70" s="51">
        <f t="shared" ref="J70:J77" si="44">J124*I$83</f>
        <v>24957.355887062851</v>
      </c>
      <c r="K70" s="40">
        <f>B70/B$76</f>
        <v>0.17223016063449559</v>
      </c>
      <c r="L70" s="22">
        <f t="shared" ref="L70:L75" si="45">(L124*G$37*F$9/F$7)/B$130</f>
        <v>0.24112222488829382</v>
      </c>
      <c r="M70" s="24">
        <f>J70/B$76</f>
        <v>0.24112222488829382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6239.3389717657128</v>
      </c>
      <c r="AB70" s="156">
        <f>Poor!AB70</f>
        <v>0.25</v>
      </c>
      <c r="AC70" s="147">
        <f>$J70*AB70</f>
        <v>6239.3389717657128</v>
      </c>
      <c r="AD70" s="156">
        <f>Poor!AD70</f>
        <v>0.25</v>
      </c>
      <c r="AE70" s="147">
        <f>$J70*AD70</f>
        <v>6239.3389717657128</v>
      </c>
      <c r="AF70" s="156">
        <f>Poor!AF70</f>
        <v>0.25</v>
      </c>
      <c r="AG70" s="147">
        <f>$J70*AF70</f>
        <v>6239.3389717657128</v>
      </c>
      <c r="AH70" s="155">
        <f>SUM(Z70,AB70,AD70,AF70)</f>
        <v>1</v>
      </c>
      <c r="AI70" s="147">
        <f>SUM(AA70,AC70,AE70,AG70)</f>
        <v>24957.355887062851</v>
      </c>
      <c r="AJ70" s="148">
        <f>(AA70+AC70)</f>
        <v>12478.677943531426</v>
      </c>
      <c r="AK70" s="147">
        <f>(AE70+AG70)</f>
        <v>12478.677943531426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19473.333333333336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22978.533333333333</v>
      </c>
      <c r="J71" s="51">
        <f t="shared" si="44"/>
        <v>22978.533333333333</v>
      </c>
      <c r="K71" s="40">
        <f t="shared" ref="K71:K72" si="47">B71/B$76</f>
        <v>0.18813905930470351</v>
      </c>
      <c r="L71" s="22">
        <f t="shared" si="45"/>
        <v>0.22200408997955007</v>
      </c>
      <c r="M71" s="24">
        <f t="shared" ref="M71:M72" si="48">J71/B$76</f>
        <v>0.2220040899795501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34680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40922.400000000009</v>
      </c>
      <c r="K72" s="40">
        <f t="shared" si="47"/>
        <v>0.33505627747451816</v>
      </c>
      <c r="L72" s="22">
        <f t="shared" si="45"/>
        <v>0.3953664074199314</v>
      </c>
      <c r="M72" s="24">
        <f t="shared" si="48"/>
        <v>0.39536640741993151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30000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1209.9106757656527</v>
      </c>
      <c r="K73" s="40">
        <f>B73/B$76</f>
        <v>0.28984107047968699</v>
      </c>
      <c r="L73" s="22">
        <f t="shared" si="45"/>
        <v>6.576269920041565E-2</v>
      </c>
      <c r="M73" s="24">
        <f>J73/B$76</f>
        <v>1.1689393514957276E-2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3186</v>
      </c>
      <c r="AB73" s="156">
        <f>Poor!AB73</f>
        <v>0.09</v>
      </c>
      <c r="AC73" s="147">
        <f>$H$73*$B$73*AB73</f>
        <v>3186</v>
      </c>
      <c r="AD73" s="156">
        <f>Poor!AD73</f>
        <v>0.23</v>
      </c>
      <c r="AE73" s="147">
        <f>$H$73*$B$73*AD73</f>
        <v>8142</v>
      </c>
      <c r="AF73" s="156">
        <f>Poor!AF73</f>
        <v>0.59</v>
      </c>
      <c r="AG73" s="147">
        <f>$H$73*$B$73*AF73</f>
        <v>20886</v>
      </c>
      <c r="AH73" s="155">
        <f>SUM(Z73,AB73,AD73,AF73)</f>
        <v>1</v>
      </c>
      <c r="AI73" s="147">
        <f>SUM(AA73,AC73,AE73,AG73)</f>
        <v>35400</v>
      </c>
      <c r="AJ73" s="148">
        <f>(AA73+AC73)</f>
        <v>6372</v>
      </c>
      <c r="AK73" s="147">
        <f>(AE73+AG73)</f>
        <v>29028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12738.630122829678</v>
      </c>
      <c r="C74" s="39"/>
      <c r="D74" s="38"/>
      <c r="E74" s="32"/>
      <c r="F74" s="32"/>
      <c r="G74" s="32"/>
      <c r="H74" s="31"/>
      <c r="I74" s="39">
        <f>I128*I$83</f>
        <v>62743.20411293715</v>
      </c>
      <c r="J74" s="51">
        <f t="shared" si="44"/>
        <v>7077.0716337726699</v>
      </c>
      <c r="K74" s="40">
        <f>B74/B$76</f>
        <v>0.12307260637485801</v>
      </c>
      <c r="L74" s="22">
        <f t="shared" si="45"/>
        <v>0.11930653204062396</v>
      </c>
      <c r="M74" s="24">
        <f>J74/B$76</f>
        <v>6.8374200606469926E-2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604.83286372523685</v>
      </c>
      <c r="AB74" s="156"/>
      <c r="AC74" s="147">
        <f>AC30*$I$84/4</f>
        <v>7214.4037959749194</v>
      </c>
      <c r="AD74" s="156"/>
      <c r="AE74" s="147">
        <f>AE30*$I$84/4</f>
        <v>7035.6968640752812</v>
      </c>
      <c r="AF74" s="156"/>
      <c r="AG74" s="147">
        <f>AG30*$I$84/4</f>
        <v>5825.8933582306709</v>
      </c>
      <c r="AH74" s="155"/>
      <c r="AI74" s="147">
        <f>SUM(AA74,AC74,AE74,AG74)</f>
        <v>20680.826882006109</v>
      </c>
      <c r="AJ74" s="148">
        <f>(AA74+AC74)</f>
        <v>7819.2366597001565</v>
      </c>
      <c r="AK74" s="147">
        <f>(AE74+AG74)</f>
        <v>12861.590222305953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17323.724240904092</v>
      </c>
      <c r="AB75" s="158"/>
      <c r="AC75" s="149">
        <f>AA75+AC65-SUM(AC70,AC74)</f>
        <v>17323.724240904092</v>
      </c>
      <c r="AD75" s="158"/>
      <c r="AE75" s="149">
        <f>AC75+AE65-SUM(AE70,AE74)</f>
        <v>17189.600174241241</v>
      </c>
      <c r="AF75" s="158"/>
      <c r="AG75" s="149">
        <f>IF(SUM(AG6:AG29)+((AG65-AG70-$J$75)*4/I$83)&lt;1,0,AG65-AG70-$J$75-(1-SUM(AG6:AG29))*I$83/4)</f>
        <v>1469.2360730846599</v>
      </c>
      <c r="AH75" s="134"/>
      <c r="AI75" s="149">
        <f>AI76-SUM(AI70,AI74)</f>
        <v>15042.352165610304</v>
      </c>
      <c r="AJ75" s="151">
        <f>AJ76-SUM(AJ70,AJ74)</f>
        <v>15854.488167819429</v>
      </c>
      <c r="AK75" s="149">
        <f>AJ75+AK76-SUM(AK70,AK74)</f>
        <v>15042.352165610304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103505</v>
      </c>
      <c r="C76" s="39"/>
      <c r="D76" s="38"/>
      <c r="E76" s="32"/>
      <c r="F76" s="32"/>
      <c r="G76" s="32"/>
      <c r="H76" s="31"/>
      <c r="I76" s="39">
        <f>I130*I$83</f>
        <v>87700.56</v>
      </c>
      <c r="J76" s="51">
        <f t="shared" si="44"/>
        <v>97145.271529934515</v>
      </c>
      <c r="K76" s="40">
        <f>SUM(K70:K75)</f>
        <v>1.1083391742682622</v>
      </c>
      <c r="L76" s="22">
        <f>SUM(L70:L75)</f>
        <v>1.043561953528815</v>
      </c>
      <c r="M76" s="24">
        <f>SUM(M70:M75)</f>
        <v>0.93855631640920256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22698.660003310382</v>
      </c>
      <c r="AB76" s="137"/>
      <c r="AC76" s="153">
        <f>AC65</f>
        <v>13453.74276774063</v>
      </c>
      <c r="AD76" s="137"/>
      <c r="AE76" s="153">
        <f>AE65</f>
        <v>13140.911769178143</v>
      </c>
      <c r="AF76" s="137"/>
      <c r="AG76" s="153">
        <f>AG65</f>
        <v>11387.220394450109</v>
      </c>
      <c r="AH76" s="137"/>
      <c r="AI76" s="153">
        <f>SUM(AA76,AC76,AE76,AG76)</f>
        <v>60680.534934679265</v>
      </c>
      <c r="AJ76" s="154">
        <f>SUM(AA76,AC76)</f>
        <v>36152.402771051013</v>
      </c>
      <c r="AK76" s="154">
        <f>SUM(AE76,AG76)</f>
        <v>24528.132163628252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22978.533333333322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1469.2360730846599</v>
      </c>
      <c r="AB78" s="112"/>
      <c r="AC78" s="112">
        <f>IF(AA75&lt;0,0,AA75)</f>
        <v>17323.724240904092</v>
      </c>
      <c r="AD78" s="112"/>
      <c r="AE78" s="112">
        <f>AC75</f>
        <v>17323.724240904092</v>
      </c>
      <c r="AF78" s="112"/>
      <c r="AG78" s="112">
        <f>AE75</f>
        <v>17189.600174241241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17928.55710462933</v>
      </c>
      <c r="AB79" s="112"/>
      <c r="AC79" s="112">
        <f>AA79-AA74+AC65-AC70</f>
        <v>24538.12803687901</v>
      </c>
      <c r="AD79" s="112"/>
      <c r="AE79" s="112">
        <f>AC79-AC74+AE65-AE70</f>
        <v>24225.297038316523</v>
      </c>
      <c r="AF79" s="112"/>
      <c r="AG79" s="112">
        <f>AE79-AE74+AG65-AG70</f>
        <v>22337.481596925638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18711.946757248563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30874.712149460127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12224.118075720118</v>
      </c>
      <c r="AB83" s="112"/>
      <c r="AC83" s="165">
        <f>$I$84*AB82/4</f>
        <v>12224.118075720118</v>
      </c>
      <c r="AD83" s="112"/>
      <c r="AE83" s="165">
        <f>$I$84*AD82/4</f>
        <v>12224.118075720118</v>
      </c>
      <c r="AF83" s="112"/>
      <c r="AG83" s="165">
        <f>$I$84*AF82/4</f>
        <v>12224.118075720118</v>
      </c>
      <c r="AH83" s="165">
        <f>SUM(AA83,AC83,AE83,AG83)</f>
        <v>48896.472302880473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32335.238179999298</v>
      </c>
      <c r="C84" s="46"/>
      <c r="D84" s="233"/>
      <c r="E84" s="64"/>
      <c r="F84" s="64"/>
      <c r="G84" s="64"/>
      <c r="H84" s="234">
        <f>IF(B84=0,0,I84/B84)</f>
        <v>1.5121729436687741</v>
      </c>
      <c r="I84" s="232">
        <f>(B70*H70)+((1-(D29*H29))*I83)</f>
        <v>48896.472302880473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0.21376717515779031</v>
      </c>
      <c r="C91" s="75">
        <f t="shared" si="50"/>
        <v>0.10688358757889516</v>
      </c>
      <c r="D91" s="24">
        <f t="shared" ref="D91" si="51">(B91+C91)</f>
        <v>0.32065076273668547</v>
      </c>
      <c r="H91" s="24">
        <f>(E37*F37/G37*F$7/F$9)</f>
        <v>0.3575757575757576</v>
      </c>
      <c r="I91" s="22">
        <f t="shared" ref="I91" si="52">(D91*H91)</f>
        <v>0.11465693940281481</v>
      </c>
      <c r="J91" s="24">
        <f>IF(I$32&lt;=1+I$131,I91,L91+J$33*(I91-L91))</f>
        <v>9.6886961910792019E-2</v>
      </c>
      <c r="K91" s="22">
        <f t="shared" ref="K91" si="53">(B91)</f>
        <v>0.21376717515779031</v>
      </c>
      <c r="L91" s="22">
        <f t="shared" ref="L91" si="54">(K91*H91)</f>
        <v>7.6437959601876548E-2</v>
      </c>
      <c r="M91" s="225">
        <f t="shared" si="49"/>
        <v>9.6886961910792019E-2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si="50"/>
        <v>8.0162690684171367E-2</v>
      </c>
      <c r="C92" s="75">
        <f t="shared" si="50"/>
        <v>0</v>
      </c>
      <c r="D92" s="24">
        <f t="shared" ref="D92:D118" si="56">(B92+C92)</f>
        <v>8.0162690684171367E-2</v>
      </c>
      <c r="H92" s="24">
        <f t="shared" ref="H92:H118" si="57">(E38*F38/G38*F$7/F$9)</f>
        <v>0.3575757575757576</v>
      </c>
      <c r="I92" s="22">
        <f t="shared" ref="I92:I118" si="58">(D92*H92)</f>
        <v>2.8664234850703702E-2</v>
      </c>
      <c r="J92" s="24">
        <f t="shared" ref="J92:J118" si="59">IF(I$32&lt;=1+I$131,I92,L92+J$33*(I92-L92))</f>
        <v>2.8664234850703702E-2</v>
      </c>
      <c r="K92" s="22">
        <f t="shared" ref="K92:K118" si="60">(B92)</f>
        <v>8.0162690684171367E-2</v>
      </c>
      <c r="L92" s="22">
        <f t="shared" ref="L92:L118" si="61">(K92*H92)</f>
        <v>2.8664234850703702E-2</v>
      </c>
      <c r="M92" s="225">
        <f t="shared" ref="M92:M118" si="62">(J92)</f>
        <v>2.8664234850703702E-2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0.37409255652613305</v>
      </c>
      <c r="C93" s="75">
        <f t="shared" si="50"/>
        <v>0</v>
      </c>
      <c r="D93" s="24">
        <f t="shared" si="56"/>
        <v>0.37409255652613305</v>
      </c>
      <c r="H93" s="24">
        <f t="shared" si="57"/>
        <v>0.57212121212121214</v>
      </c>
      <c r="I93" s="22">
        <f t="shared" si="58"/>
        <v>0.2140262868852543</v>
      </c>
      <c r="J93" s="24">
        <f t="shared" si="59"/>
        <v>0.2140262868852543</v>
      </c>
      <c r="K93" s="22">
        <f t="shared" si="60"/>
        <v>0.37409255652613305</v>
      </c>
      <c r="L93" s="22">
        <f t="shared" si="61"/>
        <v>0.2140262868852543</v>
      </c>
      <c r="M93" s="225">
        <f t="shared" si="62"/>
        <v>0.2140262868852543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si="50"/>
        <v>0.35912885426508773</v>
      </c>
      <c r="C94" s="75">
        <f t="shared" si="50"/>
        <v>-0.23941923617672514</v>
      </c>
      <c r="D94" s="24">
        <f t="shared" si="56"/>
        <v>0.11970961808836258</v>
      </c>
      <c r="H94" s="24">
        <f t="shared" si="57"/>
        <v>0.57212121212121214</v>
      </c>
      <c r="I94" s="22">
        <f t="shared" si="58"/>
        <v>6.8488411803281385E-2</v>
      </c>
      <c r="J94" s="24">
        <f t="shared" si="59"/>
        <v>0.13217601113469107</v>
      </c>
      <c r="K94" s="22">
        <f t="shared" si="60"/>
        <v>0.35912885426508773</v>
      </c>
      <c r="L94" s="22">
        <f t="shared" si="61"/>
        <v>0.20546523540984413</v>
      </c>
      <c r="M94" s="225">
        <f t="shared" si="62"/>
        <v>0.13217601113469107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si="50"/>
        <v>3.2065076273668544E-2</v>
      </c>
      <c r="C95" s="75">
        <f t="shared" si="50"/>
        <v>0</v>
      </c>
      <c r="D95" s="24">
        <f t="shared" si="56"/>
        <v>3.2065076273668544E-2</v>
      </c>
      <c r="H95" s="24">
        <f t="shared" si="57"/>
        <v>0.57212121212121214</v>
      </c>
      <c r="I95" s="22">
        <f t="shared" si="58"/>
        <v>1.8345110304450369E-2</v>
      </c>
      <c r="J95" s="24">
        <f t="shared" si="59"/>
        <v>1.8345110304450369E-2</v>
      </c>
      <c r="K95" s="22">
        <f t="shared" si="60"/>
        <v>3.2065076273668544E-2</v>
      </c>
      <c r="L95" s="22">
        <f t="shared" si="61"/>
        <v>1.8345110304450369E-2</v>
      </c>
      <c r="M95" s="225">
        <f t="shared" si="62"/>
        <v>1.8345110304450369E-2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si="50"/>
        <v>2.2445553391567983E-2</v>
      </c>
      <c r="C96" s="75">
        <f t="shared" si="50"/>
        <v>0</v>
      </c>
      <c r="D96" s="24">
        <f t="shared" si="56"/>
        <v>2.2445553391567983E-2</v>
      </c>
      <c r="H96" s="24">
        <f t="shared" si="57"/>
        <v>0.7151515151515152</v>
      </c>
      <c r="I96" s="22">
        <f t="shared" si="58"/>
        <v>1.6051971516394075E-2</v>
      </c>
      <c r="J96" s="24">
        <f t="shared" si="59"/>
        <v>1.6051971516394075E-2</v>
      </c>
      <c r="K96" s="22">
        <f t="shared" si="60"/>
        <v>2.2445553391567983E-2</v>
      </c>
      <c r="L96" s="22">
        <f t="shared" si="61"/>
        <v>1.6051971516394075E-2</v>
      </c>
      <c r="M96" s="225">
        <f t="shared" si="62"/>
        <v>1.6051971516394075E-2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si="50"/>
        <v>0.40081345342085684</v>
      </c>
      <c r="C97" s="75">
        <f t="shared" si="50"/>
        <v>-0.40081345342085684</v>
      </c>
      <c r="D97" s="24">
        <f t="shared" si="56"/>
        <v>0</v>
      </c>
      <c r="H97" s="24">
        <f t="shared" si="57"/>
        <v>0.92484848484848492</v>
      </c>
      <c r="I97" s="22">
        <f t="shared" si="58"/>
        <v>0</v>
      </c>
      <c r="J97" s="24">
        <f t="shared" si="59"/>
        <v>0.17235372236966179</v>
      </c>
      <c r="K97" s="22">
        <f t="shared" si="60"/>
        <v>0.40081345342085684</v>
      </c>
      <c r="L97" s="22">
        <f t="shared" si="61"/>
        <v>0.37069171510316823</v>
      </c>
      <c r="M97" s="225">
        <f t="shared" si="62"/>
        <v>0.17235372236966179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si="50"/>
        <v>1.6032538136834272E-2</v>
      </c>
      <c r="C98" s="75">
        <f t="shared" si="50"/>
        <v>-1.6032538136834272E-2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6.3249072429233675E-3</v>
      </c>
      <c r="K98" s="22">
        <f t="shared" si="60"/>
        <v>1.6032538136834272E-2</v>
      </c>
      <c r="L98" s="22">
        <f t="shared" si="61"/>
        <v>1.3603365691859383E-2</v>
      </c>
      <c r="M98" s="225">
        <f t="shared" si="62"/>
        <v>6.3249072429233675E-3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si="50"/>
        <v>4.1684599155769109E-2</v>
      </c>
      <c r="C99" s="75">
        <f t="shared" si="50"/>
        <v>-4.1684599155769114E-3</v>
      </c>
      <c r="D99" s="24">
        <f t="shared" si="56"/>
        <v>3.7516139240192196E-2</v>
      </c>
      <c r="H99" s="24">
        <f t="shared" si="57"/>
        <v>0.84848484848484851</v>
      </c>
      <c r="I99" s="22">
        <f t="shared" si="58"/>
        <v>3.1831875718950957E-2</v>
      </c>
      <c r="J99" s="24">
        <f t="shared" si="59"/>
        <v>3.3476351602111036E-2</v>
      </c>
      <c r="K99" s="22">
        <f t="shared" si="60"/>
        <v>4.1684599155769109E-2</v>
      </c>
      <c r="L99" s="22">
        <f t="shared" si="61"/>
        <v>3.5368750798834399E-2</v>
      </c>
      <c r="M99" s="225">
        <f t="shared" si="62"/>
        <v>3.3476351602111036E-2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si="50"/>
        <v>1.6032538136834272E-2</v>
      </c>
      <c r="C100" s="75">
        <f t="shared" si="50"/>
        <v>8.016269068417136E-3</v>
      </c>
      <c r="D100" s="24">
        <f t="shared" si="56"/>
        <v>2.4048807205251408E-2</v>
      </c>
      <c r="H100" s="24">
        <f t="shared" si="57"/>
        <v>0.84848484848484851</v>
      </c>
      <c r="I100" s="22">
        <f t="shared" si="58"/>
        <v>2.0405048537789076E-2</v>
      </c>
      <c r="J100" s="24">
        <f t="shared" si="59"/>
        <v>1.7242594916327392E-2</v>
      </c>
      <c r="K100" s="22">
        <f t="shared" si="60"/>
        <v>1.6032538136834272E-2</v>
      </c>
      <c r="L100" s="22">
        <f t="shared" si="61"/>
        <v>1.3603365691859383E-2</v>
      </c>
      <c r="M100" s="225">
        <f t="shared" si="62"/>
        <v>1.7242594916327392E-2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si="50"/>
        <v>1.9239045764201129E-2</v>
      </c>
      <c r="C101" s="75">
        <f t="shared" si="50"/>
        <v>2.4048807205251412E-3</v>
      </c>
      <c r="D101" s="24">
        <f t="shared" si="56"/>
        <v>2.164392648472627E-2</v>
      </c>
      <c r="H101" s="24">
        <f t="shared" si="57"/>
        <v>0.84848484848484851</v>
      </c>
      <c r="I101" s="22">
        <f t="shared" si="58"/>
        <v>1.8364543684010168E-2</v>
      </c>
      <c r="J101" s="24">
        <f t="shared" si="59"/>
        <v>1.7415807597571664E-2</v>
      </c>
      <c r="K101" s="22">
        <f t="shared" si="60"/>
        <v>1.9239045764201129E-2</v>
      </c>
      <c r="L101" s="22">
        <f t="shared" si="61"/>
        <v>1.6324038830231261E-2</v>
      </c>
      <c r="M101" s="225">
        <f t="shared" si="62"/>
        <v>1.7415807597571664E-2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si="50"/>
        <v>2.4048807205251412E-3</v>
      </c>
      <c r="C103" s="75">
        <f t="shared" si="50"/>
        <v>-2.4048807205251412E-3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9.4873608643850516E-4</v>
      </c>
      <c r="K103" s="22">
        <f t="shared" si="60"/>
        <v>2.4048807205251412E-3</v>
      </c>
      <c r="L103" s="22">
        <f t="shared" si="61"/>
        <v>2.0405048537789077E-3</v>
      </c>
      <c r="M103" s="225">
        <f t="shared" si="62"/>
        <v>9.4873608643850516E-4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si="50"/>
        <v>1.1222776695783991E-2</v>
      </c>
      <c r="C104" s="75">
        <f t="shared" si="50"/>
        <v>-1.1222776695783991E-2</v>
      </c>
      <c r="D104" s="24">
        <f t="shared" si="56"/>
        <v>0</v>
      </c>
      <c r="H104" s="24">
        <f t="shared" si="57"/>
        <v>0.84848484848484851</v>
      </c>
      <c r="I104" s="22">
        <f t="shared" si="58"/>
        <v>0</v>
      </c>
      <c r="J104" s="24">
        <f t="shared" si="59"/>
        <v>4.4274350700463571E-3</v>
      </c>
      <c r="K104" s="22">
        <f t="shared" si="60"/>
        <v>1.1222776695783991E-2</v>
      </c>
      <c r="L104" s="22">
        <f t="shared" si="61"/>
        <v>9.5223559843015688E-3</v>
      </c>
      <c r="M104" s="225">
        <f t="shared" si="62"/>
        <v>4.4274350700463571E-3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si="50"/>
        <v>8.8178959752588503E-3</v>
      </c>
      <c r="C106" s="75">
        <f t="shared" si="50"/>
        <v>-8.8178959752588503E-3</v>
      </c>
      <c r="D106" s="24">
        <f t="shared" si="56"/>
        <v>0</v>
      </c>
      <c r="H106" s="24">
        <f t="shared" si="57"/>
        <v>0.84848484848484851</v>
      </c>
      <c r="I106" s="22">
        <f t="shared" si="58"/>
        <v>0</v>
      </c>
      <c r="J106" s="24">
        <f t="shared" si="59"/>
        <v>3.478698983607852E-3</v>
      </c>
      <c r="K106" s="22">
        <f t="shared" si="60"/>
        <v>8.8178959752588503E-3</v>
      </c>
      <c r="L106" s="22">
        <f t="shared" si="61"/>
        <v>7.4818511305226607E-3</v>
      </c>
      <c r="M106" s="225">
        <f t="shared" si="62"/>
        <v>3.478698983607852E-3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si="50"/>
        <v>0.29526591068669789</v>
      </c>
      <c r="C107" s="75">
        <f t="shared" si="50"/>
        <v>-0.29526591068669789</v>
      </c>
      <c r="D107" s="24">
        <f t="shared" si="56"/>
        <v>0</v>
      </c>
      <c r="H107" s="24">
        <f t="shared" si="57"/>
        <v>0.84848484848484851</v>
      </c>
      <c r="I107" s="22">
        <f t="shared" si="58"/>
        <v>0</v>
      </c>
      <c r="J107" s="24">
        <f t="shared" si="59"/>
        <v>0.11648370839050537</v>
      </c>
      <c r="K107" s="22">
        <f t="shared" si="60"/>
        <v>0.29526591068669789</v>
      </c>
      <c r="L107" s="22">
        <f t="shared" si="61"/>
        <v>0.25052865149174369</v>
      </c>
      <c r="M107" s="225">
        <f t="shared" si="62"/>
        <v>0.11648370839050537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si="50"/>
        <v>1.9239045764201129E-2</v>
      </c>
      <c r="C108" s="75">
        <f t="shared" si="50"/>
        <v>-1.9239045764201129E-2</v>
      </c>
      <c r="D108" s="24">
        <f t="shared" si="56"/>
        <v>0</v>
      </c>
      <c r="H108" s="24">
        <f t="shared" si="57"/>
        <v>0.84848484848484851</v>
      </c>
      <c r="I108" s="22">
        <f t="shared" si="58"/>
        <v>0</v>
      </c>
      <c r="J108" s="24">
        <f t="shared" si="59"/>
        <v>7.5898886915080413E-3</v>
      </c>
      <c r="K108" s="22">
        <f t="shared" si="60"/>
        <v>1.9239045764201129E-2</v>
      </c>
      <c r="L108" s="22">
        <f t="shared" si="61"/>
        <v>1.6324038830231261E-2</v>
      </c>
      <c r="M108" s="225">
        <f t="shared" si="62"/>
        <v>7.5898886915080413E-3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0.67272727272727284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0.12826030509467418</v>
      </c>
      <c r="C110" s="75">
        <f t="shared" si="50"/>
        <v>0</v>
      </c>
      <c r="D110" s="24">
        <f t="shared" si="56"/>
        <v>0.12826030509467418</v>
      </c>
      <c r="H110" s="24">
        <f t="shared" si="57"/>
        <v>0.67272727272727284</v>
      </c>
      <c r="I110" s="22">
        <f t="shared" si="58"/>
        <v>8.6284205245508103E-2</v>
      </c>
      <c r="J110" s="24">
        <f t="shared" si="59"/>
        <v>8.6284205245508103E-2</v>
      </c>
      <c r="K110" s="22">
        <f t="shared" si="60"/>
        <v>0.12826030509467418</v>
      </c>
      <c r="L110" s="22">
        <f t="shared" si="61"/>
        <v>8.6284205245508103E-2</v>
      </c>
      <c r="M110" s="225">
        <f t="shared" si="62"/>
        <v>8.6284205245508103E-2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1.4429284323150846</v>
      </c>
      <c r="C111" s="75">
        <f t="shared" si="50"/>
        <v>0</v>
      </c>
      <c r="D111" s="24">
        <f t="shared" si="56"/>
        <v>1.4429284323150846</v>
      </c>
      <c r="H111" s="24">
        <f t="shared" si="57"/>
        <v>0.67272727272727284</v>
      </c>
      <c r="I111" s="22">
        <f t="shared" si="58"/>
        <v>0.97069730901196616</v>
      </c>
      <c r="J111" s="24">
        <f t="shared" si="59"/>
        <v>0.97069730901196616</v>
      </c>
      <c r="K111" s="22">
        <f t="shared" si="60"/>
        <v>1.4429284323150846</v>
      </c>
      <c r="L111" s="22">
        <f t="shared" si="61"/>
        <v>0.97069730901196616</v>
      </c>
      <c r="M111" s="225">
        <f t="shared" si="62"/>
        <v>0.97069730901196616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0.57212121212121214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1.0902125933047306</v>
      </c>
      <c r="C113" s="75">
        <f t="shared" si="50"/>
        <v>0.21804251866094612</v>
      </c>
      <c r="D113" s="24">
        <f t="shared" si="56"/>
        <v>1.3082551119656767</v>
      </c>
      <c r="H113" s="24">
        <f t="shared" si="57"/>
        <v>0.48484848484848486</v>
      </c>
      <c r="I113" s="22">
        <f t="shared" si="58"/>
        <v>0.63430550883184322</v>
      </c>
      <c r="J113" s="24">
        <f t="shared" si="59"/>
        <v>0.5851519439725531</v>
      </c>
      <c r="K113" s="22">
        <f t="shared" si="60"/>
        <v>1.0902125933047306</v>
      </c>
      <c r="L113" s="22">
        <f t="shared" si="61"/>
        <v>0.52858792402653609</v>
      </c>
      <c r="M113" s="225">
        <f t="shared" si="62"/>
        <v>0.5851519439725531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0.44891106783135964</v>
      </c>
      <c r="C114" s="75">
        <f t="shared" si="50"/>
        <v>0</v>
      </c>
      <c r="D114" s="24">
        <f t="shared" si="56"/>
        <v>0.44891106783135964</v>
      </c>
      <c r="H114" s="24">
        <f t="shared" si="57"/>
        <v>0.57212121212121214</v>
      </c>
      <c r="I114" s="22">
        <f t="shared" si="58"/>
        <v>0.25683154426230514</v>
      </c>
      <c r="J114" s="24">
        <f t="shared" si="59"/>
        <v>0.25683154426230514</v>
      </c>
      <c r="K114" s="22">
        <f t="shared" si="60"/>
        <v>0.44891106783135964</v>
      </c>
      <c r="L114" s="22">
        <f t="shared" si="61"/>
        <v>0.25683154426230514</v>
      </c>
      <c r="M114" s="225">
        <f t="shared" si="62"/>
        <v>0.25683154426230514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0.45532408308609335</v>
      </c>
      <c r="C115" s="75">
        <f t="shared" si="50"/>
        <v>0</v>
      </c>
      <c r="D115" s="24">
        <f t="shared" si="56"/>
        <v>0.45532408308609335</v>
      </c>
      <c r="H115" s="24">
        <f t="shared" si="57"/>
        <v>0.7151515151515152</v>
      </c>
      <c r="I115" s="22">
        <f t="shared" si="58"/>
        <v>0.32562570790399403</v>
      </c>
      <c r="J115" s="24">
        <f t="shared" si="59"/>
        <v>0.32562570790399403</v>
      </c>
      <c r="K115" s="22">
        <f t="shared" si="60"/>
        <v>0.45532408308609335</v>
      </c>
      <c r="L115" s="22">
        <f t="shared" si="61"/>
        <v>0.32562570790399403</v>
      </c>
      <c r="M115" s="225">
        <f t="shared" si="62"/>
        <v>0.32562570790399403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0.7151515151515152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si="50"/>
        <v>5.3441793789447578E-2</v>
      </c>
      <c r="C117" s="75">
        <f t="shared" si="50"/>
        <v>0</v>
      </c>
      <c r="D117" s="24">
        <f t="shared" si="56"/>
        <v>5.3441793789447578E-2</v>
      </c>
      <c r="H117" s="24">
        <f t="shared" si="57"/>
        <v>0.67272727272727284</v>
      </c>
      <c r="I117" s="22">
        <f t="shared" si="58"/>
        <v>3.5951752185628377E-2</v>
      </c>
      <c r="J117" s="24">
        <f t="shared" si="59"/>
        <v>3.5951752185628377E-2</v>
      </c>
      <c r="K117" s="22">
        <f t="shared" si="60"/>
        <v>5.3441793789447578E-2</v>
      </c>
      <c r="L117" s="22">
        <f t="shared" si="61"/>
        <v>3.5951752185628377E-2</v>
      </c>
      <c r="M117" s="225">
        <f t="shared" si="62"/>
        <v>3.5951752185628377E-2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5.5314928661767722</v>
      </c>
      <c r="C119" s="22">
        <f>SUM(C91:C118)</f>
        <v>-0.66203694146367653</v>
      </c>
      <c r="D119" s="24">
        <f>SUM(D91:D118)</f>
        <v>4.8694559247130957</v>
      </c>
      <c r="E119" s="22"/>
      <c r="F119" s="2"/>
      <c r="G119" s="2"/>
      <c r="H119" s="31"/>
      <c r="I119" s="22">
        <f>SUM(I91:I118)</f>
        <v>2.840530450144894</v>
      </c>
      <c r="J119" s="24">
        <f>SUM(J91:J118)</f>
        <v>3.1464348901349415</v>
      </c>
      <c r="K119" s="22">
        <f>SUM(K91:K118)</f>
        <v>5.5314928661767722</v>
      </c>
      <c r="L119" s="22">
        <f>SUM(L91:L118)</f>
        <v>3.4984578796109917</v>
      </c>
      <c r="M119" s="57">
        <f t="shared" si="49"/>
        <v>3.1464348901349415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63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64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65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1.8533614086180421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1.3254342194965394</v>
      </c>
      <c r="K126" s="22">
        <f t="shared" si="64"/>
        <v>1.8533614086180421</v>
      </c>
      <c r="L126" s="29">
        <f>IF(SUMPRODUCT($B$124:$B126,$H$124:$H126)&lt;(L$119-L$128),($B126*$H126),IF(SUMPRODUCT($B$124:$B125,$H$124:$H125)&lt;(L$119-L$128),L$119-L$128-SUMPRODUCT($B$124:$B125,$H$124:$H125),0))</f>
        <v>1.3254342194965394</v>
      </c>
      <c r="M126" s="57">
        <f t="shared" si="65"/>
        <v>1.3254342194965394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1.6032538136834273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3.9187755659344958E-2</v>
      </c>
      <c r="K127" s="22">
        <f>(B127)</f>
        <v>1.6032538136834273</v>
      </c>
      <c r="L127" s="29">
        <f>IF(SUMPRODUCT($B$124:$B127,$H$124:$H127)&lt;(L$119-L$128),($B127*$H127),IF(SUMPRODUCT($B$124:$B126,$H$124:$H126)&lt;(L$119-L128),L$119-L$128-SUMPRODUCT($B$124:$B126,$H$124:$H126),0))</f>
        <v>0.22046418271977464</v>
      </c>
      <c r="M127" s="57">
        <f t="shared" si="63"/>
        <v>3.9187755659344958E-2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0.6807752441843089</v>
      </c>
      <c r="C128" s="2"/>
      <c r="D128" s="31"/>
      <c r="E128" s="2"/>
      <c r="F128" s="2"/>
      <c r="G128" s="2"/>
      <c r="H128" s="24"/>
      <c r="I128" s="29">
        <f>(I30)</f>
        <v>2.0321875005410948</v>
      </c>
      <c r="J128" s="226">
        <f>(J30)</f>
        <v>0.22921903205165328</v>
      </c>
      <c r="K128" s="22">
        <f>(B128)</f>
        <v>0.6807752441843089</v>
      </c>
      <c r="L128" s="22">
        <f>IF(L124=L119,0,(L119-L124)/(B119-B124)*K128)</f>
        <v>0.39996559446727392</v>
      </c>
      <c r="M128" s="57">
        <f t="shared" si="63"/>
        <v>0.22921903205165328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5.5314928661767722</v>
      </c>
      <c r="C130" s="2"/>
      <c r="D130" s="31"/>
      <c r="E130" s="2"/>
      <c r="F130" s="2"/>
      <c r="G130" s="2"/>
      <c r="H130" s="24"/>
      <c r="I130" s="29">
        <f>(I119)</f>
        <v>2.840530450144894</v>
      </c>
      <c r="J130" s="226">
        <f>(J119)</f>
        <v>3.1464348901349415</v>
      </c>
      <c r="K130" s="22">
        <f>(B130)</f>
        <v>5.5314928661767722</v>
      </c>
      <c r="L130" s="22">
        <f>(L119)</f>
        <v>3.4984578796109917</v>
      </c>
      <c r="M130" s="57">
        <f t="shared" si="63"/>
        <v>3.1464348901349415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324" operator="equal">
      <formula>16</formula>
    </cfRule>
    <cfRule type="cellIs" dxfId="292" priority="325" operator="equal">
      <formula>15</formula>
    </cfRule>
    <cfRule type="cellIs" dxfId="291" priority="326" operator="equal">
      <formula>14</formula>
    </cfRule>
    <cfRule type="cellIs" dxfId="290" priority="327" operator="equal">
      <formula>13</formula>
    </cfRule>
    <cfRule type="cellIs" dxfId="289" priority="328" operator="equal">
      <formula>12</formula>
    </cfRule>
    <cfRule type="cellIs" dxfId="288" priority="329" operator="equal">
      <formula>11</formula>
    </cfRule>
    <cfRule type="cellIs" dxfId="287" priority="330" operator="equal">
      <formula>10</formula>
    </cfRule>
    <cfRule type="cellIs" dxfId="286" priority="331" operator="equal">
      <formula>9</formula>
    </cfRule>
    <cfRule type="cellIs" dxfId="285" priority="332" operator="equal">
      <formula>8</formula>
    </cfRule>
    <cfRule type="cellIs" dxfId="284" priority="333" operator="equal">
      <formula>7</formula>
    </cfRule>
    <cfRule type="cellIs" dxfId="283" priority="334" operator="equal">
      <formula>6</formula>
    </cfRule>
    <cfRule type="cellIs" dxfId="282" priority="335" operator="equal">
      <formula>5</formula>
    </cfRule>
    <cfRule type="cellIs" dxfId="281" priority="336" operator="equal">
      <formula>4</formula>
    </cfRule>
    <cfRule type="cellIs" dxfId="280" priority="337" operator="equal">
      <formula>3</formula>
    </cfRule>
    <cfRule type="cellIs" dxfId="279" priority="338" operator="equal">
      <formula>2</formula>
    </cfRule>
    <cfRule type="cellIs" dxfId="278" priority="339" operator="equal">
      <formula>1</formula>
    </cfRule>
  </conditionalFormatting>
  <conditionalFormatting sqref="N29">
    <cfRule type="cellIs" dxfId="277" priority="308" operator="equal">
      <formula>16</formula>
    </cfRule>
    <cfRule type="cellIs" dxfId="276" priority="309" operator="equal">
      <formula>15</formula>
    </cfRule>
    <cfRule type="cellIs" dxfId="275" priority="310" operator="equal">
      <formula>14</formula>
    </cfRule>
    <cfRule type="cellIs" dxfId="274" priority="311" operator="equal">
      <formula>13</formula>
    </cfRule>
    <cfRule type="cellIs" dxfId="273" priority="312" operator="equal">
      <formula>12</formula>
    </cfRule>
    <cfRule type="cellIs" dxfId="272" priority="313" operator="equal">
      <formula>11</formula>
    </cfRule>
    <cfRule type="cellIs" dxfId="271" priority="314" operator="equal">
      <formula>10</formula>
    </cfRule>
    <cfRule type="cellIs" dxfId="270" priority="315" operator="equal">
      <formula>9</formula>
    </cfRule>
    <cfRule type="cellIs" dxfId="269" priority="316" operator="equal">
      <formula>8</formula>
    </cfRule>
    <cfRule type="cellIs" dxfId="268" priority="317" operator="equal">
      <formula>7</formula>
    </cfRule>
    <cfRule type="cellIs" dxfId="267" priority="318" operator="equal">
      <formula>6</formula>
    </cfRule>
    <cfRule type="cellIs" dxfId="266" priority="319" operator="equal">
      <formula>5</formula>
    </cfRule>
    <cfRule type="cellIs" dxfId="265" priority="320" operator="equal">
      <formula>4</formula>
    </cfRule>
    <cfRule type="cellIs" dxfId="264" priority="321" operator="equal">
      <formula>3</formula>
    </cfRule>
    <cfRule type="cellIs" dxfId="263" priority="322" operator="equal">
      <formula>2</formula>
    </cfRule>
    <cfRule type="cellIs" dxfId="262" priority="323" operator="equal">
      <formula>1</formula>
    </cfRule>
  </conditionalFormatting>
  <conditionalFormatting sqref="N27:N28">
    <cfRule type="cellIs" dxfId="261" priority="116" operator="equal">
      <formula>16</formula>
    </cfRule>
    <cfRule type="cellIs" dxfId="260" priority="117" operator="equal">
      <formula>15</formula>
    </cfRule>
    <cfRule type="cellIs" dxfId="259" priority="118" operator="equal">
      <formula>14</formula>
    </cfRule>
    <cfRule type="cellIs" dxfId="258" priority="119" operator="equal">
      <formula>13</formula>
    </cfRule>
    <cfRule type="cellIs" dxfId="257" priority="120" operator="equal">
      <formula>12</formula>
    </cfRule>
    <cfRule type="cellIs" dxfId="256" priority="121" operator="equal">
      <formula>11</formula>
    </cfRule>
    <cfRule type="cellIs" dxfId="255" priority="122" operator="equal">
      <formula>10</formula>
    </cfRule>
    <cfRule type="cellIs" dxfId="254" priority="123" operator="equal">
      <formula>9</formula>
    </cfRule>
    <cfRule type="cellIs" dxfId="253" priority="124" operator="equal">
      <formula>8</formula>
    </cfRule>
    <cfRule type="cellIs" dxfId="252" priority="125" operator="equal">
      <formula>7</formula>
    </cfRule>
    <cfRule type="cellIs" dxfId="251" priority="126" operator="equal">
      <formula>6</formula>
    </cfRule>
    <cfRule type="cellIs" dxfId="250" priority="127" operator="equal">
      <formula>5</formula>
    </cfRule>
    <cfRule type="cellIs" dxfId="249" priority="128" operator="equal">
      <formula>4</formula>
    </cfRule>
    <cfRule type="cellIs" dxfId="248" priority="129" operator="equal">
      <formula>3</formula>
    </cfRule>
    <cfRule type="cellIs" dxfId="247" priority="130" operator="equal">
      <formula>2</formula>
    </cfRule>
    <cfRule type="cellIs" dxfId="246" priority="131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N91" sqref="N91:N11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ZANFL: 59207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6" t="str">
        <f>Poor!Z2</f>
        <v>Q1</v>
      </c>
      <c r="AA2" s="257"/>
      <c r="AB2" s="256" t="str">
        <f>Poor!AB2</f>
        <v>Q2</v>
      </c>
      <c r="AC2" s="257"/>
      <c r="AD2" s="256" t="str">
        <f>Poor!AD2</f>
        <v>Q3</v>
      </c>
      <c r="AE2" s="257"/>
      <c r="AF2" s="256" t="str">
        <f>Poor!AF2</f>
        <v>Q4</v>
      </c>
      <c r="AG2" s="257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3.1283686176836863E-2</v>
      </c>
      <c r="C6" s="102">
        <f>IF([1]Summ!$K1044="",0,[1]Summ!$K1044)</f>
        <v>-3.1283686176836863E-2</v>
      </c>
      <c r="D6" s="24">
        <f t="shared" ref="D6:D29" si="0">(B6+C6)</f>
        <v>0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>
        <f t="shared" ref="J6:J13" si="3">IF(I$32&lt;=1+I$131,I6,B6*H6+J$33*(I6-B6*H6))</f>
        <v>1.6224945703788168E-2</v>
      </c>
      <c r="K6" s="22">
        <f t="shared" ref="K6:K31" si="4">B6</f>
        <v>3.1283686176836863E-2</v>
      </c>
      <c r="L6" s="22">
        <f t="shared" ref="L6:L29" si="5">IF(K6="","",K6*H6)</f>
        <v>1.5641843088418431E-2</v>
      </c>
      <c r="M6" s="177">
        <f t="shared" ref="M6:M31" si="6">J6</f>
        <v>1.6224945703788168E-2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6.4899782815152671E-2</v>
      </c>
      <c r="Z6" s="156">
        <f>Poor!Z6</f>
        <v>0.17</v>
      </c>
      <c r="AA6" s="121">
        <f>$M6*Z6*4</f>
        <v>1.1032963078575955E-2</v>
      </c>
      <c r="AB6" s="156">
        <f>Poor!AB6</f>
        <v>0.17</v>
      </c>
      <c r="AC6" s="121">
        <f t="shared" ref="AC6:AC29" si="7">$M6*AB6*4</f>
        <v>1.1032963078575955E-2</v>
      </c>
      <c r="AD6" s="156">
        <f>Poor!AD6</f>
        <v>0.33</v>
      </c>
      <c r="AE6" s="121">
        <f t="shared" ref="AE6:AE29" si="8">$M6*AD6*4</f>
        <v>2.1416928329000381E-2</v>
      </c>
      <c r="AF6" s="122">
        <f>1-SUM(Z6,AB6,AD6)</f>
        <v>0.32999999999999996</v>
      </c>
      <c r="AG6" s="121">
        <f>$M6*AF6*4</f>
        <v>2.1416928329000377E-2</v>
      </c>
      <c r="AH6" s="123">
        <f>SUM(Z6,AB6,AD6,AF6)</f>
        <v>1</v>
      </c>
      <c r="AI6" s="183">
        <f>SUM(AA6,AC6,AE6,AG6)/4</f>
        <v>1.6224945703788164E-2</v>
      </c>
      <c r="AJ6" s="120">
        <f>(AA6+AC6)/2</f>
        <v>1.1032963078575955E-2</v>
      </c>
      <c r="AK6" s="119">
        <f>(AE6+AG6)/2</f>
        <v>2.1416928329000377E-2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8.6967134962640108E-2</v>
      </c>
      <c r="C7" s="102">
        <f>IF([1]Summ!$K1045="",0,[1]Summ!$K1045)</f>
        <v>0</v>
      </c>
      <c r="D7" s="24">
        <f t="shared" si="0"/>
        <v>8.6967134962640108E-2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4.3483567481320054E-2</v>
      </c>
      <c r="J7" s="24">
        <f t="shared" si="3"/>
        <v>4.3483567481320054E-2</v>
      </c>
      <c r="K7" s="22">
        <f t="shared" si="4"/>
        <v>8.6967134962640108E-2</v>
      </c>
      <c r="L7" s="22">
        <f t="shared" si="5"/>
        <v>4.3483567481320054E-2</v>
      </c>
      <c r="M7" s="177">
        <f t="shared" si="6"/>
        <v>4.3483567481320054E-2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16251.428681940881</v>
      </c>
      <c r="S7" s="220">
        <f>IF($B$81=0,0,(SUMIF($N$6:$N$28,$U7,L$6:L$28)+SUMIF($N$91:$N$118,$U7,L$91:L$118))*$I$83*Poor!$B$81/$B$81)</f>
        <v>18307.889445007007</v>
      </c>
      <c r="T7" s="220">
        <f>IF($B$81=0,0,(SUMIF($N$6:$N$28,$U7,M$6:M$28)+SUMIF($N$91:$N$118,$U7,M$91:M$118))*$I$83*Poor!$B$81/$B$81)</f>
        <v>18152.105120480373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0.17393426992528022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0.17393426992528022</v>
      </c>
      <c r="AH7" s="123">
        <f t="shared" ref="AH7:AH30" si="12">SUM(Z7,AB7,AD7,AF7)</f>
        <v>1</v>
      </c>
      <c r="AI7" s="183">
        <f t="shared" ref="AI7:AI30" si="13">SUM(AA7,AC7,AE7,AG7)/4</f>
        <v>4.3483567481320054E-2</v>
      </c>
      <c r="AJ7" s="120">
        <f t="shared" ref="AJ7:AJ31" si="14">(AA7+AC7)/2</f>
        <v>0</v>
      </c>
      <c r="AK7" s="119">
        <f t="shared" ref="AK7:AK31" si="15">(AE7+AG7)/2</f>
        <v>8.6967134962640108E-2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2.8333333333333335E-2</v>
      </c>
      <c r="C8" s="102">
        <f>IF([1]Summ!$K1046="",0,[1]Summ!$K1046)</f>
        <v>0</v>
      </c>
      <c r="D8" s="24">
        <f t="shared" si="0"/>
        <v>2.8333333333333335E-2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2.8333333333333335E-2</v>
      </c>
      <c r="J8" s="24">
        <f t="shared" si="3"/>
        <v>2.8333333333333335E-2</v>
      </c>
      <c r="K8" s="22">
        <f t="shared" si="4"/>
        <v>2.8333333333333335E-2</v>
      </c>
      <c r="L8" s="22">
        <f t="shared" si="5"/>
        <v>2.8333333333333335E-2</v>
      </c>
      <c r="M8" s="222">
        <f t="shared" si="6"/>
        <v>2.8333333333333335E-2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51200.285656445114</v>
      </c>
      <c r="S8" s="220">
        <f>IF($B$81=0,0,(SUMIF($N$6:$N$28,$U8,L$6:L$28)+SUMIF($N$91:$N$118,$U8,L$91:L$118))*$I$83*Poor!$B$81/$B$81)</f>
        <v>49764.75</v>
      </c>
      <c r="T8" s="220">
        <f>IF($B$81=0,0,(SUMIF($N$6:$N$28,$U8,M$6:M$28)+SUMIF($N$91:$N$118,$U8,M$91:M$118))*$I$83*Poor!$B$81/$B$81)</f>
        <v>51409.183344551893</v>
      </c>
      <c r="U8" s="221">
        <v>2</v>
      </c>
      <c r="V8" s="56"/>
      <c r="W8" s="115"/>
      <c r="X8" s="118">
        <f>Poor!X8</f>
        <v>1</v>
      </c>
      <c r="Y8" s="183">
        <f t="shared" si="9"/>
        <v>0.11333333333333334</v>
      </c>
      <c r="Z8" s="125">
        <f>IF($Y8=0,0,AA8/$Y8)</f>
        <v>0.28803345074941289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3.2643791084933461E-2</v>
      </c>
      <c r="AB8" s="125">
        <f>IF($Y8=0,0,AC8/$Y8)</f>
        <v>0.51373911280227613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5.8223766117591294E-2</v>
      </c>
      <c r="AD8" s="125">
        <f>IF($Y8=0,0,AE8/$Y8)</f>
        <v>0.19822743644831109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2.2465776130808593E-2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2.8333333333333339E-2</v>
      </c>
      <c r="AJ8" s="120">
        <f t="shared" si="14"/>
        <v>4.5433778601262381E-2</v>
      </c>
      <c r="AK8" s="119">
        <f t="shared" si="15"/>
        <v>1.1232888065404296E-2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0.20701001712328765</v>
      </c>
      <c r="C9" s="102">
        <f>IF([1]Summ!$K1047="",0,[1]Summ!$K1047)</f>
        <v>5.9145719178082201E-2</v>
      </c>
      <c r="D9" s="24">
        <f t="shared" si="0"/>
        <v>0.26615573630136985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0.29010975256849314</v>
      </c>
      <c r="J9" s="24">
        <f t="shared" si="3"/>
        <v>0.22323762479122372</v>
      </c>
      <c r="K9" s="22">
        <f t="shared" si="4"/>
        <v>0.20701001712328765</v>
      </c>
      <c r="L9" s="22">
        <f t="shared" si="5"/>
        <v>0.22564091866438354</v>
      </c>
      <c r="M9" s="222">
        <f t="shared" si="6"/>
        <v>0.22323762479122372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3345.9897135608667</v>
      </c>
      <c r="S9" s="220">
        <f>IF($B$81=0,0,(SUMIF($N$6:$N$28,$U9,L$6:L$28)+SUMIF($N$91:$N$118,$U9,L$91:L$118))*$I$83*Poor!$B$81/$B$81)</f>
        <v>1825.4800320593231</v>
      </c>
      <c r="T9" s="220">
        <f>IF($B$81=0,0,(SUMIF($N$6:$N$28,$U9,M$6:M$28)+SUMIF($N$91:$N$118,$U9,M$91:M$118))*$I$83*Poor!$B$81/$B$81)</f>
        <v>1843.4831574624613</v>
      </c>
      <c r="U9" s="221">
        <v>3</v>
      </c>
      <c r="V9" s="56"/>
      <c r="W9" s="115"/>
      <c r="X9" s="118">
        <f>Poor!X9</f>
        <v>1</v>
      </c>
      <c r="Y9" s="183">
        <f t="shared" si="9"/>
        <v>0.89295049916489488</v>
      </c>
      <c r="Z9" s="125">
        <f>IF($Y9=0,0,AA9/$Y9)</f>
        <v>0.28803345074941283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0.25719961362287536</v>
      </c>
      <c r="AB9" s="125">
        <f>IF($Y9=0,0,AC9/$Y9)</f>
        <v>0.51373911280227613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0.45874359721732272</v>
      </c>
      <c r="AD9" s="125">
        <f>IF($Y9=0,0,AE9/$Y9)</f>
        <v>0.19822743644831103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0.17700728832469681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0.22323762479122372</v>
      </c>
      <c r="AJ9" s="120">
        <f t="shared" si="14"/>
        <v>0.35797160542009904</v>
      </c>
      <c r="AK9" s="119">
        <f t="shared" si="15"/>
        <v>8.8503644162348405E-2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Tomato</v>
      </c>
      <c r="B10" s="101">
        <f>IF([1]Summ!$J1048="",0,[1]Summ!$J1048)</f>
        <v>-1.9613947696139476E-4</v>
      </c>
      <c r="C10" s="102">
        <f>IF([1]Summ!$K1048="",0,[1]Summ!$K1048)</f>
        <v>6.5379825653798262E-4</v>
      </c>
      <c r="D10" s="24">
        <f t="shared" si="0"/>
        <v>4.5765877957658786E-4</v>
      </c>
      <c r="E10" s="75">
        <f>Middle!E10</f>
        <v>1</v>
      </c>
      <c r="H10" s="24">
        <f t="shared" si="1"/>
        <v>1</v>
      </c>
      <c r="I10" s="22">
        <f t="shared" si="2"/>
        <v>4.5765877957658786E-4</v>
      </c>
      <c r="J10" s="24">
        <f t="shared" si="3"/>
        <v>-2.2051201868531368E-4</v>
      </c>
      <c r="K10" s="22">
        <f t="shared" si="4"/>
        <v>-1.9613947696139476E-4</v>
      </c>
      <c r="L10" s="22">
        <f t="shared" si="5"/>
        <v>-1.9613947696139476E-4</v>
      </c>
      <c r="M10" s="222">
        <f t="shared" si="6"/>
        <v>-2.2051201868531368E-4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18902.16179585968</v>
      </c>
      <c r="S10" s="220">
        <f>IF($B$81=0,0,(SUMIF($N$6:$N$28,$U10,L$6:L$28)+SUMIF($N$91:$N$118,$U10,L$91:L$118))*$I$83*Poor!$B$81/$B$81)</f>
        <v>7375</v>
      </c>
      <c r="T10" s="220">
        <f>IF($B$81=0,0,(SUMIF($N$6:$N$28,$U10,M$6:M$28)+SUMIF($N$91:$N$118,$U10,M$91:M$118))*$I$83*Poor!$B$81/$B$81)</f>
        <v>7292.521577910421</v>
      </c>
      <c r="U10" s="221">
        <v>4</v>
      </c>
      <c r="V10" s="56"/>
      <c r="W10" s="115"/>
      <c r="X10" s="118">
        <f>Poor!X10</f>
        <v>1</v>
      </c>
      <c r="Y10" s="183">
        <f t="shared" si="9"/>
        <v>-8.8204807474125471E-4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-8.8204807474125471E-4</v>
      </c>
      <c r="AB10" s="125">
        <f>IF($Y10=0,0,AC10/$Y10)</f>
        <v>0.51373911280227613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-4.5314259536652791E-4</v>
      </c>
      <c r="AD10" s="125">
        <f>IF($Y10=0,0,AE10/$Y10)</f>
        <v>-0.51373911280227613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4.5314259536652791E-4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-2.2051201868531368E-4</v>
      </c>
      <c r="AJ10" s="120">
        <f t="shared" si="14"/>
        <v>-6.6759533505389131E-4</v>
      </c>
      <c r="AK10" s="119">
        <f t="shared" si="15"/>
        <v>2.2657129768326395E-4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Onions</v>
      </c>
      <c r="B11" s="101">
        <f>IF([1]Summ!$J1049="",0,[1]Summ!$J1049)</f>
        <v>1.9555572851805729E-3</v>
      </c>
      <c r="C11" s="102">
        <f>IF([1]Summ!$K1049="",0,[1]Summ!$K1049)</f>
        <v>-1.9555572851805729E-3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2.0284572983726517E-3</v>
      </c>
      <c r="K11" s="22">
        <f t="shared" si="4"/>
        <v>1.9555572851805729E-3</v>
      </c>
      <c r="L11" s="22">
        <f t="shared" si="5"/>
        <v>1.9555572851805729E-3</v>
      </c>
      <c r="M11" s="222">
        <f t="shared" si="6"/>
        <v>2.0284572983726517E-3</v>
      </c>
      <c r="N11" s="227">
        <v>1</v>
      </c>
      <c r="O11" s="2"/>
      <c r="P11" s="22"/>
      <c r="Q11" s="59" t="s">
        <v>75</v>
      </c>
      <c r="R11" s="220">
        <f>IF($B$81=0,0,(SUMIF($N$6:$N$28,$U11,K$6:K$28)+SUMIF($N$91:$N$118,$U11,K$91:K$118))*$B$83*$H$84*Poor!$B$81/$B$81)</f>
        <v>35243.080668380368</v>
      </c>
      <c r="S11" s="220">
        <f>IF($B$81=0,0,(SUMIF($N$6:$N$28,$U11,L$6:L$28)+SUMIF($N$91:$N$118,$U11,L$91:L$118))*$I$83*Poor!$B$81/$B$81)</f>
        <v>22310.85</v>
      </c>
      <c r="T11" s="220">
        <f>IF($B$81=0,0,(SUMIF($N$6:$N$28,$U11,M$6:M$28)+SUMIF($N$91:$N$118,$U11,M$91:M$118))*$I$83*Poor!$B$81/$B$81)</f>
        <v>22105.071835447976</v>
      </c>
      <c r="U11" s="221">
        <v>5</v>
      </c>
      <c r="V11" s="56"/>
      <c r="W11" s="115"/>
      <c r="X11" s="118">
        <f>Poor!X11</f>
        <v>1</v>
      </c>
      <c r="Y11" s="183">
        <f t="shared" si="9"/>
        <v>8.1138291934906067E-3</v>
      </c>
      <c r="Z11" s="125">
        <f>IF($Y11=0,0,AA11/$Y11)</f>
        <v>0.28803345074941289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2.3370542213924251E-3</v>
      </c>
      <c r="AB11" s="125">
        <f>IF($Y11=0,0,AC11/$Y11)</f>
        <v>0.51373911280227613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4.1683914112930721E-3</v>
      </c>
      <c r="AD11" s="125">
        <f>IF($Y11=0,0,AE11/$Y11)</f>
        <v>0.19822743644831098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1.6083835608051095E-3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2.0284572983726517E-3</v>
      </c>
      <c r="AJ11" s="120">
        <f t="shared" si="14"/>
        <v>3.2527228163427486E-3</v>
      </c>
      <c r="AK11" s="119">
        <f t="shared" si="15"/>
        <v>8.0419178040255475E-4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Beetroot</v>
      </c>
      <c r="B12" s="101">
        <f>IF([1]Summ!$J1050="",0,[1]Summ!$J1050)</f>
        <v>9.1064757160647569E-4</v>
      </c>
      <c r="C12" s="102">
        <f>IF([1]Summ!$K1050="",0,[1]Summ!$K1050)</f>
        <v>-9.1064757160647569E-4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9.4459504043621992E-4</v>
      </c>
      <c r="K12" s="22">
        <f t="shared" si="4"/>
        <v>9.1064757160647569E-4</v>
      </c>
      <c r="L12" s="22">
        <f t="shared" si="5"/>
        <v>9.1064757160647569E-4</v>
      </c>
      <c r="M12" s="222">
        <f t="shared" si="6"/>
        <v>9.4459504043621992E-4</v>
      </c>
      <c r="N12" s="227">
        <v>1</v>
      </c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3.7783801617448797E-3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2.5315147083690695E-3</v>
      </c>
      <c r="AF12" s="122">
        <f>1-SUM(Z12,AB12,AD12)</f>
        <v>0.32999999999999996</v>
      </c>
      <c r="AG12" s="121">
        <f>$M12*AF12*4</f>
        <v>1.2468654533758102E-3</v>
      </c>
      <c r="AH12" s="123">
        <f t="shared" si="12"/>
        <v>1</v>
      </c>
      <c r="AI12" s="183">
        <f t="shared" si="13"/>
        <v>9.4459504043621992E-4</v>
      </c>
      <c r="AJ12" s="120">
        <f t="shared" si="14"/>
        <v>0</v>
      </c>
      <c r="AK12" s="119">
        <f t="shared" si="15"/>
        <v>1.8891900808724398E-3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f>IF([1]Summ!$J1051="",0,[1]Summ!$J1051)</f>
        <v>4.1416952054794523E-2</v>
      </c>
      <c r="C13" s="102">
        <f>IF([1]Summ!$K1051="",0,[1]Summ!$K1051)</f>
        <v>-6.9028253424657585E-3</v>
      </c>
      <c r="D13" s="24">
        <f t="shared" si="0"/>
        <v>3.4514126712328765E-2</v>
      </c>
      <c r="E13" s="75">
        <f>Middle!E13</f>
        <v>1</v>
      </c>
      <c r="H13" s="24">
        <f t="shared" si="1"/>
        <v>1</v>
      </c>
      <c r="I13" s="22">
        <f t="shared" si="2"/>
        <v>3.4514126712328765E-2</v>
      </c>
      <c r="J13" s="24">
        <f t="shared" si="3"/>
        <v>4.1674278220763576E-2</v>
      </c>
      <c r="K13" s="22">
        <f t="shared" si="4"/>
        <v>4.1416952054794523E-2</v>
      </c>
      <c r="L13" s="22">
        <f t="shared" si="5"/>
        <v>4.1416952054794523E-2</v>
      </c>
      <c r="M13" s="223">
        <f t="shared" si="6"/>
        <v>4.1674278220763576E-2</v>
      </c>
      <c r="N13" s="227">
        <v>1</v>
      </c>
      <c r="O13" s="2"/>
      <c r="P13" s="22"/>
      <c r="Q13" s="59" t="s">
        <v>76</v>
      </c>
      <c r="R13" s="220">
        <f>IF($B$81=0,0,(SUMIF($N$6:$N$28,$U13,K$6:K$28)+SUMIF($N$91:$N$118,$U13,K$91:K$118))*$B$83*$H$84*Poor!$B$81/$B$81)</f>
        <v>0</v>
      </c>
      <c r="S13" s="220">
        <f>IF($B$81=0,0,(SUMIF($N$6:$N$28,$U13,L$6:L$28)+SUMIF($N$91:$N$118,$U13,L$91:L$118))*$I$83*Poor!$B$81/$B$81)</f>
        <v>0</v>
      </c>
      <c r="T13" s="220">
        <f>IF($B$81=0,0,(SUMIF($N$6:$N$28,$U13,M$6:M$28)+SUMIF($N$91:$N$118,$U13,M$91:M$118))*$I$83*Poor!$B$81/$B$81)</f>
        <v>0</v>
      </c>
      <c r="U13" s="221">
        <v>7</v>
      </c>
      <c r="V13" s="56"/>
      <c r="W13" s="110"/>
      <c r="X13" s="118"/>
      <c r="Y13" s="183">
        <f t="shared" si="9"/>
        <v>0.1666971128830543</v>
      </c>
      <c r="Z13" s="156">
        <f>Poor!Z13</f>
        <v>1</v>
      </c>
      <c r="AA13" s="121">
        <f>$M13*Z13*4</f>
        <v>0.1666971128830543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4.1674278220763576E-2</v>
      </c>
      <c r="AJ13" s="120">
        <f t="shared" si="14"/>
        <v>8.3348556441527152E-2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Chillies: kg produced</v>
      </c>
      <c r="B14" s="101">
        <f>IF([1]Summ!$J1052="",0,[1]Summ!$J1052)</f>
        <v>-1.0787671232876713E-4</v>
      </c>
      <c r="C14" s="102">
        <f>IF([1]Summ!$K1052="",0,[1]Summ!$K1052)</f>
        <v>1.0787671232876713E-3</v>
      </c>
      <c r="D14" s="24">
        <f t="shared" si="0"/>
        <v>9.7089041095890414E-4</v>
      </c>
      <c r="E14" s="75">
        <f>Middle!E14</f>
        <v>1</v>
      </c>
      <c r="F14" s="22"/>
      <c r="H14" s="24">
        <f t="shared" si="1"/>
        <v>1</v>
      </c>
      <c r="I14" s="22">
        <f t="shared" si="2"/>
        <v>9.7089041095890414E-4</v>
      </c>
      <c r="J14" s="24">
        <f>IF(I$32&lt;=1+I131,I14,B14*H14+J$33*(I14-B14*H14))</f>
        <v>-1.4809140617323333E-4</v>
      </c>
      <c r="K14" s="22">
        <f t="shared" si="4"/>
        <v>-1.0787671232876713E-4</v>
      </c>
      <c r="L14" s="22">
        <f t="shared" si="5"/>
        <v>-1.0787671232876713E-4</v>
      </c>
      <c r="M14" s="223">
        <f t="shared" si="6"/>
        <v>-1.4809140617323333E-4</v>
      </c>
      <c r="N14" s="227">
        <v>1</v>
      </c>
      <c r="O14" s="2"/>
      <c r="P14" s="22"/>
      <c r="Q14" s="126" t="s">
        <v>77</v>
      </c>
      <c r="R14" s="220">
        <f>IF($B$81=0,0,(SUMIF($N$6:$N$28,$U14,K$6:K$28)+SUMIF($N$91:$N$118,$U14,K$91:K$118))*$B$83*$H$84*Poor!$B$81/$B$81)</f>
        <v>174655.97499374344</v>
      </c>
      <c r="S14" s="220">
        <f>IF($B$81=0,0,(SUMIF($N$6:$N$28,$U14,L$6:L$28)+SUMIF($N$91:$N$118,$U14,L$91:L$118))*$I$83*Poor!$B$81/$B$81)</f>
        <v>109032</v>
      </c>
      <c r="T14" s="220">
        <f>IF($B$81=0,0,(SUMIF($N$6:$N$28,$U14,M$6:M$28)+SUMIF($N$91:$N$118,$U14,M$91:M$118))*$I$83*Poor!$B$81/$B$81)</f>
        <v>109032</v>
      </c>
      <c r="U14" s="221">
        <v>8</v>
      </c>
      <c r="V14" s="56"/>
      <c r="W14" s="110"/>
      <c r="X14" s="118"/>
      <c r="Y14" s="183">
        <f>M14*4</f>
        <v>-5.9236562469293331E-4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-5.9236562469293331E-4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-1.4809140617323333E-4</v>
      </c>
      <c r="AJ14" s="120">
        <f t="shared" si="14"/>
        <v>-2.9618281234646666E-4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Sweet potatoes</v>
      </c>
      <c r="B15" s="101">
        <f>IF([1]Summ!$J1053="",0,[1]Summ!$J1053)</f>
        <v>0.10859472291407223</v>
      </c>
      <c r="C15" s="102">
        <f>IF([1]Summ!$K1053="",0,[1]Summ!$K1053)</f>
        <v>2.0419520547945227E-2</v>
      </c>
      <c r="D15" s="24">
        <f t="shared" si="0"/>
        <v>0.12901424346201745</v>
      </c>
      <c r="E15" s="75">
        <f>Middle!E15</f>
        <v>1</v>
      </c>
      <c r="F15" s="22"/>
      <c r="H15" s="24">
        <f t="shared" si="1"/>
        <v>1</v>
      </c>
      <c r="I15" s="22">
        <f t="shared" si="2"/>
        <v>0.12901424346201745</v>
      </c>
      <c r="J15" s="24">
        <f>IF(I$32&lt;=1+I131,I15,B15*H15+J$33*(I15-B15*H15))</f>
        <v>0.10783351620915911</v>
      </c>
      <c r="K15" s="22">
        <f t="shared" si="4"/>
        <v>0.10859472291407223</v>
      </c>
      <c r="L15" s="22">
        <f t="shared" si="5"/>
        <v>0.10859472291407223</v>
      </c>
      <c r="M15" s="224">
        <f t="shared" si="6"/>
        <v>0.10783351620915911</v>
      </c>
      <c r="N15" s="227">
        <v>1</v>
      </c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0.43133406483663644</v>
      </c>
      <c r="Z15" s="156">
        <f>Poor!Z15</f>
        <v>0.25</v>
      </c>
      <c r="AA15" s="121">
        <f t="shared" si="16"/>
        <v>0.10783351620915911</v>
      </c>
      <c r="AB15" s="156">
        <f>Poor!AB15</f>
        <v>0.25</v>
      </c>
      <c r="AC15" s="121">
        <f t="shared" si="7"/>
        <v>0.10783351620915911</v>
      </c>
      <c r="AD15" s="156">
        <f>Poor!AD15</f>
        <v>0.25</v>
      </c>
      <c r="AE15" s="121">
        <f t="shared" si="8"/>
        <v>0.10783351620915911</v>
      </c>
      <c r="AF15" s="122">
        <f t="shared" si="10"/>
        <v>0.25</v>
      </c>
      <c r="AG15" s="121">
        <f t="shared" si="11"/>
        <v>0.10783351620915911</v>
      </c>
      <c r="AH15" s="123">
        <f t="shared" si="12"/>
        <v>1</v>
      </c>
      <c r="AI15" s="183">
        <f t="shared" si="13"/>
        <v>0.10783351620915911</v>
      </c>
      <c r="AJ15" s="120">
        <f t="shared" si="14"/>
        <v>0.10783351620915911</v>
      </c>
      <c r="AK15" s="119">
        <f t="shared" si="15"/>
        <v>0.10783351620915911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Cabbage</v>
      </c>
      <c r="B16" s="101">
        <f>IF([1]Summ!$J1054="",0,[1]Summ!$J1054)</f>
        <v>6.4873132004981317E-3</v>
      </c>
      <c r="C16" s="102">
        <f>IF([1]Summ!$K1054="",0,[1]Summ!$K1054)</f>
        <v>2.162437733499379E-3</v>
      </c>
      <c r="D16" s="24">
        <f t="shared" si="0"/>
        <v>8.6497509339975107E-3</v>
      </c>
      <c r="E16" s="75">
        <f>Middle!E16</f>
        <v>1</v>
      </c>
      <c r="F16" s="22"/>
      <c r="H16" s="24">
        <f t="shared" si="1"/>
        <v>1</v>
      </c>
      <c r="I16" s="22">
        <f t="shared" si="2"/>
        <v>8.6497509339975107E-3</v>
      </c>
      <c r="J16" s="24">
        <f>IF(I$32&lt;=1+I131,I16,B16*H16+J$33*(I16-B16*H16))</f>
        <v>6.4067010187462701E-3</v>
      </c>
      <c r="K16" s="22">
        <f t="shared" si="4"/>
        <v>6.4873132004981317E-3</v>
      </c>
      <c r="L16" s="22">
        <f t="shared" si="5"/>
        <v>6.4873132004981317E-3</v>
      </c>
      <c r="M16" s="222">
        <f t="shared" si="6"/>
        <v>6.4067010187462701E-3</v>
      </c>
      <c r="N16" s="227">
        <v>1</v>
      </c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2.562680407498508E-2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2.562680407498508E-2</v>
      </c>
      <c r="AH16" s="123">
        <f t="shared" si="12"/>
        <v>1</v>
      </c>
      <c r="AI16" s="183">
        <f t="shared" si="13"/>
        <v>6.4067010187462701E-3</v>
      </c>
      <c r="AJ16" s="120">
        <f t="shared" si="14"/>
        <v>0</v>
      </c>
      <c r="AK16" s="119">
        <f t="shared" si="15"/>
        <v>1.281340203749254E-2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0.13207581257783313</v>
      </c>
      <c r="C17" s="102">
        <f>IF([1]Summ!$K1055="",0,[1]Summ!$K1055)</f>
        <v>3.7735946450809438E-2</v>
      </c>
      <c r="D17" s="24">
        <f t="shared" si="0"/>
        <v>0.16981175902864257</v>
      </c>
      <c r="E17" s="75">
        <f>Middle!E17</f>
        <v>1</v>
      </c>
      <c r="F17" s="22"/>
      <c r="H17" s="24">
        <f t="shared" si="1"/>
        <v>1</v>
      </c>
      <c r="I17" s="22">
        <f t="shared" si="2"/>
        <v>0.16981175902864257</v>
      </c>
      <c r="J17" s="24">
        <f t="shared" ref="J17:J25" si="17">IF(I$32&lt;=1+I131,I17,B17*H17+J$33*(I17-B17*H17))</f>
        <v>0.13066907751825366</v>
      </c>
      <c r="K17" s="22">
        <f t="shared" si="4"/>
        <v>0.13207581257783313</v>
      </c>
      <c r="L17" s="22">
        <f t="shared" si="5"/>
        <v>0.13207581257783313</v>
      </c>
      <c r="M17" s="223">
        <f t="shared" si="6"/>
        <v>0.13066907751825366</v>
      </c>
      <c r="N17" s="227">
        <v>1</v>
      </c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267654.61102937302</v>
      </c>
      <c r="S17" s="220">
        <f>IF($B$81=0,0,(SUMIF($N$6:$N$28,$U17,L$6:L$28)+SUMIF($N$91:$N$118,$U17,L$91:L$118))*$I$83*Poor!$B$81/$B$81)</f>
        <v>167088</v>
      </c>
      <c r="T17" s="220">
        <f>IF($B$81=0,0,(SUMIF($N$6:$N$28,$U17,M$6:M$28)+SUMIF($N$91:$N$118,$U17,M$91:M$118))*$I$83*Poor!$B$81/$B$81)</f>
        <v>167088</v>
      </c>
      <c r="U17" s="221">
        <v>11</v>
      </c>
      <c r="V17" s="56"/>
      <c r="W17" s="110"/>
      <c r="X17" s="118"/>
      <c r="Y17" s="183">
        <f t="shared" si="9"/>
        <v>0.52267631007301463</v>
      </c>
      <c r="Z17" s="156">
        <f>Poor!Z17</f>
        <v>0.29409999999999997</v>
      </c>
      <c r="AA17" s="121">
        <f t="shared" si="16"/>
        <v>0.15371910279247358</v>
      </c>
      <c r="AB17" s="156">
        <f>Poor!AB17</f>
        <v>0.17649999999999999</v>
      </c>
      <c r="AC17" s="121">
        <f t="shared" si="7"/>
        <v>9.2252368727887071E-2</v>
      </c>
      <c r="AD17" s="156">
        <f>Poor!AD17</f>
        <v>0.23530000000000001</v>
      </c>
      <c r="AE17" s="121">
        <f t="shared" si="8"/>
        <v>0.12298573576018035</v>
      </c>
      <c r="AF17" s="122">
        <f t="shared" si="10"/>
        <v>0.29410000000000003</v>
      </c>
      <c r="AG17" s="121">
        <f t="shared" si="11"/>
        <v>0.15371910279247361</v>
      </c>
      <c r="AH17" s="123">
        <f t="shared" si="12"/>
        <v>1</v>
      </c>
      <c r="AI17" s="183">
        <f t="shared" si="13"/>
        <v>0.13066907751825366</v>
      </c>
      <c r="AJ17" s="120">
        <f t="shared" si="14"/>
        <v>0.12298573576018032</v>
      </c>
      <c r="AK17" s="119">
        <f t="shared" si="15"/>
        <v>0.13835241927632697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</v>
      </c>
      <c r="B18" s="101">
        <f>IF([1]Summ!$J1056="",0,[1]Summ!$J1056)</f>
        <v>9.1064757160647569E-5</v>
      </c>
      <c r="C18" s="102">
        <f>IF([1]Summ!$K1056="",0,[1]Summ!$K1056)</f>
        <v>2.7319427148194274E-3</v>
      </c>
      <c r="D18" s="24">
        <f t="shared" ref="D18:D25" si="18">(B18+C18)</f>
        <v>2.823007471980075E-3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2.823007471980075E-3</v>
      </c>
      <c r="J18" s="24">
        <f t="shared" si="17"/>
        <v>-1.0777649328585023E-5</v>
      </c>
      <c r="K18" s="22">
        <f t="shared" ref="K18:K25" si="21">B18</f>
        <v>9.1064757160647569E-5</v>
      </c>
      <c r="L18" s="22">
        <f t="shared" ref="L18:L25" si="22">IF(K18="","",K18*H18)</f>
        <v>9.1064757160647569E-5</v>
      </c>
      <c r="M18" s="223">
        <f t="shared" ref="M18:M25" si="23">J18</f>
        <v>-1.0777649328585023E-5</v>
      </c>
      <c r="N18" s="227">
        <v>1</v>
      </c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Potatoes</v>
      </c>
      <c r="B19" s="101">
        <f>IF([1]Summ!$J1057="",0,[1]Summ!$J1057)</f>
        <v>4.6924034869240343E-2</v>
      </c>
      <c r="C19" s="102">
        <f>IF([1]Summ!$K1057="",0,[1]Summ!$K1057)</f>
        <v>1.4174968866749696E-2</v>
      </c>
      <c r="D19" s="24">
        <f t="shared" si="18"/>
        <v>6.1099003735990039E-2</v>
      </c>
      <c r="E19" s="75">
        <f>Middle!E19</f>
        <v>1</v>
      </c>
      <c r="F19" s="22"/>
      <c r="H19" s="24">
        <f t="shared" si="19"/>
        <v>1</v>
      </c>
      <c r="I19" s="22">
        <f t="shared" si="20"/>
        <v>6.1099003735990039E-2</v>
      </c>
      <c r="J19" s="24">
        <f t="shared" si="17"/>
        <v>4.6395614952721279E-2</v>
      </c>
      <c r="K19" s="22">
        <f t="shared" si="21"/>
        <v>4.6924034869240343E-2</v>
      </c>
      <c r="L19" s="22">
        <f t="shared" si="22"/>
        <v>4.6924034869240343E-2</v>
      </c>
      <c r="M19" s="223">
        <f t="shared" si="23"/>
        <v>4.6395614952721279E-2</v>
      </c>
      <c r="N19" s="227">
        <v>1</v>
      </c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 / butternut</v>
      </c>
      <c r="B20" s="101">
        <f>IF([1]Summ!$J1058="",0,[1]Summ!$J1058)</f>
        <v>8.4726650062266502E-4</v>
      </c>
      <c r="C20" s="102">
        <f>IF([1]Summ!$K1058="",0,[1]Summ!$K1058)</f>
        <v>1.69453300124533E-3</v>
      </c>
      <c r="D20" s="24">
        <f t="shared" si="18"/>
        <v>2.541799501867995E-3</v>
      </c>
      <c r="E20" s="75">
        <f>Middle!E20</f>
        <v>1</v>
      </c>
      <c r="F20" s="22"/>
      <c r="H20" s="24">
        <f t="shared" si="19"/>
        <v>1</v>
      </c>
      <c r="I20" s="22">
        <f t="shared" si="20"/>
        <v>2.541799501867995E-3</v>
      </c>
      <c r="J20" s="24">
        <f t="shared" si="17"/>
        <v>7.84097050624277E-4</v>
      </c>
      <c r="K20" s="22">
        <f t="shared" si="21"/>
        <v>8.4726650062266502E-4</v>
      </c>
      <c r="L20" s="22">
        <f t="shared" si="22"/>
        <v>8.4726650062266502E-4</v>
      </c>
      <c r="M20" s="223">
        <f t="shared" si="23"/>
        <v>7.84097050624277E-4</v>
      </c>
      <c r="N20" s="227">
        <v>1</v>
      </c>
      <c r="O20" s="2"/>
      <c r="P20" s="22"/>
      <c r="Q20" s="59" t="s">
        <v>81</v>
      </c>
      <c r="R20" s="220">
        <f>IF($B$81=0,0,(SUMIF($N$6:$N$28,$U20,K$6:K$28)+SUMIF($N$91:$N$118,$U20,K$91:K$118))*$B$83*$H$84*Poor!$B$81/$B$81)</f>
        <v>16104.641850072447</v>
      </c>
      <c r="S20" s="220">
        <f>IF($B$81=0,0,(SUMIF($N$6:$N$28,$U20,L$6:L$28)+SUMIF($N$91:$N$118,$U20,L$91:L$118))*$I$83*Poor!$B$81/$B$81)</f>
        <v>12567</v>
      </c>
      <c r="T20" s="220">
        <f>IF($B$81=0,0,(SUMIF($N$6:$N$28,$U20,M$6:M$28)+SUMIF($N$91:$N$118,$U20,M$91:M$118))*$I$83*Poor!$B$81/$B$81)</f>
        <v>12567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Weeding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>
        <v>7</v>
      </c>
      <c r="O21" s="2"/>
      <c r="P21" s="22"/>
      <c r="Q21" s="59" t="s">
        <v>82</v>
      </c>
      <c r="R21" s="220">
        <f>IF($B$81=0,0,(SUMIF($N$6:$N$28,$U21,K$6:K$28)+SUMIF($N$91:$N$118,$U21,K$91:K$118))*$B$83*$H$84*Poor!$B$81/$B$81)</f>
        <v>2835.3242693789521</v>
      </c>
      <c r="S21" s="220">
        <f>IF($B$81=0,0,(SUMIF($N$6:$N$28,$U21,L$6:L$28)+SUMIF($N$91:$N$118,$U21,L$91:L$118))*$I$83*Poor!$B$81/$B$81)</f>
        <v>2081.2500000000005</v>
      </c>
      <c r="T21" s="220">
        <f>IF($B$81=0,0,(SUMIF($N$6:$N$28,$U21,M$6:M$28)+SUMIF($N$91:$N$118,$U21,M$91:M$118))*$I$83*Poor!$B$81/$B$81)</f>
        <v>2081.2500000000005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Harvesting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>
        <v>7</v>
      </c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586193.49865875475</v>
      </c>
      <c r="S23" s="179">
        <f>SUM(S7:S22)</f>
        <v>390352.2194770663</v>
      </c>
      <c r="T23" s="179">
        <f>SUM(T7:T22)</f>
        <v>391570.61503585312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48896.472302880487</v>
      </c>
      <c r="S24" s="41">
        <f>IF($B$81=0,0,(SUM(($B$70*$H$70))+((1-$D$29)*$I$83))*Poor!$B$81/$B$81)</f>
        <v>48896.472302880487</v>
      </c>
      <c r="T24" s="41">
        <f>IF($B$81=0,0,(SUM(($B$70*$H$70))+((1-$D$29)*$I$83))*Poor!$B$81/$B$81)</f>
        <v>48896.472302880487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71875.005636213813</v>
      </c>
      <c r="S25" s="41">
        <f>IF($B$81=0,0,(SUM(($B$70*$H$70),($B$71*$H$71))+((1-$D$29)*$I$83))*Poor!$B$81/$B$81)</f>
        <v>71875.005636213813</v>
      </c>
      <c r="T25" s="41">
        <f>IF($B$81=0,0,(SUM(($B$70*$H$70),($B$71*$H$71))+((1-$D$29)*$I$83))*Poor!$B$81/$B$81)</f>
        <v>71875.005636213813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112797.40563621381</v>
      </c>
      <c r="S26" s="41">
        <f>IF($B$81=0,0,(SUM(($B$70*$H$70),($B$71*$H$71),($B$72*$H$72))+((1-$D$29)*$I$83))*Poor!$B$81/$B$81)</f>
        <v>112797.40563621381</v>
      </c>
      <c r="T26" s="41">
        <f>IF($B$81=0,0,(SUM(($B$70*$H$70),($B$71*$H$71),($B$72*$H$72))+((1-$D$29)*$I$83))*Poor!$B$81/$B$81)</f>
        <v>112797.40563621381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3.4376603709901178E-2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3.4376603709901178E-2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0.13750641483960471</v>
      </c>
      <c r="Z27" s="156">
        <f>Poor!Z27</f>
        <v>0.25</v>
      </c>
      <c r="AA27" s="121">
        <f t="shared" si="16"/>
        <v>3.4376603709901178E-2</v>
      </c>
      <c r="AB27" s="156">
        <f>Poor!AB27</f>
        <v>0.25</v>
      </c>
      <c r="AC27" s="121">
        <f t="shared" si="7"/>
        <v>3.4376603709901178E-2</v>
      </c>
      <c r="AD27" s="156">
        <f>Poor!AD27</f>
        <v>0.25</v>
      </c>
      <c r="AE27" s="121">
        <f t="shared" si="8"/>
        <v>3.4376603709901178E-2</v>
      </c>
      <c r="AF27" s="122">
        <f t="shared" si="10"/>
        <v>0.25</v>
      </c>
      <c r="AG27" s="121">
        <f t="shared" si="11"/>
        <v>3.4376603709901178E-2</v>
      </c>
      <c r="AH27" s="123">
        <f t="shared" si="12"/>
        <v>1</v>
      </c>
      <c r="AI27" s="183">
        <f t="shared" si="13"/>
        <v>3.4376603709901178E-2</v>
      </c>
      <c r="AJ27" s="120">
        <f t="shared" si="14"/>
        <v>3.4376603709901178E-2</v>
      </c>
      <c r="AK27" s="119">
        <f t="shared" si="15"/>
        <v>3.4376603709901178E-2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7.4200993150684933E-3</v>
      </c>
      <c r="C28" s="102">
        <f>IF([1]Summ!$K1066="",0,[1]Summ!$K1066)</f>
        <v>-7.4200993150684933E-3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7.6967086182345113E-3</v>
      </c>
      <c r="K28" s="22">
        <f t="shared" si="4"/>
        <v>7.4200993150684933E-3</v>
      </c>
      <c r="L28" s="22">
        <f t="shared" si="5"/>
        <v>7.4200993150684933E-3</v>
      </c>
      <c r="M28" s="222">
        <f t="shared" si="6"/>
        <v>7.6967086182345113E-3</v>
      </c>
      <c r="N28" s="227"/>
      <c r="O28" s="2"/>
      <c r="P28" s="22"/>
      <c r="V28" s="56"/>
      <c r="W28" s="110"/>
      <c r="X28" s="118"/>
      <c r="Y28" s="183">
        <f t="shared" si="9"/>
        <v>3.0786834472938045E-2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1.5393417236469023E-2</v>
      </c>
      <c r="AF28" s="122">
        <f t="shared" si="10"/>
        <v>0.5</v>
      </c>
      <c r="AG28" s="121">
        <f t="shared" si="11"/>
        <v>1.5393417236469023E-2</v>
      </c>
      <c r="AH28" s="123">
        <f t="shared" si="12"/>
        <v>1</v>
      </c>
      <c r="AI28" s="183">
        <f t="shared" si="13"/>
        <v>7.6967086182345113E-3</v>
      </c>
      <c r="AJ28" s="120">
        <f t="shared" si="14"/>
        <v>0</v>
      </c>
      <c r="AK28" s="119">
        <f t="shared" si="15"/>
        <v>1.5393417236469023E-2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0.23406291061643833</v>
      </c>
      <c r="C29" s="102">
        <f>IF([1]Summ!$K1067="",0,[1]Summ!$K1067)</f>
        <v>-9.4261366744412683E-3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0.23441430174832922</v>
      </c>
      <c r="K29" s="22">
        <f t="shared" si="4"/>
        <v>0.23406291061643833</v>
      </c>
      <c r="L29" s="22">
        <f t="shared" si="5"/>
        <v>0.23406291061643833</v>
      </c>
      <c r="M29" s="175">
        <f t="shared" si="6"/>
        <v>0.23441430174832922</v>
      </c>
      <c r="N29" s="227"/>
      <c r="P29" s="22"/>
      <c r="V29" s="56"/>
      <c r="W29" s="110"/>
      <c r="X29" s="118"/>
      <c r="Y29" s="183">
        <f t="shared" si="9"/>
        <v>0.93765720699331689</v>
      </c>
      <c r="Z29" s="156">
        <f>Poor!Z29</f>
        <v>0.25</v>
      </c>
      <c r="AA29" s="121">
        <f t="shared" si="16"/>
        <v>0.23441430174832922</v>
      </c>
      <c r="AB29" s="156">
        <f>Poor!AB29</f>
        <v>0.25</v>
      </c>
      <c r="AC29" s="121">
        <f t="shared" si="7"/>
        <v>0.23441430174832922</v>
      </c>
      <c r="AD29" s="156">
        <f>Poor!AD29</f>
        <v>0.25</v>
      </c>
      <c r="AE29" s="121">
        <f t="shared" si="8"/>
        <v>0.23441430174832922</v>
      </c>
      <c r="AF29" s="122">
        <f t="shared" si="10"/>
        <v>0.25</v>
      </c>
      <c r="AG29" s="121">
        <f t="shared" si="11"/>
        <v>0.23441430174832922</v>
      </c>
      <c r="AH29" s="123">
        <f t="shared" si="12"/>
        <v>1</v>
      </c>
      <c r="AI29" s="183">
        <f t="shared" si="13"/>
        <v>0.23441430174832922</v>
      </c>
      <c r="AJ29" s="120">
        <f t="shared" si="14"/>
        <v>0.23441430174832922</v>
      </c>
      <c r="AK29" s="119">
        <f t="shared" si="15"/>
        <v>0.23441430174832922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0.610559792652553</v>
      </c>
      <c r="C30" s="65"/>
      <c r="D30" s="24">
        <f>(D119-B124)</f>
        <v>17.990622332928581</v>
      </c>
      <c r="E30" s="75">
        <f>Middle!E30</f>
        <v>1</v>
      </c>
      <c r="H30" s="96">
        <f>(E30*F$7/F$9)</f>
        <v>1</v>
      </c>
      <c r="I30" s="29">
        <f>IF(E30&gt;=1,I119-I124,MIN(I119-I124,B30*H30))</f>
        <v>10.004361582957729</v>
      </c>
      <c r="J30" s="229">
        <f>IF(I$32&lt;=1,I30,1-SUM(J6:J29))</f>
        <v>7.587595837897998E-2</v>
      </c>
      <c r="K30" s="22">
        <f t="shared" si="4"/>
        <v>0.610559792652553</v>
      </c>
      <c r="L30" s="22">
        <f>IF(L124=L119,0,IF(K30="",0,(L119-L124)/(B119-B124)*K30))</f>
        <v>0.35800615594753965</v>
      </c>
      <c r="M30" s="175">
        <f t="shared" si="6"/>
        <v>7.587595837897998E-2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0.30350383351591992</v>
      </c>
      <c r="Z30" s="122">
        <f>IF($Y30=0,0,AA30/($Y$30))</f>
        <v>2.0691294629520368E-3</v>
      </c>
      <c r="AA30" s="187">
        <f>IF(AA79*4/$I$83+SUM(AA6:AA29)&lt;1,AA79*4/$I$83,1-SUM(AA6:AA29))</f>
        <v>6.2798872404667971E-4</v>
      </c>
      <c r="AB30" s="122">
        <f>IF($Y30=0,0,AC30/($Y$30))</f>
        <v>-7.3160395489167428E-16</v>
      </c>
      <c r="AC30" s="187">
        <f>IF(AC79*4/$I$83+SUM(AC6:AC29)&lt;1,AC79*4/$I$83,1-SUM(AC6:AC29))</f>
        <v>-2.2204460492503131E-16</v>
      </c>
      <c r="AD30" s="122">
        <f>IF($Y30=0,0,AE30/($Y$30))</f>
        <v>0.8550580356122659</v>
      </c>
      <c r="AE30" s="187">
        <f>IF(AE79*4/$I$83+SUM(AE6:AE29)&lt;1,AE79*4/$I$83,1-SUM(AE6:AE29))</f>
        <v>0.25951339168691467</v>
      </c>
      <c r="AF30" s="122">
        <f>IF($Y30=0,0,AG30/($Y$30))</f>
        <v>0.76453133337063794</v>
      </c>
      <c r="AG30" s="187">
        <f>IF(AG79*4/$I$83+SUM(AG6:AG29)&lt;1,AG79*4/$I$83,1-SUM(AG6:AG29))</f>
        <v>0.23203819052102637</v>
      </c>
      <c r="AH30" s="123">
        <f t="shared" si="12"/>
        <v>1.6216584984458553</v>
      </c>
      <c r="AI30" s="183">
        <f t="shared" si="13"/>
        <v>0.12304489273299687</v>
      </c>
      <c r="AJ30" s="120">
        <f t="shared" si="14"/>
        <v>3.1399436202322883E-4</v>
      </c>
      <c r="AK30" s="119">
        <f t="shared" si="15"/>
        <v>0.24577579110397052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-0.28472933903180686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1.5777774847654629</v>
      </c>
      <c r="C32" s="29">
        <f>SUM(C6:C31)</f>
        <v>4.875752646379037E-2</v>
      </c>
      <c r="D32" s="24">
        <f>SUM(D6:D30)</f>
        <v>19.00659755150528</v>
      </c>
      <c r="E32" s="2"/>
      <c r="F32" s="2"/>
      <c r="H32" s="17"/>
      <c r="I32" s="22">
        <f>SUM(I6:I30)</f>
        <v>11.000807250320232</v>
      </c>
      <c r="J32" s="17"/>
      <c r="L32" s="22">
        <f>SUM(L6:L30)</f>
        <v>1.2847293390318069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3.8113242625839319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-3.7278382865346446E-2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5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f>IF([1]Summ!$J1072="",0,[1]Summ!$J1072)</f>
        <v>10000</v>
      </c>
      <c r="C37" s="104">
        <f>IF([1]Summ!$K1072="",0,[1]Summ!$K1072)</f>
        <v>3000</v>
      </c>
      <c r="D37" s="38">
        <f t="shared" ref="D37:D64" si="25">B37+C37</f>
        <v>13000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7670</v>
      </c>
      <c r="J37" s="38">
        <f>J91*I$83</f>
        <v>5834.017262328337</v>
      </c>
      <c r="K37" s="40">
        <f t="shared" ref="K37:K52" si="28">(B37/B$65)</f>
        <v>3.3360911686994579E-2</v>
      </c>
      <c r="L37" s="22">
        <f t="shared" ref="L37:L52" si="29">(K37*H37)</f>
        <v>1.96829378953268E-2</v>
      </c>
      <c r="M37" s="24">
        <f t="shared" ref="M37:M52" si="30">J37/B$65</f>
        <v>1.9462813466893755E-2</v>
      </c>
      <c r="N37" s="2"/>
      <c r="O37" s="2"/>
      <c r="P37" s="2"/>
      <c r="Q37" s="59"/>
      <c r="R37" s="250"/>
      <c r="S37" s="250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5834.017262328337</v>
      </c>
      <c r="AH37" s="123">
        <f>SUM(Z37,AB37,AD37,AF37)</f>
        <v>1</v>
      </c>
      <c r="AI37" s="112">
        <f>SUM(AA37,AC37,AE37,AG37)</f>
        <v>5834.017262328337</v>
      </c>
      <c r="AJ37" s="148">
        <f>(AA37+AC37)</f>
        <v>0</v>
      </c>
      <c r="AK37" s="147">
        <f>(AE37+AG37)</f>
        <v>5834.017262328337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 (hides): quantity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0</v>
      </c>
      <c r="J38" s="38">
        <f t="shared" ref="J38:J64" si="33">J92*I$83</f>
        <v>0</v>
      </c>
      <c r="K38" s="40">
        <f t="shared" si="28"/>
        <v>0</v>
      </c>
      <c r="L38" s="22">
        <f t="shared" si="29"/>
        <v>0</v>
      </c>
      <c r="M38" s="24">
        <f t="shared" si="30"/>
        <v>0</v>
      </c>
      <c r="N38" s="2"/>
      <c r="O38" s="2"/>
      <c r="P38" s="2"/>
      <c r="Q38" s="59"/>
      <c r="R38" s="250"/>
      <c r="S38" s="250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>
        <f t="shared" si="35"/>
        <v>0</v>
      </c>
      <c r="AJ38" s="148">
        <f t="shared" ref="AJ38:AJ64" si="36">(AA38+AC38)</f>
        <v>0</v>
      </c>
      <c r="AK38" s="147">
        <f t="shared" ref="AK38:AK64" si="37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14000</v>
      </c>
      <c r="C39" s="104">
        <f>IF([1]Summ!$K1074="",0,[1]Summ!$K1074)</f>
        <v>3500</v>
      </c>
      <c r="D39" s="38">
        <f t="shared" si="25"/>
        <v>17500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16520</v>
      </c>
      <c r="J39" s="38">
        <f t="shared" si="33"/>
        <v>13092.832223012896</v>
      </c>
      <c r="K39" s="40">
        <f t="shared" si="28"/>
        <v>4.6705276361792412E-2</v>
      </c>
      <c r="L39" s="22">
        <f t="shared" si="29"/>
        <v>4.4089780885532032E-2</v>
      </c>
      <c r="M39" s="24">
        <f t="shared" si="30"/>
        <v>4.3678881952457019E-2</v>
      </c>
      <c r="N39" s="2"/>
      <c r="O39" s="2"/>
      <c r="P39" s="2"/>
      <c r="Q39" s="59"/>
      <c r="R39" s="250"/>
      <c r="S39" s="250"/>
      <c r="T39" s="29"/>
      <c r="U39" s="56"/>
      <c r="V39" s="56"/>
      <c r="W39" s="115"/>
      <c r="X39" s="118">
        <f>X8</f>
        <v>1</v>
      </c>
      <c r="Y39" s="110"/>
      <c r="Z39" s="122">
        <f>Z8</f>
        <v>0.28803345074941289</v>
      </c>
      <c r="AA39" s="147">
        <f>$J39*Z39</f>
        <v>3771.1736452775112</v>
      </c>
      <c r="AB39" s="122">
        <f>AB8</f>
        <v>0.51373911280227613</v>
      </c>
      <c r="AC39" s="147">
        <f>$J39*AB39</f>
        <v>6726.3000103196982</v>
      </c>
      <c r="AD39" s="122">
        <f>AD8</f>
        <v>0.19822743644831109</v>
      </c>
      <c r="AE39" s="147">
        <f>$J39*AD39</f>
        <v>2595.3585674156884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13092.832223012898</v>
      </c>
      <c r="AJ39" s="148">
        <f t="shared" si="36"/>
        <v>10497.473655597209</v>
      </c>
      <c r="AK39" s="147">
        <f t="shared" si="37"/>
        <v>2595.3585674156884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Goat sales - local: no. sold</v>
      </c>
      <c r="B40" s="104">
        <f>IF([1]Summ!$J1075="",0,[1]Summ!$J1075)</f>
        <v>2945</v>
      </c>
      <c r="C40" s="104">
        <f>IF([1]Summ!$K1075="",0,[1]Summ!$K1075)</f>
        <v>1178</v>
      </c>
      <c r="D40" s="38">
        <f t="shared" si="25"/>
        <v>4123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3892.1119999999996</v>
      </c>
      <c r="J40" s="38">
        <f t="shared" si="33"/>
        <v>2738.6252453454831</v>
      </c>
      <c r="K40" s="40">
        <f t="shared" si="28"/>
        <v>9.8247884918199052E-3</v>
      </c>
      <c r="L40" s="22">
        <f t="shared" si="29"/>
        <v>9.2746003362779907E-3</v>
      </c>
      <c r="M40" s="24">
        <f t="shared" si="30"/>
        <v>9.1363034953744534E-3</v>
      </c>
      <c r="N40" s="2"/>
      <c r="O40" s="2"/>
      <c r="P40" s="2"/>
      <c r="Q40" s="59"/>
      <c r="R40" s="250"/>
      <c r="S40" s="250"/>
      <c r="T40" s="29"/>
      <c r="U40" s="56"/>
      <c r="V40" s="56"/>
      <c r="W40" s="115"/>
      <c r="X40" s="118">
        <f>X9</f>
        <v>1</v>
      </c>
      <c r="Y40" s="110"/>
      <c r="Z40" s="122">
        <f>Z9</f>
        <v>0.28803345074941283</v>
      </c>
      <c r="AA40" s="147">
        <f>$J40*Z40</f>
        <v>788.81567972631683</v>
      </c>
      <c r="AB40" s="122">
        <f>AB9</f>
        <v>0.51373911280227613</v>
      </c>
      <c r="AC40" s="147">
        <f>$J40*AB40</f>
        <v>1406.9389038417044</v>
      </c>
      <c r="AD40" s="122">
        <f>AD9</f>
        <v>0.19822743644831103</v>
      </c>
      <c r="AE40" s="147">
        <f>$J40*AD40</f>
        <v>542.87066177746192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2738.6252453454831</v>
      </c>
      <c r="AJ40" s="148">
        <f t="shared" si="36"/>
        <v>2195.7545835680212</v>
      </c>
      <c r="AK40" s="147">
        <f t="shared" si="37"/>
        <v>542.87066177746192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Sheep sales - local: no. sold</v>
      </c>
      <c r="B41" s="104">
        <f>IF([1]Summ!$J1076="",0,[1]Summ!$J1076)</f>
        <v>650</v>
      </c>
      <c r="C41" s="104">
        <f>IF([1]Summ!$K1076="",0,[1]Summ!$K1076)</f>
        <v>0</v>
      </c>
      <c r="D41" s="38">
        <f t="shared" si="25"/>
        <v>650</v>
      </c>
      <c r="E41" s="75">
        <f>Middle!E41</f>
        <v>0.8</v>
      </c>
      <c r="F41" s="75">
        <f>Middle!F41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613.6</v>
      </c>
      <c r="J41" s="38">
        <f t="shared" si="33"/>
        <v>613.6</v>
      </c>
      <c r="K41" s="40">
        <f t="shared" si="28"/>
        <v>2.1684592596546478E-3</v>
      </c>
      <c r="L41" s="22">
        <f t="shared" si="29"/>
        <v>2.0470255411139874E-3</v>
      </c>
      <c r="M41" s="24">
        <f t="shared" si="30"/>
        <v>2.0470255411139874E-3</v>
      </c>
      <c r="N41" s="2"/>
      <c r="O41" s="2"/>
      <c r="P41" s="2"/>
      <c r="Q41" s="59"/>
      <c r="R41" s="250"/>
      <c r="S41" s="250"/>
      <c r="T41" s="251"/>
      <c r="U41" s="56"/>
      <c r="V41" s="56"/>
      <c r="W41" s="115"/>
      <c r="X41" s="118">
        <f>X11</f>
        <v>1</v>
      </c>
      <c r="Y41" s="110"/>
      <c r="Z41" s="122">
        <f>Z11</f>
        <v>0.28803345074941289</v>
      </c>
      <c r="AA41" s="147">
        <f>$J41*Z41</f>
        <v>176.73732537983975</v>
      </c>
      <c r="AB41" s="122">
        <f>AB11</f>
        <v>0.51373911280227613</v>
      </c>
      <c r="AC41" s="147">
        <f>$J41*AB41</f>
        <v>315.23031961547667</v>
      </c>
      <c r="AD41" s="122">
        <f>AD11</f>
        <v>0.19822743644831098</v>
      </c>
      <c r="AE41" s="147">
        <f>$J41*AD41</f>
        <v>121.63235500468362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613.6</v>
      </c>
      <c r="AJ41" s="148">
        <f t="shared" si="36"/>
        <v>491.96764499531639</v>
      </c>
      <c r="AK41" s="147">
        <f t="shared" si="37"/>
        <v>121.63235500468362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Chicken sales: no. sold</v>
      </c>
      <c r="B42" s="104">
        <f>IF([1]Summ!$J1077="",0,[1]Summ!$J1077)</f>
        <v>1050</v>
      </c>
      <c r="C42" s="104">
        <f>IF([1]Summ!$K1077="",0,[1]Summ!$K1077)</f>
        <v>0</v>
      </c>
      <c r="D42" s="38">
        <f t="shared" si="25"/>
        <v>1050</v>
      </c>
      <c r="E42" s="75">
        <f>Middle!E42</f>
        <v>1</v>
      </c>
      <c r="F42" s="75">
        <f>Middle!F42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1239</v>
      </c>
      <c r="J42" s="38">
        <f t="shared" si="33"/>
        <v>1239.0000000000002</v>
      </c>
      <c r="K42" s="40">
        <f t="shared" si="28"/>
        <v>3.502895727134431E-3</v>
      </c>
      <c r="L42" s="22">
        <f t="shared" si="29"/>
        <v>4.133416958018628E-3</v>
      </c>
      <c r="M42" s="24">
        <f t="shared" si="30"/>
        <v>4.1334169580186297E-3</v>
      </c>
      <c r="N42" s="2"/>
      <c r="O42" s="2"/>
      <c r="P42" s="2"/>
      <c r="Q42" s="41"/>
      <c r="R42" s="41"/>
      <c r="S42" s="252"/>
      <c r="T42" s="252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309.75000000000006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619.50000000000011</v>
      </c>
      <c r="AF42" s="122">
        <f t="shared" si="31"/>
        <v>0.25</v>
      </c>
      <c r="AG42" s="147">
        <f t="shared" si="34"/>
        <v>309.75000000000006</v>
      </c>
      <c r="AH42" s="123">
        <f t="shared" si="35"/>
        <v>1</v>
      </c>
      <c r="AI42" s="112">
        <f t="shared" si="35"/>
        <v>1239.0000000000002</v>
      </c>
      <c r="AJ42" s="148">
        <f t="shared" si="36"/>
        <v>309.75000000000006</v>
      </c>
      <c r="AK42" s="147">
        <f t="shared" si="37"/>
        <v>929.25000000000023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Maize: kg produced</v>
      </c>
      <c r="B43" s="104">
        <f>IF([1]Summ!$J1078="",0,[1]Summ!$J1078)</f>
        <v>15000</v>
      </c>
      <c r="C43" s="104">
        <f>IF([1]Summ!$K1078="",0,[1]Summ!$K1078)</f>
        <v>-15000</v>
      </c>
      <c r="D43" s="38">
        <f t="shared" si="25"/>
        <v>0</v>
      </c>
      <c r="E43" s="75">
        <f>Middle!E43</f>
        <v>1.0900000000000001</v>
      </c>
      <c r="F43" s="75">
        <f>Middle!F43</f>
        <v>1.4</v>
      </c>
      <c r="G43" s="22">
        <f t="shared" si="32"/>
        <v>1.65</v>
      </c>
      <c r="H43" s="24">
        <f t="shared" si="26"/>
        <v>1.526</v>
      </c>
      <c r="I43" s="39">
        <f t="shared" si="27"/>
        <v>0</v>
      </c>
      <c r="J43" s="38">
        <f t="shared" si="33"/>
        <v>23743.302183787782</v>
      </c>
      <c r="K43" s="40">
        <f t="shared" si="28"/>
        <v>5.0041367530491876E-2</v>
      </c>
      <c r="L43" s="22">
        <f t="shared" si="29"/>
        <v>7.6363126851530599E-2</v>
      </c>
      <c r="M43" s="24">
        <f t="shared" si="30"/>
        <v>7.9209820731096975E-2</v>
      </c>
      <c r="N43" s="2"/>
      <c r="O43" s="2"/>
      <c r="P43" s="2"/>
      <c r="Q43" s="41"/>
      <c r="R43" s="41"/>
      <c r="S43" s="219"/>
      <c r="T43" s="219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5935.8255459469456</v>
      </c>
      <c r="AB43" s="156">
        <f>Poor!AB43</f>
        <v>0.25</v>
      </c>
      <c r="AC43" s="147">
        <f t="shared" si="39"/>
        <v>5935.8255459469456</v>
      </c>
      <c r="AD43" s="156">
        <f>Poor!AD43</f>
        <v>0.25</v>
      </c>
      <c r="AE43" s="147">
        <f t="shared" si="40"/>
        <v>5935.8255459469456</v>
      </c>
      <c r="AF43" s="122">
        <f t="shared" si="31"/>
        <v>0.25</v>
      </c>
      <c r="AG43" s="147">
        <f t="shared" si="34"/>
        <v>5935.8255459469456</v>
      </c>
      <c r="AH43" s="123">
        <f t="shared" si="35"/>
        <v>1</v>
      </c>
      <c r="AI43" s="112">
        <f t="shared" si="35"/>
        <v>23743.302183787782</v>
      </c>
      <c r="AJ43" s="148">
        <f t="shared" si="36"/>
        <v>11871.651091893891</v>
      </c>
      <c r="AK43" s="147">
        <f t="shared" si="37"/>
        <v>11871.651091893891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Tomato</v>
      </c>
      <c r="B44" s="104">
        <f>IF([1]Summ!$J1079="",0,[1]Summ!$J1079)</f>
        <v>600</v>
      </c>
      <c r="C44" s="104">
        <f>IF([1]Summ!$K1079="",0,[1]Summ!$K1079)</f>
        <v>-600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871.31384160689095</v>
      </c>
      <c r="K44" s="40">
        <f t="shared" si="28"/>
        <v>2.0016547012196751E-3</v>
      </c>
      <c r="L44" s="22">
        <f t="shared" si="29"/>
        <v>2.802316581707545E-3</v>
      </c>
      <c r="M44" s="24">
        <f t="shared" si="30"/>
        <v>2.9067824121503474E-3</v>
      </c>
      <c r="N44" s="2"/>
      <c r="O44" s="2"/>
      <c r="P44" s="2"/>
      <c r="Q44" s="253"/>
      <c r="R44" s="41"/>
      <c r="S44" s="41"/>
      <c r="T44" s="251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217.82846040172274</v>
      </c>
      <c r="AB44" s="156">
        <f>Poor!AB44</f>
        <v>0.25</v>
      </c>
      <c r="AC44" s="147">
        <f t="shared" si="39"/>
        <v>217.82846040172274</v>
      </c>
      <c r="AD44" s="156">
        <f>Poor!AD44</f>
        <v>0.25</v>
      </c>
      <c r="AE44" s="147">
        <f t="shared" si="40"/>
        <v>217.82846040172274</v>
      </c>
      <c r="AF44" s="122">
        <f t="shared" si="31"/>
        <v>0.25</v>
      </c>
      <c r="AG44" s="147">
        <f t="shared" si="34"/>
        <v>217.82846040172274</v>
      </c>
      <c r="AH44" s="123">
        <f t="shared" si="35"/>
        <v>1</v>
      </c>
      <c r="AI44" s="112">
        <f t="shared" si="35"/>
        <v>871.31384160689095</v>
      </c>
      <c r="AJ44" s="148">
        <f t="shared" si="36"/>
        <v>435.65692080344547</v>
      </c>
      <c r="AK44" s="147">
        <f t="shared" si="37"/>
        <v>435.65692080344547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Onions</v>
      </c>
      <c r="B45" s="104">
        <f>IF([1]Summ!$J1080="",0,[1]Summ!$J1080)</f>
        <v>580</v>
      </c>
      <c r="C45" s="104">
        <f>IF([1]Summ!$K1080="",0,[1]Summ!$K1080)</f>
        <v>725</v>
      </c>
      <c r="D45" s="38">
        <f t="shared" si="25"/>
        <v>1305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1826.9999999999998</v>
      </c>
      <c r="J45" s="38">
        <f t="shared" si="33"/>
        <v>774.16244139167327</v>
      </c>
      <c r="K45" s="40">
        <f t="shared" si="28"/>
        <v>1.9349328778456858E-3</v>
      </c>
      <c r="L45" s="22">
        <f t="shared" si="29"/>
        <v>2.7089060289839598E-3</v>
      </c>
      <c r="M45" s="24">
        <f t="shared" si="30"/>
        <v>2.5826764838655729E-3</v>
      </c>
      <c r="N45" s="2"/>
      <c r="O45" s="2"/>
      <c r="P45" s="2"/>
      <c r="Q45" s="253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193.54061034791832</v>
      </c>
      <c r="AB45" s="156">
        <f>Poor!AB45</f>
        <v>0.25</v>
      </c>
      <c r="AC45" s="147">
        <f t="shared" si="39"/>
        <v>193.54061034791832</v>
      </c>
      <c r="AD45" s="156">
        <f>Poor!AD45</f>
        <v>0.25</v>
      </c>
      <c r="AE45" s="147">
        <f t="shared" si="40"/>
        <v>193.54061034791832</v>
      </c>
      <c r="AF45" s="122">
        <f t="shared" si="31"/>
        <v>0.25</v>
      </c>
      <c r="AG45" s="147">
        <f t="shared" si="34"/>
        <v>193.54061034791832</v>
      </c>
      <c r="AH45" s="123">
        <f t="shared" si="35"/>
        <v>1</v>
      </c>
      <c r="AI45" s="112">
        <f t="shared" si="35"/>
        <v>774.16244139167327</v>
      </c>
      <c r="AJ45" s="148">
        <f t="shared" si="36"/>
        <v>387.08122069583663</v>
      </c>
      <c r="AK45" s="147">
        <f t="shared" si="37"/>
        <v>387.08122069583663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Beetroot</v>
      </c>
      <c r="B46" s="104">
        <f>IF([1]Summ!$J1081="",0,[1]Summ!$J1081)</f>
        <v>600</v>
      </c>
      <c r="C46" s="104">
        <f>IF([1]Summ!$K1081="",0,[1]Summ!$K1081)</f>
        <v>200</v>
      </c>
      <c r="D46" s="38">
        <f t="shared" si="25"/>
        <v>800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1120</v>
      </c>
      <c r="J46" s="38">
        <f t="shared" si="33"/>
        <v>829.56205279770313</v>
      </c>
      <c r="K46" s="40">
        <f t="shared" si="28"/>
        <v>2.0016547012196751E-3</v>
      </c>
      <c r="L46" s="22">
        <f t="shared" si="29"/>
        <v>2.802316581707545E-3</v>
      </c>
      <c r="M46" s="24">
        <f t="shared" si="30"/>
        <v>2.767494638226611E-3</v>
      </c>
      <c r="N46" s="2"/>
      <c r="O46" s="2"/>
      <c r="P46" s="2"/>
      <c r="Q46" s="253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207.39051319942578</v>
      </c>
      <c r="AB46" s="156">
        <f>Poor!AB46</f>
        <v>0.25</v>
      </c>
      <c r="AC46" s="147">
        <f t="shared" si="39"/>
        <v>207.39051319942578</v>
      </c>
      <c r="AD46" s="156">
        <f>Poor!AD46</f>
        <v>0.25</v>
      </c>
      <c r="AE46" s="147">
        <f t="shared" si="40"/>
        <v>207.39051319942578</v>
      </c>
      <c r="AF46" s="122">
        <f t="shared" si="31"/>
        <v>0.25</v>
      </c>
      <c r="AG46" s="147">
        <f t="shared" si="34"/>
        <v>207.39051319942578</v>
      </c>
      <c r="AH46" s="123">
        <f t="shared" si="35"/>
        <v>1</v>
      </c>
      <c r="AI46" s="112">
        <f t="shared" si="35"/>
        <v>829.56205279770313</v>
      </c>
      <c r="AJ46" s="148">
        <f t="shared" si="36"/>
        <v>414.78102639885157</v>
      </c>
      <c r="AK46" s="147">
        <f t="shared" si="37"/>
        <v>414.78102639885157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Beans: kg produced</v>
      </c>
      <c r="B47" s="104">
        <f>IF([1]Summ!$J1082="",0,[1]Summ!$J1082)</f>
        <v>900</v>
      </c>
      <c r="C47" s="104">
        <f>IF([1]Summ!$K1082="",0,[1]Summ!$K1082)</f>
        <v>225</v>
      </c>
      <c r="D47" s="38">
        <f t="shared" si="25"/>
        <v>1125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1575</v>
      </c>
      <c r="J47" s="38">
        <f t="shared" si="33"/>
        <v>1248.2573093974158</v>
      </c>
      <c r="K47" s="40">
        <f t="shared" si="28"/>
        <v>3.0024820518295124E-3</v>
      </c>
      <c r="L47" s="22">
        <f t="shared" si="29"/>
        <v>4.203474872561317E-3</v>
      </c>
      <c r="M47" s="24">
        <f t="shared" si="30"/>
        <v>4.164300186145266E-3</v>
      </c>
      <c r="N47" s="2"/>
      <c r="O47" s="2"/>
      <c r="P47" s="2"/>
      <c r="R47" s="241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312.06432734935396</v>
      </c>
      <c r="AB47" s="156">
        <f>Poor!AB47</f>
        <v>0.25</v>
      </c>
      <c r="AC47" s="147">
        <f t="shared" si="39"/>
        <v>312.06432734935396</v>
      </c>
      <c r="AD47" s="156">
        <f>Poor!AD47</f>
        <v>0.25</v>
      </c>
      <c r="AE47" s="147">
        <f t="shared" si="40"/>
        <v>312.06432734935396</v>
      </c>
      <c r="AF47" s="122">
        <f t="shared" si="31"/>
        <v>0.25</v>
      </c>
      <c r="AG47" s="147">
        <f t="shared" si="34"/>
        <v>312.06432734935396</v>
      </c>
      <c r="AH47" s="123">
        <f t="shared" si="35"/>
        <v>1</v>
      </c>
      <c r="AI47" s="112">
        <f t="shared" si="35"/>
        <v>1248.2573093974158</v>
      </c>
      <c r="AJ47" s="148">
        <f t="shared" si="36"/>
        <v>624.12865469870792</v>
      </c>
      <c r="AK47" s="147">
        <f t="shared" si="37"/>
        <v>624.12865469870792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Chillies: kg produced</v>
      </c>
      <c r="B48" s="104">
        <f>IF([1]Summ!$J1083="",0,[1]Summ!$J1083)</f>
        <v>200</v>
      </c>
      <c r="C48" s="104">
        <f>IF([1]Summ!$K1083="",0,[1]Summ!$K1083)</f>
        <v>-200</v>
      </c>
      <c r="D48" s="38">
        <f t="shared" si="25"/>
        <v>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0</v>
      </c>
      <c r="J48" s="38">
        <f t="shared" si="33"/>
        <v>290.43794720229698</v>
      </c>
      <c r="K48" s="40">
        <f t="shared" si="28"/>
        <v>6.6721823373989161E-4</v>
      </c>
      <c r="L48" s="22">
        <f t="shared" si="29"/>
        <v>9.3410552723584815E-4</v>
      </c>
      <c r="M48" s="24">
        <f t="shared" si="30"/>
        <v>9.6892747071678246E-4</v>
      </c>
      <c r="N48" s="2"/>
      <c r="O48" s="2"/>
      <c r="P48" s="2"/>
      <c r="Q48" s="253"/>
      <c r="R48" s="250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72.609486800574246</v>
      </c>
      <c r="AB48" s="156">
        <f>Poor!AB48</f>
        <v>0.25</v>
      </c>
      <c r="AC48" s="147">
        <f t="shared" si="39"/>
        <v>72.609486800574246</v>
      </c>
      <c r="AD48" s="156">
        <f>Poor!AD48</f>
        <v>0.25</v>
      </c>
      <c r="AE48" s="147">
        <f t="shared" si="40"/>
        <v>72.609486800574246</v>
      </c>
      <c r="AF48" s="122">
        <f t="shared" si="31"/>
        <v>0.25</v>
      </c>
      <c r="AG48" s="147">
        <f t="shared" si="34"/>
        <v>72.609486800574246</v>
      </c>
      <c r="AH48" s="123">
        <f t="shared" si="35"/>
        <v>1</v>
      </c>
      <c r="AI48" s="112">
        <f t="shared" si="35"/>
        <v>290.43794720229698</v>
      </c>
      <c r="AJ48" s="148">
        <f t="shared" si="36"/>
        <v>145.21897360114849</v>
      </c>
      <c r="AK48" s="147">
        <f t="shared" si="37"/>
        <v>145.21897360114849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</v>
      </c>
      <c r="B49" s="104">
        <f>IF([1]Summ!$J1084="",0,[1]Summ!$J1084)</f>
        <v>495</v>
      </c>
      <c r="C49" s="104">
        <f>IF([1]Summ!$K1084="",0,[1]Summ!$K1084)</f>
        <v>-495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0</v>
      </c>
      <c r="J49" s="38">
        <f t="shared" si="33"/>
        <v>718.8339193256852</v>
      </c>
      <c r="K49" s="40">
        <f t="shared" si="28"/>
        <v>1.6513651285062318E-3</v>
      </c>
      <c r="L49" s="22">
        <f t="shared" si="29"/>
        <v>2.3119111799087245E-3</v>
      </c>
      <c r="M49" s="24">
        <f t="shared" si="30"/>
        <v>2.3980954900240372E-3</v>
      </c>
      <c r="N49" s="2"/>
      <c r="O49" s="2"/>
      <c r="P49" s="2"/>
      <c r="Q49" s="253"/>
      <c r="R49" s="250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179.7084798314213</v>
      </c>
      <c r="AB49" s="156">
        <f>Poor!AB49</f>
        <v>0.25</v>
      </c>
      <c r="AC49" s="147">
        <f t="shared" si="39"/>
        <v>179.7084798314213</v>
      </c>
      <c r="AD49" s="156">
        <f>Poor!AD49</f>
        <v>0.25</v>
      </c>
      <c r="AE49" s="147">
        <f t="shared" si="40"/>
        <v>179.7084798314213</v>
      </c>
      <c r="AF49" s="122">
        <f t="shared" si="31"/>
        <v>0.25</v>
      </c>
      <c r="AG49" s="147">
        <f t="shared" si="34"/>
        <v>179.7084798314213</v>
      </c>
      <c r="AH49" s="123">
        <f t="shared" si="35"/>
        <v>1</v>
      </c>
      <c r="AI49" s="112">
        <f t="shared" si="35"/>
        <v>718.8339193256852</v>
      </c>
      <c r="AJ49" s="148">
        <f t="shared" si="36"/>
        <v>359.4169596628426</v>
      </c>
      <c r="AK49" s="147">
        <f t="shared" si="37"/>
        <v>359.4169596628426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Cabbage</v>
      </c>
      <c r="B50" s="104">
        <f>IF([1]Summ!$J1085="",0,[1]Summ!$J1085)</f>
        <v>252</v>
      </c>
      <c r="C50" s="104">
        <f>IF([1]Summ!$K1085="",0,[1]Summ!$K1085)</f>
        <v>-252</v>
      </c>
      <c r="D50" s="38">
        <f t="shared" si="25"/>
        <v>0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0</v>
      </c>
      <c r="J50" s="38">
        <f t="shared" si="33"/>
        <v>365.95181347489427</v>
      </c>
      <c r="K50" s="40">
        <f t="shared" si="28"/>
        <v>8.4069497451226343E-4</v>
      </c>
      <c r="L50" s="22">
        <f t="shared" si="29"/>
        <v>1.1769729643171687E-3</v>
      </c>
      <c r="M50" s="24">
        <f t="shared" si="30"/>
        <v>1.2208486131031462E-3</v>
      </c>
      <c r="N50" s="2"/>
      <c r="O50" s="2"/>
      <c r="P50" s="2"/>
      <c r="Q50" s="253"/>
      <c r="R50" s="250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91.487953368723566</v>
      </c>
      <c r="AB50" s="156">
        <f>Poor!AB55</f>
        <v>0.25</v>
      </c>
      <c r="AC50" s="147">
        <f t="shared" si="39"/>
        <v>91.487953368723566</v>
      </c>
      <c r="AD50" s="156">
        <f>Poor!AD55</f>
        <v>0.25</v>
      </c>
      <c r="AE50" s="147">
        <f t="shared" si="40"/>
        <v>91.487953368723566</v>
      </c>
      <c r="AF50" s="122">
        <f t="shared" si="31"/>
        <v>0.25</v>
      </c>
      <c r="AG50" s="147">
        <f t="shared" si="34"/>
        <v>91.487953368723566</v>
      </c>
      <c r="AH50" s="123">
        <f t="shared" si="35"/>
        <v>1</v>
      </c>
      <c r="AI50" s="112">
        <f t="shared" si="35"/>
        <v>365.95181347489427</v>
      </c>
      <c r="AJ50" s="148">
        <f t="shared" si="36"/>
        <v>182.97590673744713</v>
      </c>
      <c r="AK50" s="147">
        <f t="shared" si="37"/>
        <v>182.97590673744713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Groundnuts (dry): no. local meas</v>
      </c>
      <c r="B51" s="104">
        <f>IF([1]Summ!$J1086="",0,[1]Summ!$J1086)</f>
        <v>300</v>
      </c>
      <c r="C51" s="104">
        <f>IF([1]Summ!$K1086="",0,[1]Summ!$K1086)</f>
        <v>-300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435.65692080344547</v>
      </c>
      <c r="K51" s="40">
        <f t="shared" si="28"/>
        <v>1.0008273506098375E-3</v>
      </c>
      <c r="L51" s="22">
        <f t="shared" si="29"/>
        <v>1.4011582908537725E-3</v>
      </c>
      <c r="M51" s="24">
        <f t="shared" si="30"/>
        <v>1.4533912060751737E-3</v>
      </c>
      <c r="N51" s="2"/>
      <c r="O51" s="2"/>
      <c r="P51" s="2"/>
      <c r="Q51" s="253"/>
      <c r="R51" s="250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108.91423020086137</v>
      </c>
      <c r="AB51" s="156">
        <f>Poor!AB56</f>
        <v>0.25</v>
      </c>
      <c r="AC51" s="147">
        <f t="shared" si="39"/>
        <v>108.91423020086137</v>
      </c>
      <c r="AD51" s="156">
        <f>Poor!AD56</f>
        <v>0.25</v>
      </c>
      <c r="AE51" s="147">
        <f t="shared" si="40"/>
        <v>108.91423020086137</v>
      </c>
      <c r="AF51" s="122">
        <f t="shared" si="31"/>
        <v>0.25</v>
      </c>
      <c r="AG51" s="147">
        <f t="shared" si="34"/>
        <v>108.91423020086137</v>
      </c>
      <c r="AH51" s="123">
        <f t="shared" si="35"/>
        <v>1</v>
      </c>
      <c r="AI51" s="112">
        <f t="shared" si="35"/>
        <v>435.65692080344547</v>
      </c>
      <c r="AJ51" s="148">
        <f t="shared" si="36"/>
        <v>217.82846040172274</v>
      </c>
      <c r="AK51" s="147">
        <f t="shared" si="37"/>
        <v>217.82846040172274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Spinach</v>
      </c>
      <c r="B52" s="104">
        <f>IF([1]Summ!$J1087="",0,[1]Summ!$J1087)</f>
        <v>600</v>
      </c>
      <c r="C52" s="104">
        <f>IF([1]Summ!$K1087="",0,[1]Summ!$K1087)</f>
        <v>-600</v>
      </c>
      <c r="D52" s="38">
        <f t="shared" si="25"/>
        <v>0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0</v>
      </c>
      <c r="J52" s="38">
        <f t="shared" si="33"/>
        <v>871.31384160689095</v>
      </c>
      <c r="K52" s="40">
        <f t="shared" si="28"/>
        <v>2.0016547012196751E-3</v>
      </c>
      <c r="L52" s="22">
        <f t="shared" si="29"/>
        <v>2.802316581707545E-3</v>
      </c>
      <c r="M52" s="24">
        <f t="shared" si="30"/>
        <v>2.9067824121503474E-3</v>
      </c>
      <c r="N52" s="2"/>
      <c r="O52" s="2"/>
      <c r="P52" s="2"/>
      <c r="Q52" s="41"/>
      <c r="R52" s="240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217.82846040172274</v>
      </c>
      <c r="AB52" s="156">
        <f>Poor!AB57</f>
        <v>0.25</v>
      </c>
      <c r="AC52" s="147">
        <f t="shared" si="39"/>
        <v>217.82846040172274</v>
      </c>
      <c r="AD52" s="156">
        <f>Poor!AD57</f>
        <v>0.25</v>
      </c>
      <c r="AE52" s="147">
        <f t="shared" si="40"/>
        <v>217.82846040172274</v>
      </c>
      <c r="AF52" s="122">
        <f t="shared" si="31"/>
        <v>0.25</v>
      </c>
      <c r="AG52" s="147">
        <f t="shared" si="34"/>
        <v>217.82846040172274</v>
      </c>
      <c r="AH52" s="123">
        <f t="shared" si="35"/>
        <v>1</v>
      </c>
      <c r="AI52" s="112">
        <f t="shared" si="35"/>
        <v>871.31384160689095</v>
      </c>
      <c r="AJ52" s="148">
        <f t="shared" si="36"/>
        <v>435.65692080344547</v>
      </c>
      <c r="AK52" s="147">
        <f t="shared" si="37"/>
        <v>435.65692080344547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Other crop: Potatoes</v>
      </c>
      <c r="B53" s="104">
        <f>IF([1]Summ!$J1088="",0,[1]Summ!$J1088)</f>
        <v>6960</v>
      </c>
      <c r="C53" s="104">
        <f>IF([1]Summ!$K1088="",0,[1]Summ!$K1088)</f>
        <v>-6960</v>
      </c>
      <c r="D53" s="38">
        <f t="shared" si="25"/>
        <v>0</v>
      </c>
      <c r="E53" s="75">
        <f>Middle!E53</f>
        <v>1</v>
      </c>
      <c r="F53" s="75">
        <f>Middle!F53</f>
        <v>1.4</v>
      </c>
      <c r="G53" s="22">
        <f t="shared" si="32"/>
        <v>1.65</v>
      </c>
      <c r="H53" s="24">
        <f t="shared" ref="H53:H64" si="41">(E53*F53)</f>
        <v>1.4</v>
      </c>
      <c r="I53" s="39">
        <f t="shared" ref="I53:I64" si="42">D53*H53</f>
        <v>0</v>
      </c>
      <c r="J53" s="38">
        <f t="shared" si="33"/>
        <v>10107.240562639936</v>
      </c>
      <c r="K53" s="40">
        <f t="shared" ref="K53:K64" si="43">(B53/B$65)</f>
        <v>2.3219194534148228E-2</v>
      </c>
      <c r="L53" s="22">
        <f t="shared" ref="L53:L64" si="44">(K53*H53)</f>
        <v>3.2506872347807518E-2</v>
      </c>
      <c r="M53" s="24">
        <f t="shared" ref="M53:M64" si="45">J53/B$65</f>
        <v>3.3718675980944031E-2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Other crop: pumpkin / butternut</v>
      </c>
      <c r="B54" s="104">
        <f>IF([1]Summ!$J1089="",0,[1]Summ!$J1089)</f>
        <v>600</v>
      </c>
      <c r="C54" s="104">
        <f>IF([1]Summ!$K1089="",0,[1]Summ!$K1089)</f>
        <v>-600</v>
      </c>
      <c r="D54" s="38">
        <f t="shared" si="25"/>
        <v>0</v>
      </c>
      <c r="E54" s="75">
        <f>Middle!E54</f>
        <v>1</v>
      </c>
      <c r="F54" s="75">
        <f>Middle!F54</f>
        <v>1.4</v>
      </c>
      <c r="G54" s="22">
        <f t="shared" si="32"/>
        <v>1.65</v>
      </c>
      <c r="H54" s="24">
        <f t="shared" si="41"/>
        <v>1.4</v>
      </c>
      <c r="I54" s="39">
        <f t="shared" si="42"/>
        <v>0</v>
      </c>
      <c r="J54" s="38">
        <f t="shared" si="33"/>
        <v>871.31384160689095</v>
      </c>
      <c r="K54" s="40">
        <f t="shared" si="43"/>
        <v>2.0016547012196751E-3</v>
      </c>
      <c r="L54" s="22">
        <f t="shared" si="44"/>
        <v>2.802316581707545E-3</v>
      </c>
      <c r="M54" s="24">
        <f t="shared" si="45"/>
        <v>2.9067824121503474E-3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f>IF([1]Summ!$J1093="",0,[1]Summ!$J1093)</f>
        <v>92400</v>
      </c>
      <c r="C58" s="104">
        <f>IF([1]Summ!$K1093="",0,[1]Summ!$K1093)</f>
        <v>0</v>
      </c>
      <c r="D58" s="38">
        <f t="shared" si="25"/>
        <v>92400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87225.599999999991</v>
      </c>
      <c r="J58" s="38">
        <f t="shared" si="33"/>
        <v>87225.600000000006</v>
      </c>
      <c r="K58" s="40">
        <f t="shared" si="43"/>
        <v>0.30825482398782994</v>
      </c>
      <c r="L58" s="22">
        <f t="shared" si="44"/>
        <v>0.29099255384451145</v>
      </c>
      <c r="M58" s="24">
        <f t="shared" si="45"/>
        <v>0.2909925538445115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21806.400000000001</v>
      </c>
      <c r="AB58" s="156">
        <f>Poor!AB58</f>
        <v>0.25</v>
      </c>
      <c r="AC58" s="147">
        <f t="shared" si="39"/>
        <v>21806.400000000001</v>
      </c>
      <c r="AD58" s="156">
        <f>Poor!AD58</f>
        <v>0.25</v>
      </c>
      <c r="AE58" s="147">
        <f t="shared" si="40"/>
        <v>21806.400000000001</v>
      </c>
      <c r="AF58" s="122">
        <f t="shared" si="31"/>
        <v>0.25</v>
      </c>
      <c r="AG58" s="147">
        <f t="shared" si="34"/>
        <v>21806.400000000001</v>
      </c>
      <c r="AH58" s="123">
        <f t="shared" si="35"/>
        <v>1</v>
      </c>
      <c r="AI58" s="112">
        <f t="shared" si="35"/>
        <v>87225.600000000006</v>
      </c>
      <c r="AJ58" s="148">
        <f t="shared" si="36"/>
        <v>43612.800000000003</v>
      </c>
      <c r="AK58" s="147">
        <f t="shared" si="37"/>
        <v>43612.800000000003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f>IF([1]Summ!$J1095="",0,[1]Summ!$J1095)</f>
        <v>141600</v>
      </c>
      <c r="C60" s="104">
        <f>IF([1]Summ!$K1095="",0,[1]Summ!$K1095)</f>
        <v>0</v>
      </c>
      <c r="D60" s="38">
        <f t="shared" si="25"/>
        <v>141600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133670.39999999999</v>
      </c>
      <c r="J60" s="38">
        <f t="shared" si="33"/>
        <v>133670.39999999999</v>
      </c>
      <c r="K60" s="40">
        <f t="shared" si="43"/>
        <v>0.47239050948784328</v>
      </c>
      <c r="L60" s="22">
        <f t="shared" si="44"/>
        <v>0.44593664095652402</v>
      </c>
      <c r="M60" s="24">
        <f t="shared" si="45"/>
        <v>0.44593664095652402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33417.599999999999</v>
      </c>
      <c r="AB60" s="156">
        <f>Poor!AB60</f>
        <v>0.25</v>
      </c>
      <c r="AC60" s="147">
        <f t="shared" si="39"/>
        <v>33417.599999999999</v>
      </c>
      <c r="AD60" s="156">
        <f>Poor!AD60</f>
        <v>0.25</v>
      </c>
      <c r="AE60" s="147">
        <f t="shared" si="40"/>
        <v>33417.599999999999</v>
      </c>
      <c r="AF60" s="122">
        <f t="shared" si="31"/>
        <v>0.25</v>
      </c>
      <c r="AG60" s="147">
        <f t="shared" si="34"/>
        <v>33417.599999999999</v>
      </c>
      <c r="AH60" s="123">
        <f t="shared" si="46"/>
        <v>1</v>
      </c>
      <c r="AI60" s="112">
        <f t="shared" si="46"/>
        <v>133670.39999999999</v>
      </c>
      <c r="AJ60" s="148">
        <f t="shared" si="36"/>
        <v>66835.199999999997</v>
      </c>
      <c r="AK60" s="147">
        <f t="shared" si="37"/>
        <v>66835.199999999997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f>IF([1]Summ!$J1096="",0,[1]Summ!$J1096)</f>
        <v>8520</v>
      </c>
      <c r="C61" s="104">
        <f>IF([1]Summ!$K1096="",0,[1]Summ!$K1096)</f>
        <v>0</v>
      </c>
      <c r="D61" s="38">
        <f t="shared" si="25"/>
        <v>8520</v>
      </c>
      <c r="E61" s="75">
        <f>Middle!E61</f>
        <v>1</v>
      </c>
      <c r="F61" s="75">
        <f>Middle!F61</f>
        <v>1.18</v>
      </c>
      <c r="G61" s="22">
        <f t="shared" si="32"/>
        <v>1.65</v>
      </c>
      <c r="H61" s="24">
        <f t="shared" si="41"/>
        <v>1.18</v>
      </c>
      <c r="I61" s="39">
        <f t="shared" si="42"/>
        <v>10053.6</v>
      </c>
      <c r="J61" s="38">
        <f t="shared" si="33"/>
        <v>10053.6</v>
      </c>
      <c r="K61" s="40">
        <f t="shared" si="43"/>
        <v>2.8423496757319384E-2</v>
      </c>
      <c r="L61" s="22">
        <f t="shared" si="44"/>
        <v>3.3539726173636868E-2</v>
      </c>
      <c r="M61" s="24">
        <f t="shared" si="45"/>
        <v>3.3539726173636875E-2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2513.4</v>
      </c>
      <c r="AB61" s="156">
        <f>Poor!AB61</f>
        <v>0.25</v>
      </c>
      <c r="AC61" s="147">
        <f t="shared" si="39"/>
        <v>2513.4</v>
      </c>
      <c r="AD61" s="156">
        <f>Poor!AD61</f>
        <v>0.25</v>
      </c>
      <c r="AE61" s="147">
        <f t="shared" si="40"/>
        <v>2513.4</v>
      </c>
      <c r="AF61" s="122">
        <f t="shared" si="31"/>
        <v>0.25</v>
      </c>
      <c r="AG61" s="147">
        <f t="shared" si="34"/>
        <v>2513.4</v>
      </c>
      <c r="AH61" s="123">
        <f t="shared" si="46"/>
        <v>1</v>
      </c>
      <c r="AI61" s="112">
        <f t="shared" si="46"/>
        <v>10053.6</v>
      </c>
      <c r="AJ61" s="148">
        <f t="shared" si="36"/>
        <v>5026.8</v>
      </c>
      <c r="AK61" s="147">
        <f t="shared" si="37"/>
        <v>5026.8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Remittances: no. times per year</v>
      </c>
      <c r="B63" s="104">
        <f>IF([1]Summ!$J1098="",0,[1]Summ!$J1098)</f>
        <v>1500</v>
      </c>
      <c r="C63" s="104">
        <f>IF([1]Summ!$K1098="",0,[1]Summ!$K1098)</f>
        <v>0</v>
      </c>
      <c r="D63" s="38">
        <f t="shared" si="25"/>
        <v>1500</v>
      </c>
      <c r="E63" s="75">
        <f>Middle!E63</f>
        <v>1</v>
      </c>
      <c r="F63" s="75">
        <f>Middle!F63</f>
        <v>1.1100000000000001</v>
      </c>
      <c r="G63" s="22">
        <f t="shared" si="32"/>
        <v>1.65</v>
      </c>
      <c r="H63" s="24">
        <f t="shared" si="41"/>
        <v>1.1100000000000001</v>
      </c>
      <c r="I63" s="39">
        <f t="shared" si="42"/>
        <v>1665.0000000000002</v>
      </c>
      <c r="J63" s="38">
        <f t="shared" si="33"/>
        <v>1665.0000000000002</v>
      </c>
      <c r="K63" s="40">
        <f t="shared" si="43"/>
        <v>5.0041367530491874E-3</v>
      </c>
      <c r="L63" s="22">
        <f t="shared" si="44"/>
        <v>5.5545917958845989E-3</v>
      </c>
      <c r="M63" s="24">
        <f t="shared" si="45"/>
        <v>5.5545917958845989E-3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416.25000000000006</v>
      </c>
      <c r="AB63" s="156">
        <f>Poor!AB63</f>
        <v>0.25</v>
      </c>
      <c r="AC63" s="147">
        <f t="shared" si="39"/>
        <v>416.25000000000006</v>
      </c>
      <c r="AD63" s="156">
        <f>Poor!AD63</f>
        <v>0.25</v>
      </c>
      <c r="AE63" s="147">
        <f t="shared" si="40"/>
        <v>416.25000000000006</v>
      </c>
      <c r="AF63" s="122">
        <f t="shared" si="31"/>
        <v>0.25</v>
      </c>
      <c r="AG63" s="147">
        <f t="shared" si="34"/>
        <v>416.25000000000006</v>
      </c>
      <c r="AH63" s="123">
        <f t="shared" si="46"/>
        <v>1</v>
      </c>
      <c r="AI63" s="112">
        <f t="shared" si="46"/>
        <v>1665.0000000000002</v>
      </c>
      <c r="AJ63" s="148">
        <f t="shared" si="36"/>
        <v>832.50000000000011</v>
      </c>
      <c r="AK63" s="147">
        <f t="shared" si="37"/>
        <v>832.50000000000011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299752</v>
      </c>
      <c r="C65" s="39">
        <f>SUM(C37:C64)</f>
        <v>-16179</v>
      </c>
      <c r="D65" s="42">
        <f>SUM(D37:D64)</f>
        <v>283573</v>
      </c>
      <c r="E65" s="32"/>
      <c r="F65" s="32"/>
      <c r="G65" s="32"/>
      <c r="H65" s="31"/>
      <c r="I65" s="39">
        <f>SUM(I37:I64)</f>
        <v>267071.31199999998</v>
      </c>
      <c r="J65" s="39">
        <f>SUM(J37:J64)</f>
        <v>297260.02140632819</v>
      </c>
      <c r="K65" s="40">
        <f>SUM(K37:K64)</f>
        <v>1</v>
      </c>
      <c r="L65" s="22">
        <f>SUM(L37:L64)</f>
        <v>0.98806706877685546</v>
      </c>
      <c r="M65" s="24">
        <f>SUM(M37:M64)</f>
        <v>0.9916865322210634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70737.324718232325</v>
      </c>
      <c r="AB65" s="137"/>
      <c r="AC65" s="153">
        <f>SUM(AC37:AC64)</f>
        <v>74139.317301625531</v>
      </c>
      <c r="AD65" s="137"/>
      <c r="AE65" s="153">
        <f>SUM(AE37:AE64)</f>
        <v>69570.209652046498</v>
      </c>
      <c r="AF65" s="137"/>
      <c r="AG65" s="153">
        <f>SUM(AG37:AG64)</f>
        <v>71834.61533017701</v>
      </c>
      <c r="AH65" s="137"/>
      <c r="AI65" s="153">
        <f>SUM(AI37:AI64)</f>
        <v>286281.46700208134</v>
      </c>
      <c r="AJ65" s="153">
        <f>SUM(AJ37:AJ64)</f>
        <v>144876.64201985789</v>
      </c>
      <c r="AK65" s="153">
        <f>SUM(AK37:AK64)</f>
        <v>141404.82498222351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14261.346221178774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19965.884709650283</v>
      </c>
      <c r="J70" s="51">
        <f>J124*I$83</f>
        <v>19965.884709650283</v>
      </c>
      <c r="K70" s="40">
        <f>B70/B$76</f>
        <v>4.7577151182239895E-2</v>
      </c>
      <c r="L70" s="22">
        <f>(L124*G$37*F$9/F$7)/B$130</f>
        <v>6.6608011655135857E-2</v>
      </c>
      <c r="M70" s="24">
        <f>J70/B$76</f>
        <v>6.6608011655135857E-2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4991.4711774125708</v>
      </c>
      <c r="AB70" s="156">
        <f>Poor!AB70</f>
        <v>0.25</v>
      </c>
      <c r="AC70" s="147">
        <f>$J70*AB70</f>
        <v>4991.4711774125708</v>
      </c>
      <c r="AD70" s="156">
        <f>Poor!AD70</f>
        <v>0.25</v>
      </c>
      <c r="AE70" s="147">
        <f>$J70*AD70</f>
        <v>4991.4711774125708</v>
      </c>
      <c r="AF70" s="156">
        <f>Poor!AF70</f>
        <v>0.25</v>
      </c>
      <c r="AG70" s="147">
        <f>$J70*AF70</f>
        <v>4991.4711774125708</v>
      </c>
      <c r="AH70" s="155">
        <f>SUM(Z70,AB70,AD70,AF70)</f>
        <v>1</v>
      </c>
      <c r="AI70" s="147">
        <f>SUM(AA70,AC70,AE70,AG70)</f>
        <v>19965.884709650283</v>
      </c>
      <c r="AJ70" s="148">
        <f>(AA70+AC70)</f>
        <v>9982.9423548251416</v>
      </c>
      <c r="AK70" s="147">
        <f>(AE70+AG70)</f>
        <v>9982.9423548251416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18382.826666666668</v>
      </c>
      <c r="J71" s="51">
        <f t="shared" ref="J71:J72" si="49">J125*I$83</f>
        <v>18382.826666666668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32737.920000000002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43500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51330</v>
      </c>
      <c r="K73" s="40">
        <f>B73/B$76</f>
        <v>0.14511996583842643</v>
      </c>
      <c r="L73" s="22">
        <f>(L127*G$37*F$9/F$7)/B$130</f>
        <v>0.17124155968934315</v>
      </c>
      <c r="M73" s="24">
        <f>J73/B$76</f>
        <v>0.17124155968934318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4619.7</v>
      </c>
      <c r="AB73" s="156">
        <f>Poor!AB73</f>
        <v>0.09</v>
      </c>
      <c r="AC73" s="147">
        <f>$H$73*$B$73*AB73</f>
        <v>4619.7</v>
      </c>
      <c r="AD73" s="156">
        <f>Poor!AD73</f>
        <v>0.23</v>
      </c>
      <c r="AE73" s="147">
        <f>$H$73*$B$73*AD73</f>
        <v>11805.9</v>
      </c>
      <c r="AF73" s="156">
        <f>Poor!AF73</f>
        <v>0.59</v>
      </c>
      <c r="AG73" s="147">
        <f>$H$73*$B$73*AF73</f>
        <v>30284.699999999997</v>
      </c>
      <c r="AH73" s="155">
        <f>SUM(Z73,AB73,AD73,AF73)</f>
        <v>1</v>
      </c>
      <c r="AI73" s="147">
        <f>SUM(AA73,AC73,AE73,AG73)</f>
        <v>51330</v>
      </c>
      <c r="AJ73" s="148">
        <f>(AA73+AC73)</f>
        <v>9239.4</v>
      </c>
      <c r="AK73" s="147">
        <f>(AE73+AG73)</f>
        <v>42090.6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9139.8098657850351</v>
      </c>
      <c r="C74" s="39"/>
      <c r="D74" s="38"/>
      <c r="E74" s="32"/>
      <c r="F74" s="32"/>
      <c r="G74" s="32"/>
      <c r="H74" s="31"/>
      <c r="I74" s="39">
        <f>I128*I$83</f>
        <v>247105.42729034973</v>
      </c>
      <c r="J74" s="51">
        <f>J128*I$83</f>
        <v>1874.1186992123394</v>
      </c>
      <c r="K74" s="40">
        <f>B74/B$76</f>
        <v>3.0491238976837635E-2</v>
      </c>
      <c r="L74" s="22">
        <f>(L128*G$37*F$9/F$7)/B$130</f>
        <v>2.949995199395505E-2</v>
      </c>
      <c r="M74" s="24">
        <f>J74/B$76</f>
        <v>6.2522308415368013E-3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3.8777942176095972</v>
      </c>
      <c r="AB74" s="156"/>
      <c r="AC74" s="147">
        <f>AC30*$I$83/4</f>
        <v>-1.3711126522801877E-12</v>
      </c>
      <c r="AD74" s="156"/>
      <c r="AE74" s="147">
        <f>AE30*$I$83/4</f>
        <v>1602.480253452718</v>
      </c>
      <c r="AF74" s="156"/>
      <c r="AG74" s="147">
        <f>AG30*$I$83/4</f>
        <v>1432.8224680036553</v>
      </c>
      <c r="AH74" s="155"/>
      <c r="AI74" s="147">
        <f>SUM(AA74,AC74,AE74,AG74)</f>
        <v>3039.1805156739815</v>
      </c>
      <c r="AJ74" s="148">
        <f>(AA74+AC74)</f>
        <v>3.8777942176082263</v>
      </c>
      <c r="AK74" s="147">
        <f>(AE74+AG74)</f>
        <v>3035.3027214563735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189528.17724636957</v>
      </c>
      <c r="C75" s="39"/>
      <c r="D75" s="38"/>
      <c r="E75" s="32"/>
      <c r="F75" s="32"/>
      <c r="G75" s="32"/>
      <c r="H75" s="31"/>
      <c r="I75" s="47"/>
      <c r="J75" s="51">
        <f>J129*I$83</f>
        <v>172969.27133079895</v>
      </c>
      <c r="K75" s="40">
        <f>B75/B$76</f>
        <v>0.63228327833131914</v>
      </c>
      <c r="L75" s="22">
        <f>(L129*G$37*F$9/F$7)/B$130</f>
        <v>0.55017407394643247</v>
      </c>
      <c r="M75" s="24">
        <f>J75/B$76</f>
        <v>0.57704125854305877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65741.97574660214</v>
      </c>
      <c r="AB75" s="158"/>
      <c r="AC75" s="149">
        <f>AA75+AC65-SUM(AC70,AC74)</f>
        <v>134889.8218708151</v>
      </c>
      <c r="AD75" s="158"/>
      <c r="AE75" s="149">
        <f>AC75+AE65-SUM(AE70,AE74)</f>
        <v>197866.08009199629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263276.40177675709</v>
      </c>
      <c r="AJ75" s="151">
        <f>AJ76-SUM(AJ70,AJ74)</f>
        <v>134889.8218708151</v>
      </c>
      <c r="AK75" s="149">
        <f>AJ75+AK76-SUM(AK70,AK74)</f>
        <v>263276.40177675703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299752</v>
      </c>
      <c r="C76" s="39"/>
      <c r="D76" s="38"/>
      <c r="E76" s="32"/>
      <c r="F76" s="32"/>
      <c r="G76" s="32"/>
      <c r="H76" s="31"/>
      <c r="I76" s="39">
        <f>I130*I$83</f>
        <v>267071.31200000003</v>
      </c>
      <c r="J76" s="51">
        <f>J130*I$83</f>
        <v>297260.02140632825</v>
      </c>
      <c r="K76" s="40">
        <f>SUM(K70:K75)</f>
        <v>0.85547163432882312</v>
      </c>
      <c r="L76" s="22">
        <f>SUM(L70:L75)</f>
        <v>0.81752359728486645</v>
      </c>
      <c r="M76" s="24">
        <f>SUM(M70:M75)</f>
        <v>0.82114306072907461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70737.324718232325</v>
      </c>
      <c r="AB76" s="137"/>
      <c r="AC76" s="153">
        <f>AC65</f>
        <v>74139.317301625531</v>
      </c>
      <c r="AD76" s="137"/>
      <c r="AE76" s="153">
        <f>AE65</f>
        <v>69570.209652046498</v>
      </c>
      <c r="AF76" s="137"/>
      <c r="AG76" s="153">
        <f>AG65</f>
        <v>71834.61533017701</v>
      </c>
      <c r="AH76" s="137"/>
      <c r="AI76" s="153">
        <f>SUM(AA76,AC76,AE76,AG76)</f>
        <v>286281.46700208134</v>
      </c>
      <c r="AJ76" s="154">
        <f>SUM(AA76,AC76)</f>
        <v>144876.64201985786</v>
      </c>
      <c r="AK76" s="154">
        <f>SUM(AE76,AG76)</f>
        <v>141404.82498222351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65741.97574660214</v>
      </c>
      <c r="AD78" s="112"/>
      <c r="AE78" s="112">
        <f>AC75</f>
        <v>134889.8218708151</v>
      </c>
      <c r="AF78" s="112"/>
      <c r="AG78" s="112">
        <f>AE75</f>
        <v>197866.08009199629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65745.853540819749</v>
      </c>
      <c r="AB79" s="112"/>
      <c r="AC79" s="112">
        <f>AA79-AA74+AC65-AC70</f>
        <v>134889.8218708151</v>
      </c>
      <c r="AD79" s="112"/>
      <c r="AE79" s="112">
        <f>AC79-AC74+AE65-AE70</f>
        <v>199468.56034544902</v>
      </c>
      <c r="AF79" s="112"/>
      <c r="AG79" s="112">
        <f>AE79-AE74+AG65-AG70</f>
        <v>264709.22424476076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0.6488734887907448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7.9007092198581557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14969.557405798851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24699.769719568103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6174.9424298920258</v>
      </c>
      <c r="AB83" s="112"/>
      <c r="AC83" s="165">
        <f>$I$83*AB82/4</f>
        <v>6174.9424298920258</v>
      </c>
      <c r="AD83" s="112"/>
      <c r="AE83" s="165">
        <f>$I$83*AD82/4</f>
        <v>6174.9424298920258</v>
      </c>
      <c r="AF83" s="112"/>
      <c r="AG83" s="165">
        <f>$I$83*AF82/4</f>
        <v>6174.9424298920258</v>
      </c>
      <c r="AH83" s="165">
        <f>SUM(AA83,AC83,AE83,AG83)</f>
        <v>24699.769719568103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25868.190543999441</v>
      </c>
      <c r="C84" s="46"/>
      <c r="D84" s="233"/>
      <c r="E84" s="64"/>
      <c r="F84" s="64"/>
      <c r="G84" s="64"/>
      <c r="H84" s="234">
        <f>IF(B84=0,0,I84/B84)</f>
        <v>1.5121729436687743</v>
      </c>
      <c r="I84" s="232">
        <f>(B70*H70)+((1-(D29*H29))*I83)</f>
        <v>39117.177842304387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0.66802242236809473</v>
      </c>
      <c r="C91" s="75">
        <f>(C37/$B$83)</f>
        <v>0.20040672671042842</v>
      </c>
      <c r="D91" s="24">
        <f t="shared" ref="D91" si="51">(B91+C91)</f>
        <v>0.8684291490785232</v>
      </c>
      <c r="H91" s="24">
        <f>(E37*F37/G37*F$7/F$9)</f>
        <v>0.3575757575757576</v>
      </c>
      <c r="I91" s="22">
        <f t="shared" ref="I91" si="52">(D91*H91)</f>
        <v>0.31052921088262347</v>
      </c>
      <c r="J91" s="24">
        <f>IF(I$32&lt;=1+I$131,I91,L91+J$33*(I91-L91))</f>
        <v>0.23619723295259734</v>
      </c>
      <c r="K91" s="22">
        <f t="shared" ref="K91" si="53">(B91)</f>
        <v>0.66802242236809473</v>
      </c>
      <c r="L91" s="22">
        <f t="shared" ref="L91" si="54">(K91*H91)</f>
        <v>0.23886862375586418</v>
      </c>
      <c r="M91" s="225">
        <f t="shared" si="50"/>
        <v>0.23619723295259734</v>
      </c>
      <c r="N91" s="227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 (hides): quantity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0.3575757575757576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5">
        <f t="shared" ref="M92:M118" si="63">(J92)</f>
        <v>0</v>
      </c>
      <c r="N92" s="227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0.93523139131533262</v>
      </c>
      <c r="C93" s="75">
        <f t="shared" si="64"/>
        <v>0.23380784782883315</v>
      </c>
      <c r="D93" s="24">
        <f t="shared" si="57"/>
        <v>1.1690392391441657</v>
      </c>
      <c r="H93" s="24">
        <f t="shared" si="58"/>
        <v>0.57212121212121214</v>
      </c>
      <c r="I93" s="22">
        <f t="shared" si="59"/>
        <v>0.66883214651641965</v>
      </c>
      <c r="J93" s="24">
        <f t="shared" si="60"/>
        <v>0.53007912104703769</v>
      </c>
      <c r="K93" s="22">
        <f t="shared" si="61"/>
        <v>0.93523139131533262</v>
      </c>
      <c r="L93" s="22">
        <f t="shared" si="62"/>
        <v>0.53506571721313578</v>
      </c>
      <c r="M93" s="225">
        <f t="shared" si="63"/>
        <v>0.53007912104703769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Goat sales - local: no. sold</v>
      </c>
      <c r="B94" s="75">
        <f t="shared" ref="B94:C94" si="65">(B40/$B$83)</f>
        <v>0.19673260338740389</v>
      </c>
      <c r="C94" s="75">
        <f t="shared" si="65"/>
        <v>7.8693041354961552E-2</v>
      </c>
      <c r="D94" s="24">
        <f t="shared" si="57"/>
        <v>0.27542564474236542</v>
      </c>
      <c r="H94" s="24">
        <f t="shared" si="58"/>
        <v>0.57212121212121214</v>
      </c>
      <c r="I94" s="22">
        <f t="shared" si="59"/>
        <v>0.15757685371926847</v>
      </c>
      <c r="J94" s="24">
        <f t="shared" si="60"/>
        <v>0.11087654971843075</v>
      </c>
      <c r="K94" s="22">
        <f t="shared" si="61"/>
        <v>0.19673260338740389</v>
      </c>
      <c r="L94" s="22">
        <f t="shared" si="62"/>
        <v>0.1125548955137632</v>
      </c>
      <c r="M94" s="225">
        <f t="shared" si="63"/>
        <v>0.11087654971843075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Sheep sales - local: no. sold</v>
      </c>
      <c r="B95" s="75">
        <f t="shared" ref="B95:C95" si="66">(B41/$B$83)</f>
        <v>4.3421457453926157E-2</v>
      </c>
      <c r="C95" s="75">
        <f t="shared" si="66"/>
        <v>0</v>
      </c>
      <c r="D95" s="24">
        <f t="shared" si="57"/>
        <v>4.3421457453926157E-2</v>
      </c>
      <c r="H95" s="24">
        <f t="shared" si="58"/>
        <v>0.57212121212121214</v>
      </c>
      <c r="I95" s="22">
        <f t="shared" si="59"/>
        <v>2.4842336870609875E-2</v>
      </c>
      <c r="J95" s="24">
        <f t="shared" si="60"/>
        <v>2.4842336870609875E-2</v>
      </c>
      <c r="K95" s="22">
        <f t="shared" si="61"/>
        <v>4.3421457453926157E-2</v>
      </c>
      <c r="L95" s="22">
        <f t="shared" si="62"/>
        <v>2.4842336870609875E-2</v>
      </c>
      <c r="M95" s="225">
        <f t="shared" si="63"/>
        <v>2.4842336870609875E-2</v>
      </c>
      <c r="N95" s="227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Chicken sales: no. sold</v>
      </c>
      <c r="B96" s="75">
        <f t="shared" ref="B96:C96" si="67">(B42/$B$83)</f>
        <v>7.0142354348649946E-2</v>
      </c>
      <c r="C96" s="75">
        <f t="shared" si="67"/>
        <v>0</v>
      </c>
      <c r="D96" s="24">
        <f t="shared" si="57"/>
        <v>7.0142354348649946E-2</v>
      </c>
      <c r="H96" s="24">
        <f t="shared" si="58"/>
        <v>0.7151515151515152</v>
      </c>
      <c r="I96" s="22">
        <f t="shared" si="59"/>
        <v>5.0162410988731483E-2</v>
      </c>
      <c r="J96" s="24">
        <f t="shared" si="60"/>
        <v>5.0162410988731483E-2</v>
      </c>
      <c r="K96" s="22">
        <f t="shared" si="61"/>
        <v>7.0142354348649946E-2</v>
      </c>
      <c r="L96" s="22">
        <f t="shared" si="62"/>
        <v>5.0162410988731483E-2</v>
      </c>
      <c r="M96" s="225">
        <f t="shared" si="63"/>
        <v>5.0162410988731483E-2</v>
      </c>
      <c r="N96" s="227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Maize: kg produced</v>
      </c>
      <c r="B97" s="75">
        <f t="shared" ref="B97:C97" si="68">(B43/$B$83)</f>
        <v>1.002033633552142</v>
      </c>
      <c r="C97" s="75">
        <f t="shared" si="68"/>
        <v>-1.002033633552142</v>
      </c>
      <c r="D97" s="24">
        <f t="shared" si="57"/>
        <v>0</v>
      </c>
      <c r="H97" s="24">
        <f t="shared" si="58"/>
        <v>0.92484848484848492</v>
      </c>
      <c r="I97" s="22">
        <f t="shared" si="59"/>
        <v>0</v>
      </c>
      <c r="J97" s="24">
        <f t="shared" si="60"/>
        <v>0.96127625695949015</v>
      </c>
      <c r="K97" s="22">
        <f t="shared" si="61"/>
        <v>1.002033633552142</v>
      </c>
      <c r="L97" s="22">
        <f t="shared" si="62"/>
        <v>0.92672928775792052</v>
      </c>
      <c r="M97" s="225">
        <f t="shared" si="63"/>
        <v>0.96127625695949015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Tomato</v>
      </c>
      <c r="B98" s="75">
        <f t="shared" ref="B98:C98" si="69">(B44/$B$83)</f>
        <v>4.0081345342085684E-2</v>
      </c>
      <c r="C98" s="75">
        <f t="shared" si="69"/>
        <v>-4.0081345342085684E-2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3.5276192915944589E-2</v>
      </c>
      <c r="K98" s="22">
        <f t="shared" si="61"/>
        <v>4.0081345342085684E-2</v>
      </c>
      <c r="L98" s="22">
        <f t="shared" si="62"/>
        <v>3.4008414229648461E-2</v>
      </c>
      <c r="M98" s="225">
        <f t="shared" si="63"/>
        <v>3.5276192915944589E-2</v>
      </c>
      <c r="N98" s="227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Onions</v>
      </c>
      <c r="B99" s="75">
        <f t="shared" ref="B99:C99" si="70">(B45/$B$83)</f>
        <v>3.8745300497349491E-2</v>
      </c>
      <c r="C99" s="75">
        <f t="shared" si="70"/>
        <v>4.8431625621686868E-2</v>
      </c>
      <c r="D99" s="24">
        <f t="shared" si="57"/>
        <v>8.7176926119036352E-2</v>
      </c>
      <c r="H99" s="24">
        <f t="shared" si="58"/>
        <v>0.84848484848484851</v>
      </c>
      <c r="I99" s="22">
        <f t="shared" si="59"/>
        <v>7.3968300949485394E-2</v>
      </c>
      <c r="J99" s="24">
        <f t="shared" si="60"/>
        <v>3.1342901176052346E-2</v>
      </c>
      <c r="K99" s="22">
        <f t="shared" si="61"/>
        <v>3.8745300497349491E-2</v>
      </c>
      <c r="L99" s="22">
        <f t="shared" si="62"/>
        <v>3.2874800421993505E-2</v>
      </c>
      <c r="M99" s="225">
        <f t="shared" si="63"/>
        <v>3.1342901176052346E-2</v>
      </c>
      <c r="N99" s="227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Beetroot</v>
      </c>
      <c r="B100" s="75">
        <f t="shared" ref="B100:C100" si="71">(B46/$B$83)</f>
        <v>4.0081345342085684E-2</v>
      </c>
      <c r="C100" s="75">
        <f t="shared" si="71"/>
        <v>1.3360448447361895E-2</v>
      </c>
      <c r="D100" s="24">
        <f t="shared" si="57"/>
        <v>5.3441793789447578E-2</v>
      </c>
      <c r="H100" s="24">
        <f t="shared" si="58"/>
        <v>0.84848484848484851</v>
      </c>
      <c r="I100" s="22">
        <f t="shared" si="59"/>
        <v>4.5344552306197945E-2</v>
      </c>
      <c r="J100" s="24">
        <f t="shared" si="60"/>
        <v>3.358582133421642E-2</v>
      </c>
      <c r="K100" s="22">
        <f t="shared" si="61"/>
        <v>4.0081345342085684E-2</v>
      </c>
      <c r="L100" s="22">
        <f t="shared" si="62"/>
        <v>3.4008414229648461E-2</v>
      </c>
      <c r="M100" s="225">
        <f t="shared" si="63"/>
        <v>3.358582133421642E-2</v>
      </c>
      <c r="N100" s="227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Beans: kg produced</v>
      </c>
      <c r="B101" s="75">
        <f t="shared" ref="B101:C101" si="72">(B47/$B$83)</f>
        <v>6.0122018013128525E-2</v>
      </c>
      <c r="C101" s="75">
        <f t="shared" si="72"/>
        <v>1.5030504503282131E-2</v>
      </c>
      <c r="D101" s="24">
        <f t="shared" si="57"/>
        <v>7.5152522516410664E-2</v>
      </c>
      <c r="H101" s="24">
        <f t="shared" si="58"/>
        <v>0.84848484848484851</v>
      </c>
      <c r="I101" s="22">
        <f t="shared" si="59"/>
        <v>6.3765776680590872E-2</v>
      </c>
      <c r="J101" s="24">
        <f t="shared" si="60"/>
        <v>5.0537204337111639E-2</v>
      </c>
      <c r="K101" s="22">
        <f t="shared" si="61"/>
        <v>6.0122018013128525E-2</v>
      </c>
      <c r="L101" s="22">
        <f t="shared" si="62"/>
        <v>5.1012621344472688E-2</v>
      </c>
      <c r="M101" s="225">
        <f t="shared" si="63"/>
        <v>5.0537204337111639E-2</v>
      </c>
      <c r="N101" s="227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Chillies: kg produced</v>
      </c>
      <c r="B102" s="75">
        <f t="shared" ref="B102:C102" si="73">(B48/$B$83)</f>
        <v>1.3360448447361895E-2</v>
      </c>
      <c r="C102" s="75">
        <f t="shared" si="73"/>
        <v>-1.3360448447361895E-2</v>
      </c>
      <c r="D102" s="24">
        <f t="shared" si="57"/>
        <v>0</v>
      </c>
      <c r="H102" s="24">
        <f t="shared" si="58"/>
        <v>0.84848484848484851</v>
      </c>
      <c r="I102" s="22">
        <f t="shared" si="59"/>
        <v>0</v>
      </c>
      <c r="J102" s="24">
        <f t="shared" si="60"/>
        <v>1.175873097198153E-2</v>
      </c>
      <c r="K102" s="22">
        <f t="shared" si="61"/>
        <v>1.3360448447361895E-2</v>
      </c>
      <c r="L102" s="22">
        <f t="shared" si="62"/>
        <v>1.1336138076549486E-2</v>
      </c>
      <c r="M102" s="225">
        <f t="shared" si="63"/>
        <v>1.175873097198153E-2</v>
      </c>
      <c r="N102" s="227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</v>
      </c>
      <c r="B103" s="75">
        <f t="shared" ref="B103:C103" si="74">(B49/$B$83)</f>
        <v>3.3067109907220692E-2</v>
      </c>
      <c r="C103" s="75">
        <f t="shared" si="74"/>
        <v>-3.3067109907220692E-2</v>
      </c>
      <c r="D103" s="24">
        <f t="shared" si="57"/>
        <v>0</v>
      </c>
      <c r="H103" s="24">
        <f t="shared" si="58"/>
        <v>0.84848484848484851</v>
      </c>
      <c r="I103" s="22">
        <f t="shared" si="59"/>
        <v>0</v>
      </c>
      <c r="J103" s="24">
        <f t="shared" si="60"/>
        <v>2.910285915565429E-2</v>
      </c>
      <c r="K103" s="22">
        <f t="shared" si="61"/>
        <v>3.3067109907220692E-2</v>
      </c>
      <c r="L103" s="22">
        <f t="shared" si="62"/>
        <v>2.8056941739459981E-2</v>
      </c>
      <c r="M103" s="225">
        <f t="shared" si="63"/>
        <v>2.910285915565429E-2</v>
      </c>
      <c r="N103" s="227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Cabbage</v>
      </c>
      <c r="B104" s="75">
        <f t="shared" ref="B104:C104" si="75">(B50/$B$83)</f>
        <v>1.6834165043675988E-2</v>
      </c>
      <c r="C104" s="75">
        <f t="shared" si="75"/>
        <v>-1.6834165043675988E-2</v>
      </c>
      <c r="D104" s="24">
        <f t="shared" si="57"/>
        <v>0</v>
      </c>
      <c r="H104" s="24">
        <f t="shared" si="58"/>
        <v>0.84848484848484851</v>
      </c>
      <c r="I104" s="22">
        <f t="shared" si="59"/>
        <v>0</v>
      </c>
      <c r="J104" s="24">
        <f t="shared" si="60"/>
        <v>1.481600102469673E-2</v>
      </c>
      <c r="K104" s="22">
        <f t="shared" si="61"/>
        <v>1.6834165043675988E-2</v>
      </c>
      <c r="L104" s="22">
        <f t="shared" si="62"/>
        <v>1.4283533976452354E-2</v>
      </c>
      <c r="M104" s="225">
        <f t="shared" si="63"/>
        <v>1.481600102469673E-2</v>
      </c>
      <c r="N104" s="227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Groundnuts (dry): no. local meas</v>
      </c>
      <c r="B105" s="75">
        <f t="shared" ref="B105:C105" si="76">(B51/$B$83)</f>
        <v>2.0040672671042842E-2</v>
      </c>
      <c r="C105" s="75">
        <f t="shared" si="76"/>
        <v>-2.0040672671042842E-2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1.7638096457972294E-2</v>
      </c>
      <c r="K105" s="22">
        <f t="shared" si="61"/>
        <v>2.0040672671042842E-2</v>
      </c>
      <c r="L105" s="22">
        <f t="shared" si="62"/>
        <v>1.700420711482423E-2</v>
      </c>
      <c r="M105" s="225">
        <f t="shared" si="63"/>
        <v>1.7638096457972294E-2</v>
      </c>
      <c r="N105" s="227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Spinach</v>
      </c>
      <c r="B106" s="75">
        <f t="shared" ref="B106:C106" si="77">(B52/$B$83)</f>
        <v>4.0081345342085684E-2</v>
      </c>
      <c r="C106" s="75">
        <f t="shared" si="77"/>
        <v>-4.0081345342085684E-2</v>
      </c>
      <c r="D106" s="24">
        <f t="shared" si="57"/>
        <v>0</v>
      </c>
      <c r="H106" s="24">
        <f t="shared" si="58"/>
        <v>0.84848484848484851</v>
      </c>
      <c r="I106" s="22">
        <f t="shared" si="59"/>
        <v>0</v>
      </c>
      <c r="J106" s="24">
        <f t="shared" si="60"/>
        <v>3.5276192915944589E-2</v>
      </c>
      <c r="K106" s="22">
        <f t="shared" si="61"/>
        <v>4.0081345342085684E-2</v>
      </c>
      <c r="L106" s="22">
        <f t="shared" si="62"/>
        <v>3.4008414229648461E-2</v>
      </c>
      <c r="M106" s="225">
        <f t="shared" si="63"/>
        <v>3.5276192915944589E-2</v>
      </c>
      <c r="N106" s="227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Other crop: Potatoes</v>
      </c>
      <c r="B107" s="75">
        <f t="shared" ref="B107:C107" si="78">(B53/$B$83)</f>
        <v>0.4649436059681939</v>
      </c>
      <c r="C107" s="75">
        <f t="shared" si="78"/>
        <v>-0.4649436059681939</v>
      </c>
      <c r="D107" s="24">
        <f t="shared" si="57"/>
        <v>0</v>
      </c>
      <c r="H107" s="24">
        <f t="shared" si="58"/>
        <v>0.84848484848484851</v>
      </c>
      <c r="I107" s="22">
        <f t="shared" si="59"/>
        <v>0</v>
      </c>
      <c r="J107" s="24">
        <f t="shared" si="60"/>
        <v>0.40920383782495723</v>
      </c>
      <c r="K107" s="22">
        <f t="shared" si="61"/>
        <v>0.4649436059681939</v>
      </c>
      <c r="L107" s="22">
        <f t="shared" si="62"/>
        <v>0.39449760506392212</v>
      </c>
      <c r="M107" s="225">
        <f t="shared" si="63"/>
        <v>0.40920383782495723</v>
      </c>
      <c r="N107" s="227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Other crop: pumpkin / butternut</v>
      </c>
      <c r="B108" s="75">
        <f t="shared" ref="B108:C108" si="79">(B54/$B$83)</f>
        <v>4.0081345342085684E-2</v>
      </c>
      <c r="C108" s="75">
        <f t="shared" si="79"/>
        <v>-4.0081345342085684E-2</v>
      </c>
      <c r="D108" s="24">
        <f t="shared" si="57"/>
        <v>0</v>
      </c>
      <c r="H108" s="24">
        <f t="shared" si="58"/>
        <v>0.84848484848484851</v>
      </c>
      <c r="I108" s="22">
        <f t="shared" si="59"/>
        <v>0</v>
      </c>
      <c r="J108" s="24">
        <f t="shared" si="60"/>
        <v>3.5276192915944589E-2</v>
      </c>
      <c r="K108" s="22">
        <f t="shared" si="61"/>
        <v>4.0081345342085684E-2</v>
      </c>
      <c r="L108" s="22">
        <f t="shared" si="62"/>
        <v>3.4008414229648461E-2</v>
      </c>
      <c r="M108" s="225">
        <f t="shared" si="63"/>
        <v>3.5276192915944589E-2</v>
      </c>
      <c r="N108" s="227">
        <v>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6.1725271826811952</v>
      </c>
      <c r="C112" s="75">
        <f t="shared" si="83"/>
        <v>0</v>
      </c>
      <c r="D112" s="24">
        <f t="shared" si="57"/>
        <v>6.1725271826811952</v>
      </c>
      <c r="H112" s="24">
        <f t="shared" si="58"/>
        <v>0.57212121212121214</v>
      </c>
      <c r="I112" s="22">
        <f t="shared" si="59"/>
        <v>3.5314337336066961</v>
      </c>
      <c r="J112" s="24">
        <f t="shared" si="60"/>
        <v>3.5314337336066961</v>
      </c>
      <c r="K112" s="22">
        <f t="shared" si="61"/>
        <v>6.1725271826811952</v>
      </c>
      <c r="L112" s="22">
        <f t="shared" si="62"/>
        <v>3.5314337336066961</v>
      </c>
      <c r="M112" s="225">
        <f t="shared" si="63"/>
        <v>3.5314337336066961</v>
      </c>
      <c r="N112" s="227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0.48484848484848486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9.4591975007322215</v>
      </c>
      <c r="C114" s="75">
        <f t="shared" si="85"/>
        <v>0</v>
      </c>
      <c r="D114" s="24">
        <f t="shared" si="57"/>
        <v>9.4591975007322215</v>
      </c>
      <c r="H114" s="24">
        <f t="shared" si="58"/>
        <v>0.57212121212121214</v>
      </c>
      <c r="I114" s="22">
        <f t="shared" si="59"/>
        <v>5.4118075398128589</v>
      </c>
      <c r="J114" s="24">
        <f t="shared" si="60"/>
        <v>5.4118075398128589</v>
      </c>
      <c r="K114" s="22">
        <f t="shared" si="61"/>
        <v>9.4591975007322215</v>
      </c>
      <c r="L114" s="22">
        <f t="shared" si="62"/>
        <v>5.4118075398128589</v>
      </c>
      <c r="M114" s="225">
        <f t="shared" si="63"/>
        <v>5.4118075398128589</v>
      </c>
      <c r="N114" s="227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0.5691551038576167</v>
      </c>
      <c r="C115" s="75">
        <f t="shared" si="86"/>
        <v>0</v>
      </c>
      <c r="D115" s="24">
        <f t="shared" si="57"/>
        <v>0.5691551038576167</v>
      </c>
      <c r="H115" s="24">
        <f t="shared" si="58"/>
        <v>0.7151515151515152</v>
      </c>
      <c r="I115" s="22">
        <f t="shared" si="59"/>
        <v>0.40703213487999257</v>
      </c>
      <c r="J115" s="24">
        <f t="shared" si="60"/>
        <v>0.40703213487999257</v>
      </c>
      <c r="K115" s="22">
        <f t="shared" si="61"/>
        <v>0.5691551038576167</v>
      </c>
      <c r="L115" s="22">
        <f t="shared" si="62"/>
        <v>0.40703213487999257</v>
      </c>
      <c r="M115" s="225">
        <f t="shared" si="63"/>
        <v>0.40703213487999257</v>
      </c>
      <c r="N115" s="227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0.7151515151515152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Remittances: no. times per year</v>
      </c>
      <c r="B117" s="75">
        <f t="shared" ref="B117:C117" si="88">(B63/$B$83)</f>
        <v>0.10020336335521421</v>
      </c>
      <c r="C117" s="75">
        <f t="shared" si="88"/>
        <v>0</v>
      </c>
      <c r="D117" s="24">
        <f t="shared" si="57"/>
        <v>0.10020336335521421</v>
      </c>
      <c r="H117" s="24">
        <f t="shared" si="58"/>
        <v>0.67272727272727284</v>
      </c>
      <c r="I117" s="22">
        <f t="shared" si="59"/>
        <v>6.7409535348053204E-2</v>
      </c>
      <c r="J117" s="24">
        <f t="shared" si="60"/>
        <v>6.7409535348053204E-2</v>
      </c>
      <c r="K117" s="22">
        <f t="shared" si="61"/>
        <v>0.10020336335521421</v>
      </c>
      <c r="L117" s="22">
        <f t="shared" si="62"/>
        <v>6.7409535348053204E-2</v>
      </c>
      <c r="M117" s="225">
        <f t="shared" si="63"/>
        <v>6.7409535348053204E-2</v>
      </c>
      <c r="N117" s="227">
        <v>15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20.024105714968115</v>
      </c>
      <c r="C119" s="22">
        <f>SUM(C91:C118)</f>
        <v>-1.0807934771493402</v>
      </c>
      <c r="D119" s="24">
        <f>SUM(D91:D118)</f>
        <v>18.943312237818773</v>
      </c>
      <c r="E119" s="22"/>
      <c r="F119" s="2"/>
      <c r="G119" s="2"/>
      <c r="H119" s="31"/>
      <c r="I119" s="22">
        <f>SUM(I91:I118)</f>
        <v>10.812704532561529</v>
      </c>
      <c r="J119" s="24">
        <f>SUM(J91:J118)</f>
        <v>12.034930883214974</v>
      </c>
      <c r="K119" s="22">
        <f>SUM(K91:K118)</f>
        <v>20.024105714968115</v>
      </c>
      <c r="L119" s="22">
        <f>SUM(L91:L118)</f>
        <v>11.991005720403894</v>
      </c>
      <c r="M119" s="57">
        <f t="shared" si="50"/>
        <v>12.034930883214974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0.95268990489019179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0.80834294960379915</v>
      </c>
      <c r="J124" s="235">
        <f>IF(SUMPRODUCT($B$124:$B124,$H$124:$H124)&lt;J$119,($B124*$H124),J$119)</f>
        <v>0.80834294960379915</v>
      </c>
      <c r="K124" s="22">
        <f>(B124)</f>
        <v>0.95268990489019179</v>
      </c>
      <c r="L124" s="29">
        <f>IF(SUMPRODUCT($B$124:$B124,$H$124:$H124)&lt;L$119,($B124*$H124),L$119)</f>
        <v>0.80834294960379915</v>
      </c>
      <c r="M124" s="57">
        <f t="shared" si="90"/>
        <v>0.80834294960379915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1.0406898643931759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0.74425093332360459</v>
      </c>
      <c r="J125" s="235">
        <f>IF(SUMPRODUCT($B$124:$B125,$H$124:$H125)&lt;J$119,($B125*$H125),IF(SUMPRODUCT($B$124:$B124,$H$124:$H124)&lt;J$119,J$119-SUMPRODUCT($B$124:$B124,$H$124:$H124),0))</f>
        <v>0.74425093332360459</v>
      </c>
      <c r="K125" s="22">
        <f t="shared" ref="K125:K126" si="91">(B125)</f>
        <v>1.0406898643931759</v>
      </c>
      <c r="L125" s="29">
        <f>IF(SUMPRODUCT($B$124:$B125,$H$124:$H125)&lt;L$119,($B125*$H125),IF(SUMPRODUCT($B$124:$B124,$H$124:$H124)&lt;L$119,L$119-SUMPRODUCT($B$124:$B124,$H$124:$H124),0))</f>
        <v>0.74425093332360459</v>
      </c>
      <c r="M125" s="57">
        <f t="shared" ref="M125:M126" si="92">(J125)</f>
        <v>0.74425093332360459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1.8533614086180419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1.3254342194965392</v>
      </c>
      <c r="K126" s="22">
        <f t="shared" si="91"/>
        <v>1.8533614086180419</v>
      </c>
      <c r="L126" s="29">
        <f>IF(SUMPRODUCT($B$124:$B126,$H$124:$H126)&lt;(L$119-L$128),($B126*$H126),IF(SUMPRODUCT($B$124:$B125,$H$124:$H125)&lt;(L$119-L$128),L$119-L$128-SUMPRODUCT($B$124:$B125,$H$124:$H125),0))</f>
        <v>1.3254342194965392</v>
      </c>
      <c r="M126" s="57">
        <f t="shared" si="92"/>
        <v>1.3254342194965392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2.9058975373012119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2.0781570266760183</v>
      </c>
      <c r="K127" s="22">
        <f>(B127)</f>
        <v>2.9058975373012119</v>
      </c>
      <c r="L127" s="29">
        <f>IF(SUMPRODUCT($B$124:$B127,$H$124:$H127)&lt;(L$119-L$128),($B127*$H127),IF(SUMPRODUCT($B$124:$B126,$H$124:$H126)&lt;(L$119-L128),L$119-L$128-SUMPRODUCT($B$124:$B126,$H$124:$H126),0))</f>
        <v>2.0781570266760183</v>
      </c>
      <c r="M127" s="57">
        <f t="shared" si="90"/>
        <v>2.0781570266760183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0.610559792652553</v>
      </c>
      <c r="C128" s="2"/>
      <c r="D128" s="31"/>
      <c r="E128" s="2"/>
      <c r="F128" s="2"/>
      <c r="G128" s="2"/>
      <c r="H128" s="24"/>
      <c r="I128" s="29">
        <f>(I30)</f>
        <v>10.004361582957729</v>
      </c>
      <c r="J128" s="226">
        <f>(J30)</f>
        <v>7.587595837897998E-2</v>
      </c>
      <c r="K128" s="22">
        <f>(B128)</f>
        <v>0.610559792652553</v>
      </c>
      <c r="L128" s="22">
        <f>IF(L124=L119,0,(L119-L124)/(B119-B124)*K128)</f>
        <v>0.35800615594753965</v>
      </c>
      <c r="M128" s="57">
        <f t="shared" si="90"/>
        <v>7.587595837897998E-2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12.66090720711294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7.002869795736034</v>
      </c>
      <c r="K129" s="29">
        <f>(B129)</f>
        <v>12.66090720711294</v>
      </c>
      <c r="L129" s="60">
        <f>IF(SUM(L124:L128)&gt;L130,0,L130-SUM(L124:L128))</f>
        <v>6.6768144353563939</v>
      </c>
      <c r="M129" s="57">
        <f t="shared" si="90"/>
        <v>7.002869795736034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20.024105714968115</v>
      </c>
      <c r="C130" s="2"/>
      <c r="D130" s="31"/>
      <c r="E130" s="2"/>
      <c r="F130" s="2"/>
      <c r="G130" s="2"/>
      <c r="H130" s="24"/>
      <c r="I130" s="29">
        <f>(I119)</f>
        <v>10.812704532561529</v>
      </c>
      <c r="J130" s="226">
        <f>(J119)</f>
        <v>12.034930883214974</v>
      </c>
      <c r="K130" s="22">
        <f>(B130)</f>
        <v>20.024105714968115</v>
      </c>
      <c r="L130" s="22">
        <f>(L119)</f>
        <v>11.991005720403894</v>
      </c>
      <c r="M130" s="57">
        <f t="shared" si="90"/>
        <v>12.034930883214974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0.74425093332360426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12" operator="equal">
      <formula>16</formula>
    </cfRule>
    <cfRule type="cellIs" dxfId="145" priority="213" operator="equal">
      <formula>15</formula>
    </cfRule>
    <cfRule type="cellIs" dxfId="144" priority="214" operator="equal">
      <formula>14</formula>
    </cfRule>
    <cfRule type="cellIs" dxfId="143" priority="215" operator="equal">
      <formula>13</formula>
    </cfRule>
    <cfRule type="cellIs" dxfId="142" priority="216" operator="equal">
      <formula>12</formula>
    </cfRule>
    <cfRule type="cellIs" dxfId="141" priority="217" operator="equal">
      <formula>11</formula>
    </cfRule>
    <cfRule type="cellIs" dxfId="140" priority="218" operator="equal">
      <formula>10</formula>
    </cfRule>
    <cfRule type="cellIs" dxfId="139" priority="219" operator="equal">
      <formula>9</formula>
    </cfRule>
    <cfRule type="cellIs" dxfId="138" priority="220" operator="equal">
      <formula>8</formula>
    </cfRule>
    <cfRule type="cellIs" dxfId="137" priority="221" operator="equal">
      <formula>7</formula>
    </cfRule>
    <cfRule type="cellIs" dxfId="136" priority="222" operator="equal">
      <formula>6</formula>
    </cfRule>
    <cfRule type="cellIs" dxfId="135" priority="223" operator="equal">
      <formula>5</formula>
    </cfRule>
    <cfRule type="cellIs" dxfId="134" priority="224" operator="equal">
      <formula>4</formula>
    </cfRule>
    <cfRule type="cellIs" dxfId="133" priority="225" operator="equal">
      <formula>3</formula>
    </cfRule>
    <cfRule type="cellIs" dxfId="132" priority="226" operator="equal">
      <formula>2</formula>
    </cfRule>
    <cfRule type="cellIs" dxfId="131" priority="227" operator="equal">
      <formula>1</formula>
    </cfRule>
  </conditionalFormatting>
  <conditionalFormatting sqref="N29">
    <cfRule type="cellIs" dxfId="130" priority="196" operator="equal">
      <formula>16</formula>
    </cfRule>
    <cfRule type="cellIs" dxfId="129" priority="197" operator="equal">
      <formula>15</formula>
    </cfRule>
    <cfRule type="cellIs" dxfId="128" priority="198" operator="equal">
      <formula>14</formula>
    </cfRule>
    <cfRule type="cellIs" dxfId="127" priority="199" operator="equal">
      <formula>13</formula>
    </cfRule>
    <cfRule type="cellIs" dxfId="126" priority="200" operator="equal">
      <formula>12</formula>
    </cfRule>
    <cfRule type="cellIs" dxfId="125" priority="201" operator="equal">
      <formula>11</formula>
    </cfRule>
    <cfRule type="cellIs" dxfId="124" priority="202" operator="equal">
      <formula>10</formula>
    </cfRule>
    <cfRule type="cellIs" dxfId="123" priority="203" operator="equal">
      <formula>9</formula>
    </cfRule>
    <cfRule type="cellIs" dxfId="122" priority="204" operator="equal">
      <formula>8</formula>
    </cfRule>
    <cfRule type="cellIs" dxfId="121" priority="205" operator="equal">
      <formula>7</formula>
    </cfRule>
    <cfRule type="cellIs" dxfId="120" priority="206" operator="equal">
      <formula>6</formula>
    </cfRule>
    <cfRule type="cellIs" dxfId="119" priority="207" operator="equal">
      <formula>5</formula>
    </cfRule>
    <cfRule type="cellIs" dxfId="118" priority="208" operator="equal">
      <formula>4</formula>
    </cfRule>
    <cfRule type="cellIs" dxfId="117" priority="209" operator="equal">
      <formula>3</formula>
    </cfRule>
    <cfRule type="cellIs" dxfId="116" priority="210" operator="equal">
      <formula>2</formula>
    </cfRule>
    <cfRule type="cellIs" dxfId="115" priority="211" operator="equal">
      <formula>1</formula>
    </cfRule>
  </conditionalFormatting>
  <conditionalFormatting sqref="N113:N118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2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111">
    <cfRule type="cellIs" dxfId="82" priority="68" operator="equal">
      <formula>16</formula>
    </cfRule>
    <cfRule type="cellIs" dxfId="81" priority="69" operator="equal">
      <formula>15</formula>
    </cfRule>
    <cfRule type="cellIs" dxfId="80" priority="70" operator="equal">
      <formula>14</formula>
    </cfRule>
    <cfRule type="cellIs" dxfId="79" priority="71" operator="equal">
      <formula>13</formula>
    </cfRule>
    <cfRule type="cellIs" dxfId="78" priority="72" operator="equal">
      <formula>12</formula>
    </cfRule>
    <cfRule type="cellIs" dxfId="77" priority="73" operator="equal">
      <formula>11</formula>
    </cfRule>
    <cfRule type="cellIs" dxfId="76" priority="74" operator="equal">
      <formula>10</formula>
    </cfRule>
    <cfRule type="cellIs" dxfId="75" priority="75" operator="equal">
      <formula>9</formula>
    </cfRule>
    <cfRule type="cellIs" dxfId="74" priority="76" operator="equal">
      <formula>8</formula>
    </cfRule>
    <cfRule type="cellIs" dxfId="73" priority="77" operator="equal">
      <formula>7</formula>
    </cfRule>
    <cfRule type="cellIs" dxfId="72" priority="78" operator="equal">
      <formula>6</formula>
    </cfRule>
    <cfRule type="cellIs" dxfId="71" priority="79" operator="equal">
      <formula>5</formula>
    </cfRule>
    <cfRule type="cellIs" dxfId="70" priority="80" operator="equal">
      <formula>4</formula>
    </cfRule>
    <cfRule type="cellIs" dxfId="69" priority="81" operator="equal">
      <formula>3</formula>
    </cfRule>
    <cfRule type="cellIs" dxfId="68" priority="82" operator="equal">
      <formula>2</formula>
    </cfRule>
    <cfRule type="cellIs" dxfId="67" priority="83" operator="equal">
      <formula>1</formula>
    </cfRule>
  </conditionalFormatting>
  <conditionalFormatting sqref="N91:N104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105:N110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27:N28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6"/>
      <c r="B2" s="246"/>
      <c r="C2" s="246"/>
      <c r="D2" s="246"/>
      <c r="E2" s="246"/>
      <c r="F2" s="247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V.Poor!A3</f>
        <v>Sources of Food : Very Poor HHs</v>
      </c>
      <c r="C3" s="264"/>
      <c r="D3" s="264"/>
      <c r="E3" s="264"/>
      <c r="F3" s="243"/>
      <c r="G3" s="261" t="str">
        <f>Poor!A3</f>
        <v>Sources of Food : Poor HHs</v>
      </c>
      <c r="H3" s="261"/>
      <c r="I3" s="261"/>
      <c r="J3" s="261"/>
      <c r="K3" s="244"/>
      <c r="L3" s="261" t="str">
        <f>Middle!A3</f>
        <v>Sources of Food : Middle HHs</v>
      </c>
      <c r="M3" s="261"/>
      <c r="N3" s="261"/>
      <c r="O3" s="261"/>
      <c r="P3" s="261"/>
      <c r="Q3" s="245"/>
      <c r="R3" s="261" t="str">
        <f>Rich!A3</f>
        <v>Sources of Food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G51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6" t="str">
        <f>Poor!A1</f>
        <v>ZANFL: 59207</v>
      </c>
      <c r="L2" s="266"/>
      <c r="M2" s="266"/>
      <c r="N2" s="266"/>
      <c r="O2" s="266"/>
      <c r="P2" s="266"/>
      <c r="Q2" s="266"/>
      <c r="R2" s="87"/>
      <c r="S2" s="87"/>
      <c r="T2" s="87"/>
      <c r="U2" s="87"/>
      <c r="V2" s="87"/>
    </row>
    <row r="3" spans="1:22" s="92" customFormat="1" ht="17">
      <c r="A3" s="90"/>
      <c r="B3" s="89"/>
      <c r="C3" s="267" t="str">
        <f>V.Poor!A34</f>
        <v>Income : Very Poor HHs</v>
      </c>
      <c r="D3" s="267"/>
      <c r="E3" s="267"/>
      <c r="F3" s="90"/>
      <c r="G3" s="265" t="str">
        <f>Poor!A34</f>
        <v>Income : Poor HHs</v>
      </c>
      <c r="H3" s="265"/>
      <c r="I3" s="265"/>
      <c r="J3" s="265"/>
      <c r="K3" s="89"/>
      <c r="L3" s="265" t="str">
        <f>Middle!A34</f>
        <v>Income : Middle HHs</v>
      </c>
      <c r="M3" s="265"/>
      <c r="N3" s="265"/>
      <c r="O3" s="265"/>
      <c r="P3" s="265"/>
      <c r="Q3" s="91"/>
      <c r="R3" s="265" t="str">
        <f>Rich!A34</f>
        <v>Income : Better-off HHs</v>
      </c>
      <c r="S3" s="265"/>
      <c r="T3" s="265"/>
      <c r="U3" s="265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2845.6206407791028</v>
      </c>
      <c r="C72" s="109">
        <f>Poor!R7</f>
        <v>3139.0437157892707</v>
      </c>
      <c r="D72" s="109">
        <f>Middle!R7</f>
        <v>5752.6982138318717</v>
      </c>
      <c r="E72" s="109">
        <f>Rich!R7</f>
        <v>16251.428681940881</v>
      </c>
      <c r="F72" s="109">
        <f>V.Poor!T7</f>
        <v>3275.3287507154064</v>
      </c>
      <c r="G72" s="109">
        <f>Poor!T7</f>
        <v>3693.7273580226442</v>
      </c>
      <c r="H72" s="109">
        <f>Middle!T7</f>
        <v>7108.708312548004</v>
      </c>
      <c r="I72" s="109">
        <f>Rich!T7</f>
        <v>18152.105120480373</v>
      </c>
    </row>
    <row r="73" spans="1:9">
      <c r="A73" t="str">
        <f>V.Poor!Q8</f>
        <v>Own crops sold</v>
      </c>
      <c r="B73" s="109">
        <f>V.Poor!R8</f>
        <v>1211.2505278786882</v>
      </c>
      <c r="C73" s="109">
        <f>Poor!R8</f>
        <v>3254.1961747752011</v>
      </c>
      <c r="D73" s="109">
        <f>Middle!R8</f>
        <v>23506.728409331092</v>
      </c>
      <c r="E73" s="109">
        <f>Rich!R8</f>
        <v>51200.285656445114</v>
      </c>
      <c r="F73" s="109">
        <f>V.Poor!T8</f>
        <v>174.61003010910653</v>
      </c>
      <c r="G73" s="109">
        <f>Poor!T8</f>
        <v>350.00000000000006</v>
      </c>
      <c r="H73" s="109">
        <f>Middle!T8</f>
        <v>11724.420339206097</v>
      </c>
      <c r="I73" s="109">
        <f>Rich!T8</f>
        <v>51409.183344551893</v>
      </c>
    </row>
    <row r="74" spans="1:9">
      <c r="A74" t="str">
        <f>V.Poor!Q9</f>
        <v>Animal products consumed</v>
      </c>
      <c r="B74" s="109">
        <f>V.Poor!R9</f>
        <v>1037.0605064843123</v>
      </c>
      <c r="C74" s="109">
        <f>Poor!R9</f>
        <v>2050.5158453221352</v>
      </c>
      <c r="D74" s="109">
        <f>Middle!R9</f>
        <v>2671.9956497648514</v>
      </c>
      <c r="E74" s="109">
        <f>Rich!R9</f>
        <v>3345.9897135608667</v>
      </c>
      <c r="F74" s="109">
        <f>V.Poor!T9</f>
        <v>565.79171147831516</v>
      </c>
      <c r="G74" s="109">
        <f>Poor!T9</f>
        <v>1118.7050922141784</v>
      </c>
      <c r="H74" s="109">
        <f>Middle!T9</f>
        <v>1319.9567999679357</v>
      </c>
      <c r="I74" s="109">
        <f>Rich!T9</f>
        <v>1843.4831574624613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8316.9511901782571</v>
      </c>
      <c r="E75" s="109">
        <f>Rich!R10</f>
        <v>18902.16179585968</v>
      </c>
      <c r="F75" s="109">
        <f>V.Poor!T10</f>
        <v>0</v>
      </c>
      <c r="G75" s="109">
        <f>Poor!T10</f>
        <v>0</v>
      </c>
      <c r="H75" s="109">
        <f>Middle!T10</f>
        <v>3876.357060031411</v>
      </c>
      <c r="I75" s="109">
        <f>Rich!T10</f>
        <v>7292.521577910421</v>
      </c>
    </row>
    <row r="76" spans="1:9">
      <c r="A76" t="str">
        <f>V.Poor!Q11</f>
        <v>Animals sold</v>
      </c>
      <c r="B76" s="109">
        <f>V.Poor!R11</f>
        <v>1209.7383549350195</v>
      </c>
      <c r="C76" s="109">
        <f>Poor!R11</f>
        <v>6503.0997442475618</v>
      </c>
      <c r="D76" s="109">
        <f>Middle!R11</f>
        <v>22289.429189677729</v>
      </c>
      <c r="E76" s="109">
        <f>Rich!R11</f>
        <v>35243.080668380368</v>
      </c>
      <c r="F76" s="109">
        <f>V.Poor!T11</f>
        <v>788.24</v>
      </c>
      <c r="G76" s="109">
        <f>Poor!T11</f>
        <v>2845.6879999999996</v>
      </c>
      <c r="H76" s="109">
        <f>Middle!T11</f>
        <v>11750.896296847424</v>
      </c>
      <c r="I76" s="109">
        <f>Rich!T11</f>
        <v>22105.071835447976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12420.176668135882</v>
      </c>
      <c r="C78" s="109">
        <f>Poor!R13</f>
        <v>25541.766113170444</v>
      </c>
      <c r="D78" s="109">
        <f>Middle!R13</f>
        <v>48608.336911454768</v>
      </c>
      <c r="E78" s="109">
        <f>Rich!R13</f>
        <v>0</v>
      </c>
      <c r="F78" s="109">
        <f>V.Poor!T13</f>
        <v>10312.214108992182</v>
      </c>
      <c r="G78" s="109">
        <f>Poor!T13</f>
        <v>19704.971287193752</v>
      </c>
      <c r="H78" s="109">
        <f>Middle!T13</f>
        <v>37162.74549515031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174655.97499374344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109032</v>
      </c>
    </row>
    <row r="80" spans="1:9">
      <c r="A80" t="str">
        <f>V.Poor!Q15</f>
        <v>Labour - public works</v>
      </c>
      <c r="B80" s="109">
        <f>V.Poor!R15</f>
        <v>18871.918336986302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14726.4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30848.328050842993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18066.397833849598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12702.252726817702</v>
      </c>
      <c r="E82" s="109">
        <f>Rich!R17</f>
        <v>267654.61102937302</v>
      </c>
      <c r="F82" s="109">
        <f>V.Poor!T17</f>
        <v>0</v>
      </c>
      <c r="G82" s="109">
        <f>Poor!T17</f>
        <v>0</v>
      </c>
      <c r="H82" s="109">
        <f>Middle!T17</f>
        <v>7929.6</v>
      </c>
      <c r="I82" s="109">
        <f>Rich!T17</f>
        <v>167088</v>
      </c>
    </row>
    <row r="83" spans="1:9">
      <c r="A83" t="str">
        <f>V.Poor!Q18</f>
        <v>Food transfer - official</v>
      </c>
      <c r="B83" s="109">
        <f>V.Poor!R18</f>
        <v>3705.3892346012062</v>
      </c>
      <c r="C83" s="109">
        <f>Poor!R18</f>
        <v>3705.3892346012058</v>
      </c>
      <c r="D83" s="109">
        <f>Middle!R18</f>
        <v>3368.5356678192775</v>
      </c>
      <c r="E83" s="109">
        <f>Rich!R18</f>
        <v>0</v>
      </c>
      <c r="F83" s="109">
        <f>V.Poor!T18</f>
        <v>4043.1170671912068</v>
      </c>
      <c r="G83" s="109">
        <f>Poor!T18</f>
        <v>4043.1170671912068</v>
      </c>
      <c r="H83" s="109">
        <f>Middle!T18</f>
        <v>3675.560970173824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42824.737764699697</v>
      </c>
      <c r="C85" s="109">
        <f>Poor!R20</f>
        <v>42824.737764699683</v>
      </c>
      <c r="D85" s="109">
        <f>Middle!R20</f>
        <v>12883.713480057955</v>
      </c>
      <c r="E85" s="109">
        <f>Rich!R20</f>
        <v>16104.641850072447</v>
      </c>
      <c r="F85" s="109">
        <f>V.Poor!T20</f>
        <v>33417.600000000006</v>
      </c>
      <c r="G85" s="109">
        <f>Poor!T20</f>
        <v>33417.600000000006</v>
      </c>
      <c r="H85" s="109">
        <f>Middle!T20</f>
        <v>10053.599999999999</v>
      </c>
      <c r="I85" s="109">
        <f>Rich!T20</f>
        <v>12567</v>
      </c>
    </row>
    <row r="86" spans="1:9">
      <c r="A86" t="str">
        <f>V.Poor!Q21</f>
        <v>Cash transfer - gifts</v>
      </c>
      <c r="B86" s="109">
        <f>V.Poor!R21</f>
        <v>1512.1729436687742</v>
      </c>
      <c r="C86" s="109">
        <f>Poor!R21</f>
        <v>0</v>
      </c>
      <c r="D86" s="109">
        <f>Middle!R21</f>
        <v>1512.172943668774</v>
      </c>
      <c r="E86" s="109">
        <f>Rich!R21</f>
        <v>2835.3242693789521</v>
      </c>
      <c r="F86" s="109">
        <f>V.Poor!T21</f>
        <v>1110.0000000000002</v>
      </c>
      <c r="G86" s="109">
        <f>Poor!T21</f>
        <v>0</v>
      </c>
      <c r="H86" s="109">
        <f>Middle!T21</f>
        <v>1110.0000000000002</v>
      </c>
      <c r="I86" s="109">
        <f>Rich!T21</f>
        <v>2081.2500000000005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85638.064978168986</v>
      </c>
      <c r="C88" s="109">
        <f>Poor!R23</f>
        <v>87018.748592605494</v>
      </c>
      <c r="D88" s="109">
        <f>Middle!R23</f>
        <v>172461.14243344529</v>
      </c>
      <c r="E88" s="109">
        <f>Rich!R23</f>
        <v>586193.49865875475</v>
      </c>
      <c r="F88" s="109">
        <f>V.Poor!T23</f>
        <v>68413.301668486223</v>
      </c>
      <c r="G88" s="109">
        <f>Poor!T23</f>
        <v>65173.808804621789</v>
      </c>
      <c r="H88" s="109">
        <f>Middle!T23</f>
        <v>113778.24310777462</v>
      </c>
      <c r="I88" s="109">
        <f>Rich!T23</f>
        <v>391570.61503585312</v>
      </c>
    </row>
    <row r="89" spans="1:9">
      <c r="A89" t="str">
        <f>V.Poor!Q24</f>
        <v>Food Poverty line</v>
      </c>
      <c r="B89" s="109">
        <f>V.Poor!R24</f>
        <v>48896.472302880473</v>
      </c>
      <c r="C89" s="109">
        <f>Poor!R24</f>
        <v>48896.472302880473</v>
      </c>
      <c r="D89" s="109">
        <f>Middle!R24</f>
        <v>48896.472302880473</v>
      </c>
      <c r="E89" s="109">
        <f>Rich!R24</f>
        <v>48896.472302880487</v>
      </c>
      <c r="F89" s="109">
        <f>V.Poor!T24</f>
        <v>48896.472302880473</v>
      </c>
      <c r="G89" s="109">
        <f>Poor!T24</f>
        <v>48896.472302880473</v>
      </c>
      <c r="H89" s="109">
        <f>Middle!T24</f>
        <v>48896.472302880473</v>
      </c>
      <c r="I89" s="109">
        <f>Rich!T24</f>
        <v>48896.472302880487</v>
      </c>
    </row>
    <row r="90" spans="1:9">
      <c r="A90" s="108" t="str">
        <f>V.Poor!Q25</f>
        <v>Lower Bound Poverty line</v>
      </c>
      <c r="B90" s="109">
        <f>V.Poor!R25</f>
        <v>71875.005636213813</v>
      </c>
      <c r="C90" s="109">
        <f>Poor!R25</f>
        <v>71875.005636213813</v>
      </c>
      <c r="D90" s="109">
        <f>Middle!R25</f>
        <v>71875.005636213813</v>
      </c>
      <c r="E90" s="109">
        <f>Rich!R25</f>
        <v>71875.005636213813</v>
      </c>
      <c r="F90" s="109">
        <f>V.Poor!T25</f>
        <v>71875.005636213813</v>
      </c>
      <c r="G90" s="109">
        <f>Poor!T25</f>
        <v>71875.005636213813</v>
      </c>
      <c r="H90" s="109">
        <f>Middle!T25</f>
        <v>71875.005636213813</v>
      </c>
      <c r="I90" s="109">
        <f>Rich!T25</f>
        <v>71875.005636213813</v>
      </c>
    </row>
    <row r="91" spans="1:9">
      <c r="A91" s="108" t="str">
        <f>V.Poor!Q26</f>
        <v>Upper Bound Poverty line</v>
      </c>
      <c r="B91" s="109">
        <f>V.Poor!R26</f>
        <v>112797.40563621381</v>
      </c>
      <c r="C91" s="109">
        <f>Poor!R26</f>
        <v>112797.40563621381</v>
      </c>
      <c r="D91" s="109">
        <f>Middle!R26</f>
        <v>112797.40563621381</v>
      </c>
      <c r="E91" s="109">
        <f>Rich!R26</f>
        <v>112797.40563621381</v>
      </c>
      <c r="F91" s="109">
        <f>V.Poor!T26</f>
        <v>112797.40563621381</v>
      </c>
      <c r="G91" s="109">
        <f>Poor!T26</f>
        <v>112797.40563621381</v>
      </c>
      <c r="H91" s="109">
        <f>Middle!T26</f>
        <v>112797.40563621381</v>
      </c>
      <c r="I91" s="109">
        <f>Rich!T26</f>
        <v>112797.40563621381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48896.472302880473</v>
      </c>
      <c r="G93" s="109">
        <f>Poor!T24</f>
        <v>48896.472302880473</v>
      </c>
      <c r="H93" s="109">
        <f>Middle!T24</f>
        <v>48896.472302880473</v>
      </c>
      <c r="I93" s="109">
        <f>Rich!T24</f>
        <v>48896.472302880487</v>
      </c>
    </row>
    <row r="94" spans="1:9">
      <c r="A94" t="str">
        <f>V.Poor!Q25</f>
        <v>Lower Bound Poverty line</v>
      </c>
      <c r="F94" s="109">
        <f>V.Poor!T25</f>
        <v>71875.005636213813</v>
      </c>
      <c r="G94" s="109">
        <f>Poor!T25</f>
        <v>71875.005636213813</v>
      </c>
      <c r="H94" s="109">
        <f>Middle!T25</f>
        <v>71875.005636213813</v>
      </c>
      <c r="I94" s="109">
        <f>Rich!T25</f>
        <v>71875.005636213813</v>
      </c>
    </row>
    <row r="95" spans="1:9">
      <c r="A95" t="str">
        <f>V.Poor!Q26</f>
        <v>Upper Bound Poverty line</v>
      </c>
      <c r="F95" s="109">
        <f>V.Poor!T26</f>
        <v>112797.40563621381</v>
      </c>
      <c r="G95" s="109">
        <f>Poor!T26</f>
        <v>112797.40563621381</v>
      </c>
      <c r="H95" s="109">
        <f>Middle!T26</f>
        <v>112797.40563621381</v>
      </c>
      <c r="I95" s="109">
        <f>Rich!T26</f>
        <v>112797.40563621381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0</v>
      </c>
      <c r="G98" s="237">
        <f t="shared" si="0"/>
        <v>0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0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3461.7039677275898</v>
      </c>
      <c r="G99" s="237">
        <f t="shared" si="0"/>
        <v>6701.196831592024</v>
      </c>
      <c r="H99" s="237">
        <f t="shared" si="0"/>
        <v>0</v>
      </c>
      <c r="I99" s="237">
        <f t="shared" si="0"/>
        <v>0</v>
      </c>
    </row>
    <row r="100" spans="1:9">
      <c r="A100" t="s">
        <v>143</v>
      </c>
      <c r="B100" s="237">
        <f>IF(B91&gt;B$88,B91-B$88,0)</f>
        <v>27159.340658044821</v>
      </c>
      <c r="C100" s="237">
        <f t="shared" si="0"/>
        <v>25778.657043608313</v>
      </c>
      <c r="D100" s="237">
        <f t="shared" si="0"/>
        <v>0</v>
      </c>
      <c r="E100" s="237">
        <f t="shared" si="0"/>
        <v>0</v>
      </c>
      <c r="F100" s="237">
        <f t="shared" si="0"/>
        <v>44384.103967727584</v>
      </c>
      <c r="G100" s="237">
        <f t="shared" si="0"/>
        <v>47623.596831592018</v>
      </c>
      <c r="H100" s="237">
        <f t="shared" si="0"/>
        <v>0</v>
      </c>
      <c r="I100" s="237">
        <f t="shared" si="0"/>
        <v>0</v>
      </c>
    </row>
    <row r="101" spans="1:9">
      <c r="A101" t="s">
        <v>144</v>
      </c>
      <c r="B101" s="237">
        <f>IF(B92&gt;B$88,B92-B$88,0)</f>
        <v>0</v>
      </c>
      <c r="C101" s="237">
        <f t="shared" si="0"/>
        <v>0</v>
      </c>
      <c r="D101" s="237">
        <f t="shared" si="0"/>
        <v>0</v>
      </c>
      <c r="E101" s="237">
        <f t="shared" si="0"/>
        <v>0</v>
      </c>
      <c r="F101" s="237">
        <f t="shared" si="0"/>
        <v>0</v>
      </c>
      <c r="G101" s="237">
        <f t="shared" si="0"/>
        <v>0</v>
      </c>
      <c r="H101" s="237">
        <f t="shared" si="0"/>
        <v>0</v>
      </c>
      <c r="I101" s="237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9" customFormat="1" ht="19">
      <c r="A2" s="246"/>
      <c r="B2" s="246"/>
      <c r="C2" s="246"/>
      <c r="D2" s="246"/>
      <c r="E2" s="246"/>
      <c r="F2" s="246"/>
      <c r="G2" s="244"/>
      <c r="H2" s="244"/>
      <c r="I2" s="244"/>
      <c r="J2" s="244"/>
      <c r="K2" s="262" t="str">
        <f>Poor!A1</f>
        <v>ZANFL: 59207</v>
      </c>
      <c r="L2" s="262"/>
      <c r="M2" s="262"/>
      <c r="N2" s="262"/>
      <c r="O2" s="262"/>
      <c r="P2" s="262"/>
      <c r="Q2" s="262"/>
      <c r="R2" s="246"/>
      <c r="S2" s="246"/>
      <c r="T2" s="246"/>
      <c r="U2" s="246"/>
      <c r="V2" s="246"/>
    </row>
    <row r="3" spans="1:22" s="92" customFormat="1" ht="17">
      <c r="A3" s="90"/>
      <c r="B3" s="263" t="str">
        <f>V.Poor!A67</f>
        <v>Expenditure : Very Poor HHs</v>
      </c>
      <c r="C3" s="263"/>
      <c r="D3" s="263"/>
      <c r="E3" s="263"/>
      <c r="F3" s="248"/>
      <c r="G3" s="261" t="str">
        <f>Poor!A67</f>
        <v>Expenditure : Poor HHs</v>
      </c>
      <c r="H3" s="261"/>
      <c r="I3" s="261"/>
      <c r="J3" s="261"/>
      <c r="K3" s="244"/>
      <c r="L3" s="261" t="str">
        <f>Middle!A67</f>
        <v>Expenditure : Middle HHs</v>
      </c>
      <c r="M3" s="261"/>
      <c r="N3" s="261"/>
      <c r="O3" s="261"/>
      <c r="P3" s="261"/>
      <c r="Q3" s="245"/>
      <c r="R3" s="261" t="str">
        <f>Rich!A67</f>
        <v>Expenditure : Better-off HHs</v>
      </c>
      <c r="S3" s="261"/>
      <c r="T3" s="261"/>
      <c r="U3" s="261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0.35</v>
      </c>
      <c r="C2" s="202">
        <f>[1]WB!$CK$10</f>
        <v>0.35</v>
      </c>
      <c r="D2" s="202">
        <f>[1]WB!$CK$11</f>
        <v>0.2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2845.6206407791028</v>
      </c>
      <c r="C3" s="203">
        <f>Income!C72</f>
        <v>3139.0437157892707</v>
      </c>
      <c r="D3" s="203">
        <f>Income!D72</f>
        <v>5752.6982138318717</v>
      </c>
      <c r="E3" s="203">
        <f>Income!E72</f>
        <v>16251.428681940881</v>
      </c>
      <c r="F3" s="204">
        <f>IF(F$2&lt;=($B$2+$C$2+$D$2),IF(F$2&lt;=($B$2+$C$2),IF(F$2&lt;=$B$2,$B3,$C3),$D3),$E3)</f>
        <v>2845.6206407791028</v>
      </c>
      <c r="G3" s="204">
        <f t="shared" ref="G3:AW7" si="0">IF(G$2&lt;=($B$2+$C$2+$D$2),IF(G$2&lt;=($B$2+$C$2),IF(G$2&lt;=$B$2,$B3,$C3),$D3),$E3)</f>
        <v>2845.6206407791028</v>
      </c>
      <c r="H3" s="204">
        <f t="shared" si="0"/>
        <v>2845.6206407791028</v>
      </c>
      <c r="I3" s="204">
        <f t="shared" si="0"/>
        <v>2845.6206407791028</v>
      </c>
      <c r="J3" s="204">
        <f t="shared" si="0"/>
        <v>2845.6206407791028</v>
      </c>
      <c r="K3" s="204">
        <f t="shared" si="0"/>
        <v>2845.6206407791028</v>
      </c>
      <c r="L3" s="204">
        <f t="shared" si="0"/>
        <v>2845.6206407791028</v>
      </c>
      <c r="M3" s="204">
        <f t="shared" si="0"/>
        <v>2845.6206407791028</v>
      </c>
      <c r="N3" s="204">
        <f t="shared" si="0"/>
        <v>2845.6206407791028</v>
      </c>
      <c r="O3" s="204">
        <f t="shared" si="0"/>
        <v>2845.6206407791028</v>
      </c>
      <c r="P3" s="204">
        <f t="shared" si="0"/>
        <v>2845.6206407791028</v>
      </c>
      <c r="Q3" s="204">
        <f t="shared" si="0"/>
        <v>2845.6206407791028</v>
      </c>
      <c r="R3" s="204">
        <f t="shared" si="0"/>
        <v>2845.6206407791028</v>
      </c>
      <c r="S3" s="204">
        <f t="shared" si="0"/>
        <v>2845.6206407791028</v>
      </c>
      <c r="T3" s="204">
        <f t="shared" si="0"/>
        <v>2845.6206407791028</v>
      </c>
      <c r="U3" s="204">
        <f t="shared" si="0"/>
        <v>2845.6206407791028</v>
      </c>
      <c r="V3" s="204">
        <f t="shared" si="0"/>
        <v>2845.6206407791028</v>
      </c>
      <c r="W3" s="204">
        <f t="shared" si="0"/>
        <v>2845.6206407791028</v>
      </c>
      <c r="X3" s="204">
        <f t="shared" si="0"/>
        <v>2845.6206407791028</v>
      </c>
      <c r="Y3" s="204">
        <f t="shared" si="0"/>
        <v>2845.6206407791028</v>
      </c>
      <c r="Z3" s="204">
        <f t="shared" si="0"/>
        <v>2845.6206407791028</v>
      </c>
      <c r="AA3" s="204">
        <f t="shared" si="0"/>
        <v>2845.6206407791028</v>
      </c>
      <c r="AB3" s="204">
        <f t="shared" si="0"/>
        <v>2845.6206407791028</v>
      </c>
      <c r="AC3" s="204">
        <f t="shared" si="0"/>
        <v>2845.6206407791028</v>
      </c>
      <c r="AD3" s="204">
        <f t="shared" si="0"/>
        <v>2845.6206407791028</v>
      </c>
      <c r="AE3" s="204">
        <f t="shared" si="0"/>
        <v>2845.6206407791028</v>
      </c>
      <c r="AF3" s="204">
        <f t="shared" si="0"/>
        <v>2845.6206407791028</v>
      </c>
      <c r="AG3" s="204">
        <f t="shared" si="0"/>
        <v>2845.6206407791028</v>
      </c>
      <c r="AH3" s="204">
        <f t="shared" si="0"/>
        <v>2845.6206407791028</v>
      </c>
      <c r="AI3" s="204">
        <f t="shared" si="0"/>
        <v>2845.6206407791028</v>
      </c>
      <c r="AJ3" s="204">
        <f t="shared" si="0"/>
        <v>2845.6206407791028</v>
      </c>
      <c r="AK3" s="204">
        <f t="shared" si="0"/>
        <v>2845.6206407791028</v>
      </c>
      <c r="AL3" s="204">
        <f t="shared" si="0"/>
        <v>2845.6206407791028</v>
      </c>
      <c r="AM3" s="204">
        <f t="shared" si="0"/>
        <v>2845.6206407791028</v>
      </c>
      <c r="AN3" s="204">
        <f t="shared" si="0"/>
        <v>2845.6206407791028</v>
      </c>
      <c r="AO3" s="204">
        <f t="shared" si="0"/>
        <v>3139.0437157892707</v>
      </c>
      <c r="AP3" s="204">
        <f t="shared" si="0"/>
        <v>3139.0437157892707</v>
      </c>
      <c r="AQ3" s="204">
        <f t="shared" si="0"/>
        <v>3139.0437157892707</v>
      </c>
      <c r="AR3" s="204">
        <f t="shared" si="0"/>
        <v>3139.0437157892707</v>
      </c>
      <c r="AS3" s="204">
        <f t="shared" si="0"/>
        <v>3139.0437157892707</v>
      </c>
      <c r="AT3" s="204">
        <f t="shared" si="0"/>
        <v>3139.0437157892707</v>
      </c>
      <c r="AU3" s="204">
        <f t="shared" si="0"/>
        <v>3139.0437157892707</v>
      </c>
      <c r="AV3" s="204">
        <f t="shared" si="0"/>
        <v>3139.0437157892707</v>
      </c>
      <c r="AW3" s="204">
        <f t="shared" si="0"/>
        <v>3139.0437157892707</v>
      </c>
      <c r="AX3" s="204">
        <f t="shared" ref="AX3:BZ10" si="1">IF(AX$2&lt;=($B$2+$C$2+$D$2),IF(AX$2&lt;=($B$2+$C$2),IF(AX$2&lt;=$B$2,$B3,$C3),$D3),$E3)</f>
        <v>3139.0437157892707</v>
      </c>
      <c r="AY3" s="204">
        <f t="shared" si="1"/>
        <v>3139.0437157892707</v>
      </c>
      <c r="AZ3" s="204">
        <f t="shared" si="1"/>
        <v>3139.0437157892707</v>
      </c>
      <c r="BA3" s="204">
        <f t="shared" si="1"/>
        <v>3139.0437157892707</v>
      </c>
      <c r="BB3" s="204">
        <f t="shared" si="1"/>
        <v>3139.0437157892707</v>
      </c>
      <c r="BC3" s="204">
        <f t="shared" si="1"/>
        <v>3139.0437157892707</v>
      </c>
      <c r="BD3" s="204">
        <f t="shared" si="1"/>
        <v>3139.0437157892707</v>
      </c>
      <c r="BE3" s="204">
        <f t="shared" si="1"/>
        <v>3139.0437157892707</v>
      </c>
      <c r="BF3" s="204">
        <f t="shared" si="1"/>
        <v>3139.0437157892707</v>
      </c>
      <c r="BG3" s="204">
        <f t="shared" si="1"/>
        <v>3139.0437157892707</v>
      </c>
      <c r="BH3" s="204">
        <f t="shared" si="1"/>
        <v>3139.0437157892707</v>
      </c>
      <c r="BI3" s="204">
        <f t="shared" si="1"/>
        <v>3139.0437157892707</v>
      </c>
      <c r="BJ3" s="204">
        <f t="shared" si="1"/>
        <v>3139.0437157892707</v>
      </c>
      <c r="BK3" s="204">
        <f t="shared" si="1"/>
        <v>3139.0437157892707</v>
      </c>
      <c r="BL3" s="204">
        <f t="shared" si="1"/>
        <v>3139.0437157892707</v>
      </c>
      <c r="BM3" s="204">
        <f t="shared" si="1"/>
        <v>3139.0437157892707</v>
      </c>
      <c r="BN3" s="204">
        <f t="shared" si="1"/>
        <v>3139.0437157892707</v>
      </c>
      <c r="BO3" s="204">
        <f t="shared" si="1"/>
        <v>3139.0437157892707</v>
      </c>
      <c r="BP3" s="204">
        <f t="shared" si="1"/>
        <v>3139.0437157892707</v>
      </c>
      <c r="BQ3" s="204">
        <f t="shared" si="1"/>
        <v>3139.0437157892707</v>
      </c>
      <c r="BR3" s="204">
        <f t="shared" si="1"/>
        <v>3139.0437157892707</v>
      </c>
      <c r="BS3" s="204">
        <f t="shared" si="1"/>
        <v>3139.0437157892707</v>
      </c>
      <c r="BT3" s="204">
        <f t="shared" si="1"/>
        <v>3139.0437157892707</v>
      </c>
      <c r="BU3" s="204">
        <f t="shared" si="1"/>
        <v>3139.0437157892707</v>
      </c>
      <c r="BV3" s="204">
        <f t="shared" si="1"/>
        <v>3139.0437157892707</v>
      </c>
      <c r="BW3" s="204">
        <f t="shared" si="1"/>
        <v>3139.0437157892707</v>
      </c>
      <c r="BX3" s="204">
        <f t="shared" si="1"/>
        <v>5752.6982138318717</v>
      </c>
      <c r="BY3" s="204">
        <f t="shared" si="1"/>
        <v>5752.6982138318717</v>
      </c>
      <c r="BZ3" s="204">
        <f t="shared" si="1"/>
        <v>5752.6982138318717</v>
      </c>
      <c r="CA3" s="204">
        <f t="shared" ref="CA3:CR15" si="2">IF(CA$2&lt;=($B$2+$C$2+$D$2),IF(CA$2&lt;=($B$2+$C$2),IF(CA$2&lt;=$B$2,$B3,$C3),$D3),$E3)</f>
        <v>5752.6982138318717</v>
      </c>
      <c r="CB3" s="204">
        <f t="shared" si="2"/>
        <v>5752.6982138318717</v>
      </c>
      <c r="CC3" s="204">
        <f t="shared" si="2"/>
        <v>5752.6982138318717</v>
      </c>
      <c r="CD3" s="204">
        <f t="shared" si="2"/>
        <v>5752.6982138318717</v>
      </c>
      <c r="CE3" s="204">
        <f t="shared" si="2"/>
        <v>5752.6982138318717</v>
      </c>
      <c r="CF3" s="204">
        <f t="shared" si="2"/>
        <v>5752.6982138318717</v>
      </c>
      <c r="CG3" s="204">
        <f t="shared" si="2"/>
        <v>5752.6982138318717</v>
      </c>
      <c r="CH3" s="204">
        <f t="shared" si="2"/>
        <v>5752.6982138318717</v>
      </c>
      <c r="CI3" s="204">
        <f t="shared" si="2"/>
        <v>5752.6982138318717</v>
      </c>
      <c r="CJ3" s="204">
        <f t="shared" si="2"/>
        <v>5752.6982138318717</v>
      </c>
      <c r="CK3" s="204">
        <f t="shared" si="2"/>
        <v>5752.6982138318717</v>
      </c>
      <c r="CL3" s="204">
        <f t="shared" si="2"/>
        <v>5752.6982138318717</v>
      </c>
      <c r="CM3" s="204">
        <f t="shared" si="2"/>
        <v>5752.6982138318717</v>
      </c>
      <c r="CN3" s="204">
        <f t="shared" si="2"/>
        <v>5752.6982138318717</v>
      </c>
      <c r="CO3" s="204">
        <f t="shared" si="2"/>
        <v>5752.6982138318717</v>
      </c>
      <c r="CP3" s="204">
        <f t="shared" si="2"/>
        <v>5752.6982138318717</v>
      </c>
      <c r="CQ3" s="204">
        <f t="shared" si="2"/>
        <v>5752.6982138318717</v>
      </c>
      <c r="CR3" s="204">
        <f t="shared" si="2"/>
        <v>16251.428681940881</v>
      </c>
      <c r="CS3" s="204">
        <f t="shared" ref="CS3:DA15" si="3">IF(CS$2&lt;=($B$2+$C$2+$D$2),IF(CS$2&lt;=($B$2+$C$2),IF(CS$2&lt;=$B$2,$B3,$C3),$D3),$E3)</f>
        <v>16251.428681940881</v>
      </c>
      <c r="CT3" s="204">
        <f t="shared" si="3"/>
        <v>16251.428681940881</v>
      </c>
      <c r="CU3" s="204">
        <f t="shared" si="3"/>
        <v>16251.428681940881</v>
      </c>
      <c r="CV3" s="204">
        <f t="shared" si="3"/>
        <v>16251.428681940881</v>
      </c>
      <c r="CW3" s="204">
        <f t="shared" si="3"/>
        <v>16251.428681940881</v>
      </c>
      <c r="CX3" s="204">
        <f t="shared" si="3"/>
        <v>16251.428681940881</v>
      </c>
      <c r="CY3" s="204">
        <f t="shared" si="3"/>
        <v>16251.428681940881</v>
      </c>
      <c r="CZ3" s="204">
        <f t="shared" si="3"/>
        <v>16251.428681940881</v>
      </c>
      <c r="DA3" s="204">
        <f t="shared" si="3"/>
        <v>16251.428681940881</v>
      </c>
      <c r="DB3" s="204"/>
    </row>
    <row r="4" spans="1:106">
      <c r="A4" s="201" t="str">
        <f>Income!A73</f>
        <v>Own crops sold</v>
      </c>
      <c r="B4" s="203">
        <f>Income!B73</f>
        <v>1211.2505278786882</v>
      </c>
      <c r="C4" s="203">
        <f>Income!C73</f>
        <v>3254.1961747752011</v>
      </c>
      <c r="D4" s="203">
        <f>Income!D73</f>
        <v>23506.728409331092</v>
      </c>
      <c r="E4" s="203">
        <f>Income!E73</f>
        <v>51200.285656445114</v>
      </c>
      <c r="F4" s="204">
        <f t="shared" ref="F4:U17" si="4">IF(F$2&lt;=($B$2+$C$2+$D$2),IF(F$2&lt;=($B$2+$C$2),IF(F$2&lt;=$B$2,$B4,$C4),$D4),$E4)</f>
        <v>1211.2505278786882</v>
      </c>
      <c r="G4" s="204">
        <f t="shared" si="0"/>
        <v>1211.2505278786882</v>
      </c>
      <c r="H4" s="204">
        <f t="shared" si="0"/>
        <v>1211.2505278786882</v>
      </c>
      <c r="I4" s="204">
        <f t="shared" si="0"/>
        <v>1211.2505278786882</v>
      </c>
      <c r="J4" s="204">
        <f t="shared" si="0"/>
        <v>1211.2505278786882</v>
      </c>
      <c r="K4" s="204">
        <f t="shared" si="0"/>
        <v>1211.2505278786882</v>
      </c>
      <c r="L4" s="204">
        <f t="shared" si="0"/>
        <v>1211.2505278786882</v>
      </c>
      <c r="M4" s="204">
        <f t="shared" si="0"/>
        <v>1211.2505278786882</v>
      </c>
      <c r="N4" s="204">
        <f t="shared" si="0"/>
        <v>1211.2505278786882</v>
      </c>
      <c r="O4" s="204">
        <f t="shared" si="0"/>
        <v>1211.2505278786882</v>
      </c>
      <c r="P4" s="204">
        <f t="shared" si="0"/>
        <v>1211.2505278786882</v>
      </c>
      <c r="Q4" s="204">
        <f t="shared" si="0"/>
        <v>1211.2505278786882</v>
      </c>
      <c r="R4" s="204">
        <f t="shared" si="0"/>
        <v>1211.2505278786882</v>
      </c>
      <c r="S4" s="204">
        <f t="shared" si="0"/>
        <v>1211.2505278786882</v>
      </c>
      <c r="T4" s="204">
        <f t="shared" si="0"/>
        <v>1211.2505278786882</v>
      </c>
      <c r="U4" s="204">
        <f t="shared" si="0"/>
        <v>1211.2505278786882</v>
      </c>
      <c r="V4" s="204">
        <f t="shared" si="0"/>
        <v>1211.2505278786882</v>
      </c>
      <c r="W4" s="204">
        <f t="shared" si="0"/>
        <v>1211.2505278786882</v>
      </c>
      <c r="X4" s="204">
        <f t="shared" si="0"/>
        <v>1211.2505278786882</v>
      </c>
      <c r="Y4" s="204">
        <f t="shared" si="0"/>
        <v>1211.2505278786882</v>
      </c>
      <c r="Z4" s="204">
        <f t="shared" si="0"/>
        <v>1211.2505278786882</v>
      </c>
      <c r="AA4" s="204">
        <f t="shared" si="0"/>
        <v>1211.2505278786882</v>
      </c>
      <c r="AB4" s="204">
        <f t="shared" si="0"/>
        <v>1211.2505278786882</v>
      </c>
      <c r="AC4" s="204">
        <f t="shared" si="0"/>
        <v>1211.2505278786882</v>
      </c>
      <c r="AD4" s="204">
        <f t="shared" si="0"/>
        <v>1211.2505278786882</v>
      </c>
      <c r="AE4" s="204">
        <f t="shared" si="0"/>
        <v>1211.2505278786882</v>
      </c>
      <c r="AF4" s="204">
        <f t="shared" si="0"/>
        <v>1211.2505278786882</v>
      </c>
      <c r="AG4" s="204">
        <f t="shared" si="0"/>
        <v>1211.2505278786882</v>
      </c>
      <c r="AH4" s="204">
        <f t="shared" si="0"/>
        <v>1211.2505278786882</v>
      </c>
      <c r="AI4" s="204">
        <f t="shared" si="0"/>
        <v>1211.2505278786882</v>
      </c>
      <c r="AJ4" s="204">
        <f t="shared" si="0"/>
        <v>1211.2505278786882</v>
      </c>
      <c r="AK4" s="204">
        <f t="shared" si="0"/>
        <v>1211.2505278786882</v>
      </c>
      <c r="AL4" s="204">
        <f t="shared" si="0"/>
        <v>1211.2505278786882</v>
      </c>
      <c r="AM4" s="204">
        <f t="shared" si="0"/>
        <v>1211.2505278786882</v>
      </c>
      <c r="AN4" s="204">
        <f t="shared" si="0"/>
        <v>1211.2505278786882</v>
      </c>
      <c r="AO4" s="204">
        <f t="shared" si="0"/>
        <v>3254.1961747752011</v>
      </c>
      <c r="AP4" s="204">
        <f t="shared" si="0"/>
        <v>3254.1961747752011</v>
      </c>
      <c r="AQ4" s="204">
        <f t="shared" si="0"/>
        <v>3254.1961747752011</v>
      </c>
      <c r="AR4" s="204">
        <f t="shared" si="0"/>
        <v>3254.1961747752011</v>
      </c>
      <c r="AS4" s="204">
        <f t="shared" si="0"/>
        <v>3254.1961747752011</v>
      </c>
      <c r="AT4" s="204">
        <f t="shared" si="0"/>
        <v>3254.1961747752011</v>
      </c>
      <c r="AU4" s="204">
        <f t="shared" si="0"/>
        <v>3254.1961747752011</v>
      </c>
      <c r="AV4" s="204">
        <f t="shared" si="0"/>
        <v>3254.1961747752011</v>
      </c>
      <c r="AW4" s="204">
        <f t="shared" si="0"/>
        <v>3254.1961747752011</v>
      </c>
      <c r="AX4" s="204">
        <f t="shared" si="1"/>
        <v>3254.1961747752011</v>
      </c>
      <c r="AY4" s="204">
        <f t="shared" si="1"/>
        <v>3254.1961747752011</v>
      </c>
      <c r="AZ4" s="204">
        <f t="shared" si="1"/>
        <v>3254.1961747752011</v>
      </c>
      <c r="BA4" s="204">
        <f t="shared" si="1"/>
        <v>3254.1961747752011</v>
      </c>
      <c r="BB4" s="204">
        <f t="shared" si="1"/>
        <v>3254.1961747752011</v>
      </c>
      <c r="BC4" s="204">
        <f t="shared" si="1"/>
        <v>3254.1961747752011</v>
      </c>
      <c r="BD4" s="204">
        <f t="shared" si="1"/>
        <v>3254.1961747752011</v>
      </c>
      <c r="BE4" s="204">
        <f t="shared" si="1"/>
        <v>3254.1961747752011</v>
      </c>
      <c r="BF4" s="204">
        <f t="shared" si="1"/>
        <v>3254.1961747752011</v>
      </c>
      <c r="BG4" s="204">
        <f t="shared" si="1"/>
        <v>3254.1961747752011</v>
      </c>
      <c r="BH4" s="204">
        <f t="shared" si="1"/>
        <v>3254.1961747752011</v>
      </c>
      <c r="BI4" s="204">
        <f t="shared" si="1"/>
        <v>3254.1961747752011</v>
      </c>
      <c r="BJ4" s="204">
        <f t="shared" si="1"/>
        <v>3254.1961747752011</v>
      </c>
      <c r="BK4" s="204">
        <f t="shared" si="1"/>
        <v>3254.1961747752011</v>
      </c>
      <c r="BL4" s="204">
        <f t="shared" si="1"/>
        <v>3254.1961747752011</v>
      </c>
      <c r="BM4" s="204">
        <f t="shared" si="1"/>
        <v>3254.1961747752011</v>
      </c>
      <c r="BN4" s="204">
        <f t="shared" si="1"/>
        <v>3254.1961747752011</v>
      </c>
      <c r="BO4" s="204">
        <f t="shared" si="1"/>
        <v>3254.1961747752011</v>
      </c>
      <c r="BP4" s="204">
        <f t="shared" si="1"/>
        <v>3254.1961747752011</v>
      </c>
      <c r="BQ4" s="204">
        <f t="shared" si="1"/>
        <v>3254.1961747752011</v>
      </c>
      <c r="BR4" s="204">
        <f t="shared" si="1"/>
        <v>3254.1961747752011</v>
      </c>
      <c r="BS4" s="204">
        <f t="shared" si="1"/>
        <v>3254.1961747752011</v>
      </c>
      <c r="BT4" s="204">
        <f t="shared" si="1"/>
        <v>3254.1961747752011</v>
      </c>
      <c r="BU4" s="204">
        <f t="shared" si="1"/>
        <v>3254.1961747752011</v>
      </c>
      <c r="BV4" s="204">
        <f t="shared" si="1"/>
        <v>3254.1961747752011</v>
      </c>
      <c r="BW4" s="204">
        <f t="shared" si="1"/>
        <v>3254.1961747752011</v>
      </c>
      <c r="BX4" s="204">
        <f t="shared" si="1"/>
        <v>23506.728409331092</v>
      </c>
      <c r="BY4" s="204">
        <f t="shared" si="1"/>
        <v>23506.728409331092</v>
      </c>
      <c r="BZ4" s="204">
        <f t="shared" si="1"/>
        <v>23506.728409331092</v>
      </c>
      <c r="CA4" s="204">
        <f t="shared" si="2"/>
        <v>23506.728409331092</v>
      </c>
      <c r="CB4" s="204">
        <f t="shared" si="2"/>
        <v>23506.728409331092</v>
      </c>
      <c r="CC4" s="204">
        <f t="shared" si="2"/>
        <v>23506.728409331092</v>
      </c>
      <c r="CD4" s="204">
        <f t="shared" si="2"/>
        <v>23506.728409331092</v>
      </c>
      <c r="CE4" s="204">
        <f t="shared" si="2"/>
        <v>23506.728409331092</v>
      </c>
      <c r="CF4" s="204">
        <f t="shared" si="2"/>
        <v>23506.728409331092</v>
      </c>
      <c r="CG4" s="204">
        <f t="shared" si="2"/>
        <v>23506.728409331092</v>
      </c>
      <c r="CH4" s="204">
        <f t="shared" si="2"/>
        <v>23506.728409331092</v>
      </c>
      <c r="CI4" s="204">
        <f t="shared" si="2"/>
        <v>23506.728409331092</v>
      </c>
      <c r="CJ4" s="204">
        <f t="shared" si="2"/>
        <v>23506.728409331092</v>
      </c>
      <c r="CK4" s="204">
        <f t="shared" si="2"/>
        <v>23506.728409331092</v>
      </c>
      <c r="CL4" s="204">
        <f t="shared" si="2"/>
        <v>23506.728409331092</v>
      </c>
      <c r="CM4" s="204">
        <f t="shared" si="2"/>
        <v>23506.728409331092</v>
      </c>
      <c r="CN4" s="204">
        <f t="shared" si="2"/>
        <v>23506.728409331092</v>
      </c>
      <c r="CO4" s="204">
        <f t="shared" si="2"/>
        <v>23506.728409331092</v>
      </c>
      <c r="CP4" s="204">
        <f t="shared" si="2"/>
        <v>23506.728409331092</v>
      </c>
      <c r="CQ4" s="204">
        <f t="shared" si="2"/>
        <v>23506.728409331092</v>
      </c>
      <c r="CR4" s="204">
        <f t="shared" si="2"/>
        <v>51200.285656445114</v>
      </c>
      <c r="CS4" s="204">
        <f t="shared" si="3"/>
        <v>51200.285656445114</v>
      </c>
      <c r="CT4" s="204">
        <f t="shared" si="3"/>
        <v>51200.285656445114</v>
      </c>
      <c r="CU4" s="204">
        <f t="shared" si="3"/>
        <v>51200.285656445114</v>
      </c>
      <c r="CV4" s="204">
        <f t="shared" si="3"/>
        <v>51200.285656445114</v>
      </c>
      <c r="CW4" s="204">
        <f t="shared" si="3"/>
        <v>51200.285656445114</v>
      </c>
      <c r="CX4" s="204">
        <f t="shared" si="3"/>
        <v>51200.285656445114</v>
      </c>
      <c r="CY4" s="204">
        <f t="shared" si="3"/>
        <v>51200.285656445114</v>
      </c>
      <c r="CZ4" s="204">
        <f t="shared" si="3"/>
        <v>51200.285656445114</v>
      </c>
      <c r="DA4" s="204">
        <f t="shared" si="3"/>
        <v>51200.285656445114</v>
      </c>
      <c r="DB4" s="204"/>
    </row>
    <row r="5" spans="1:106">
      <c r="A5" s="201" t="str">
        <f>Income!A74</f>
        <v>Animal products consumed</v>
      </c>
      <c r="B5" s="203">
        <f>Income!B74</f>
        <v>1037.0605064843123</v>
      </c>
      <c r="C5" s="203">
        <f>Income!C74</f>
        <v>2050.5158453221352</v>
      </c>
      <c r="D5" s="203">
        <f>Income!D74</f>
        <v>2671.9956497648514</v>
      </c>
      <c r="E5" s="203">
        <f>Income!E74</f>
        <v>3345.9897135608667</v>
      </c>
      <c r="F5" s="204">
        <f t="shared" si="4"/>
        <v>1037.0605064843123</v>
      </c>
      <c r="G5" s="204">
        <f t="shared" si="0"/>
        <v>1037.0605064843123</v>
      </c>
      <c r="H5" s="204">
        <f t="shared" si="0"/>
        <v>1037.0605064843123</v>
      </c>
      <c r="I5" s="204">
        <f t="shared" si="0"/>
        <v>1037.0605064843123</v>
      </c>
      <c r="J5" s="204">
        <f t="shared" si="0"/>
        <v>1037.0605064843123</v>
      </c>
      <c r="K5" s="204">
        <f t="shared" si="0"/>
        <v>1037.0605064843123</v>
      </c>
      <c r="L5" s="204">
        <f t="shared" si="0"/>
        <v>1037.0605064843123</v>
      </c>
      <c r="M5" s="204">
        <f t="shared" si="0"/>
        <v>1037.0605064843123</v>
      </c>
      <c r="N5" s="204">
        <f t="shared" si="0"/>
        <v>1037.0605064843123</v>
      </c>
      <c r="O5" s="204">
        <f t="shared" si="0"/>
        <v>1037.0605064843123</v>
      </c>
      <c r="P5" s="204">
        <f t="shared" si="0"/>
        <v>1037.0605064843123</v>
      </c>
      <c r="Q5" s="204">
        <f t="shared" si="0"/>
        <v>1037.0605064843123</v>
      </c>
      <c r="R5" s="204">
        <f t="shared" si="0"/>
        <v>1037.0605064843123</v>
      </c>
      <c r="S5" s="204">
        <f t="shared" si="0"/>
        <v>1037.0605064843123</v>
      </c>
      <c r="T5" s="204">
        <f t="shared" si="0"/>
        <v>1037.0605064843123</v>
      </c>
      <c r="U5" s="204">
        <f t="shared" si="0"/>
        <v>1037.0605064843123</v>
      </c>
      <c r="V5" s="204">
        <f t="shared" si="0"/>
        <v>1037.0605064843123</v>
      </c>
      <c r="W5" s="204">
        <f t="shared" si="0"/>
        <v>1037.0605064843123</v>
      </c>
      <c r="X5" s="204">
        <f t="shared" si="0"/>
        <v>1037.0605064843123</v>
      </c>
      <c r="Y5" s="204">
        <f t="shared" si="0"/>
        <v>1037.0605064843123</v>
      </c>
      <c r="Z5" s="204">
        <f t="shared" si="0"/>
        <v>1037.0605064843123</v>
      </c>
      <c r="AA5" s="204">
        <f t="shared" si="0"/>
        <v>1037.0605064843123</v>
      </c>
      <c r="AB5" s="204">
        <f t="shared" si="0"/>
        <v>1037.0605064843123</v>
      </c>
      <c r="AC5" s="204">
        <f t="shared" si="0"/>
        <v>1037.0605064843123</v>
      </c>
      <c r="AD5" s="204">
        <f t="shared" si="0"/>
        <v>1037.0605064843123</v>
      </c>
      <c r="AE5" s="204">
        <f t="shared" si="0"/>
        <v>1037.0605064843123</v>
      </c>
      <c r="AF5" s="204">
        <f t="shared" si="0"/>
        <v>1037.0605064843123</v>
      </c>
      <c r="AG5" s="204">
        <f t="shared" si="0"/>
        <v>1037.0605064843123</v>
      </c>
      <c r="AH5" s="204">
        <f t="shared" si="0"/>
        <v>1037.0605064843123</v>
      </c>
      <c r="AI5" s="204">
        <f t="shared" si="0"/>
        <v>1037.0605064843123</v>
      </c>
      <c r="AJ5" s="204">
        <f t="shared" si="0"/>
        <v>1037.0605064843123</v>
      </c>
      <c r="AK5" s="204">
        <f t="shared" si="0"/>
        <v>1037.0605064843123</v>
      </c>
      <c r="AL5" s="204">
        <f t="shared" si="0"/>
        <v>1037.0605064843123</v>
      </c>
      <c r="AM5" s="204">
        <f t="shared" si="0"/>
        <v>1037.0605064843123</v>
      </c>
      <c r="AN5" s="204">
        <f t="shared" si="0"/>
        <v>1037.0605064843123</v>
      </c>
      <c r="AO5" s="204">
        <f t="shared" si="0"/>
        <v>2050.5158453221352</v>
      </c>
      <c r="AP5" s="204">
        <f t="shared" si="0"/>
        <v>2050.5158453221352</v>
      </c>
      <c r="AQ5" s="204">
        <f t="shared" si="0"/>
        <v>2050.5158453221352</v>
      </c>
      <c r="AR5" s="204">
        <f t="shared" si="0"/>
        <v>2050.5158453221352</v>
      </c>
      <c r="AS5" s="204">
        <f t="shared" si="0"/>
        <v>2050.5158453221352</v>
      </c>
      <c r="AT5" s="204">
        <f t="shared" si="0"/>
        <v>2050.5158453221352</v>
      </c>
      <c r="AU5" s="204">
        <f t="shared" si="0"/>
        <v>2050.5158453221352</v>
      </c>
      <c r="AV5" s="204">
        <f t="shared" si="0"/>
        <v>2050.5158453221352</v>
      </c>
      <c r="AW5" s="204">
        <f t="shared" si="0"/>
        <v>2050.5158453221352</v>
      </c>
      <c r="AX5" s="204">
        <f t="shared" si="1"/>
        <v>2050.5158453221352</v>
      </c>
      <c r="AY5" s="204">
        <f t="shared" si="1"/>
        <v>2050.5158453221352</v>
      </c>
      <c r="AZ5" s="204">
        <f t="shared" si="1"/>
        <v>2050.5158453221352</v>
      </c>
      <c r="BA5" s="204">
        <f t="shared" si="1"/>
        <v>2050.5158453221352</v>
      </c>
      <c r="BB5" s="204">
        <f t="shared" si="1"/>
        <v>2050.5158453221352</v>
      </c>
      <c r="BC5" s="204">
        <f t="shared" si="1"/>
        <v>2050.5158453221352</v>
      </c>
      <c r="BD5" s="204">
        <f t="shared" si="1"/>
        <v>2050.5158453221352</v>
      </c>
      <c r="BE5" s="204">
        <f t="shared" si="1"/>
        <v>2050.5158453221352</v>
      </c>
      <c r="BF5" s="204">
        <f t="shared" si="1"/>
        <v>2050.5158453221352</v>
      </c>
      <c r="BG5" s="204">
        <f t="shared" si="1"/>
        <v>2050.5158453221352</v>
      </c>
      <c r="BH5" s="204">
        <f t="shared" si="1"/>
        <v>2050.5158453221352</v>
      </c>
      <c r="BI5" s="204">
        <f t="shared" si="1"/>
        <v>2050.5158453221352</v>
      </c>
      <c r="BJ5" s="204">
        <f t="shared" si="1"/>
        <v>2050.5158453221352</v>
      </c>
      <c r="BK5" s="204">
        <f t="shared" si="1"/>
        <v>2050.5158453221352</v>
      </c>
      <c r="BL5" s="204">
        <f t="shared" si="1"/>
        <v>2050.5158453221352</v>
      </c>
      <c r="BM5" s="204">
        <f t="shared" si="1"/>
        <v>2050.5158453221352</v>
      </c>
      <c r="BN5" s="204">
        <f t="shared" si="1"/>
        <v>2050.5158453221352</v>
      </c>
      <c r="BO5" s="204">
        <f t="shared" si="1"/>
        <v>2050.5158453221352</v>
      </c>
      <c r="BP5" s="204">
        <f t="shared" si="1"/>
        <v>2050.5158453221352</v>
      </c>
      <c r="BQ5" s="204">
        <f t="shared" si="1"/>
        <v>2050.5158453221352</v>
      </c>
      <c r="BR5" s="204">
        <f t="shared" si="1"/>
        <v>2050.5158453221352</v>
      </c>
      <c r="BS5" s="204">
        <f t="shared" si="1"/>
        <v>2050.5158453221352</v>
      </c>
      <c r="BT5" s="204">
        <f t="shared" si="1"/>
        <v>2050.5158453221352</v>
      </c>
      <c r="BU5" s="204">
        <f t="shared" si="1"/>
        <v>2050.5158453221352</v>
      </c>
      <c r="BV5" s="204">
        <f t="shared" si="1"/>
        <v>2050.5158453221352</v>
      </c>
      <c r="BW5" s="204">
        <f t="shared" si="1"/>
        <v>2050.5158453221352</v>
      </c>
      <c r="BX5" s="204">
        <f t="shared" si="1"/>
        <v>2671.9956497648514</v>
      </c>
      <c r="BY5" s="204">
        <f t="shared" si="1"/>
        <v>2671.9956497648514</v>
      </c>
      <c r="BZ5" s="204">
        <f t="shared" si="1"/>
        <v>2671.9956497648514</v>
      </c>
      <c r="CA5" s="204">
        <f t="shared" si="2"/>
        <v>2671.9956497648514</v>
      </c>
      <c r="CB5" s="204">
        <f t="shared" si="2"/>
        <v>2671.9956497648514</v>
      </c>
      <c r="CC5" s="204">
        <f t="shared" si="2"/>
        <v>2671.9956497648514</v>
      </c>
      <c r="CD5" s="204">
        <f t="shared" si="2"/>
        <v>2671.9956497648514</v>
      </c>
      <c r="CE5" s="204">
        <f t="shared" si="2"/>
        <v>2671.9956497648514</v>
      </c>
      <c r="CF5" s="204">
        <f t="shared" si="2"/>
        <v>2671.9956497648514</v>
      </c>
      <c r="CG5" s="204">
        <f t="shared" si="2"/>
        <v>2671.9956497648514</v>
      </c>
      <c r="CH5" s="204">
        <f t="shared" si="2"/>
        <v>2671.9956497648514</v>
      </c>
      <c r="CI5" s="204">
        <f t="shared" si="2"/>
        <v>2671.9956497648514</v>
      </c>
      <c r="CJ5" s="204">
        <f t="shared" si="2"/>
        <v>2671.9956497648514</v>
      </c>
      <c r="CK5" s="204">
        <f t="shared" si="2"/>
        <v>2671.9956497648514</v>
      </c>
      <c r="CL5" s="204">
        <f t="shared" si="2"/>
        <v>2671.9956497648514</v>
      </c>
      <c r="CM5" s="204">
        <f t="shared" si="2"/>
        <v>2671.9956497648514</v>
      </c>
      <c r="CN5" s="204">
        <f t="shared" si="2"/>
        <v>2671.9956497648514</v>
      </c>
      <c r="CO5" s="204">
        <f t="shared" si="2"/>
        <v>2671.9956497648514</v>
      </c>
      <c r="CP5" s="204">
        <f t="shared" si="2"/>
        <v>2671.9956497648514</v>
      </c>
      <c r="CQ5" s="204">
        <f t="shared" si="2"/>
        <v>2671.9956497648514</v>
      </c>
      <c r="CR5" s="204">
        <f t="shared" si="2"/>
        <v>3345.9897135608667</v>
      </c>
      <c r="CS5" s="204">
        <f t="shared" si="3"/>
        <v>3345.9897135608667</v>
      </c>
      <c r="CT5" s="204">
        <f t="shared" si="3"/>
        <v>3345.9897135608667</v>
      </c>
      <c r="CU5" s="204">
        <f t="shared" si="3"/>
        <v>3345.9897135608667</v>
      </c>
      <c r="CV5" s="204">
        <f t="shared" si="3"/>
        <v>3345.9897135608667</v>
      </c>
      <c r="CW5" s="204">
        <f t="shared" si="3"/>
        <v>3345.9897135608667</v>
      </c>
      <c r="CX5" s="204">
        <f t="shared" si="3"/>
        <v>3345.9897135608667</v>
      </c>
      <c r="CY5" s="204">
        <f t="shared" si="3"/>
        <v>3345.9897135608667</v>
      </c>
      <c r="CZ5" s="204">
        <f t="shared" si="3"/>
        <v>3345.9897135608667</v>
      </c>
      <c r="DA5" s="204">
        <f t="shared" si="3"/>
        <v>3345.9897135608667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8316.9511901782571</v>
      </c>
      <c r="E6" s="203">
        <f>Income!E75</f>
        <v>18902.16179585968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8316.9511901782571</v>
      </c>
      <c r="BY6" s="204">
        <f t="shared" si="1"/>
        <v>8316.9511901782571</v>
      </c>
      <c r="BZ6" s="204">
        <f t="shared" si="1"/>
        <v>8316.9511901782571</v>
      </c>
      <c r="CA6" s="204">
        <f t="shared" si="2"/>
        <v>8316.9511901782571</v>
      </c>
      <c r="CB6" s="204">
        <f t="shared" si="2"/>
        <v>8316.9511901782571</v>
      </c>
      <c r="CC6" s="204">
        <f t="shared" si="2"/>
        <v>8316.9511901782571</v>
      </c>
      <c r="CD6" s="204">
        <f t="shared" si="2"/>
        <v>8316.9511901782571</v>
      </c>
      <c r="CE6" s="204">
        <f t="shared" si="2"/>
        <v>8316.9511901782571</v>
      </c>
      <c r="CF6" s="204">
        <f t="shared" si="2"/>
        <v>8316.9511901782571</v>
      </c>
      <c r="CG6" s="204">
        <f t="shared" si="2"/>
        <v>8316.9511901782571</v>
      </c>
      <c r="CH6" s="204">
        <f t="shared" si="2"/>
        <v>8316.9511901782571</v>
      </c>
      <c r="CI6" s="204">
        <f t="shared" si="2"/>
        <v>8316.9511901782571</v>
      </c>
      <c r="CJ6" s="204">
        <f t="shared" si="2"/>
        <v>8316.9511901782571</v>
      </c>
      <c r="CK6" s="204">
        <f t="shared" si="2"/>
        <v>8316.9511901782571</v>
      </c>
      <c r="CL6" s="204">
        <f t="shared" si="2"/>
        <v>8316.9511901782571</v>
      </c>
      <c r="CM6" s="204">
        <f t="shared" si="2"/>
        <v>8316.9511901782571</v>
      </c>
      <c r="CN6" s="204">
        <f t="shared" si="2"/>
        <v>8316.9511901782571</v>
      </c>
      <c r="CO6" s="204">
        <f t="shared" si="2"/>
        <v>8316.9511901782571</v>
      </c>
      <c r="CP6" s="204">
        <f t="shared" si="2"/>
        <v>8316.9511901782571</v>
      </c>
      <c r="CQ6" s="204">
        <f t="shared" si="2"/>
        <v>8316.9511901782571</v>
      </c>
      <c r="CR6" s="204">
        <f t="shared" si="2"/>
        <v>18902.16179585968</v>
      </c>
      <c r="CS6" s="204">
        <f t="shared" si="3"/>
        <v>18902.16179585968</v>
      </c>
      <c r="CT6" s="204">
        <f t="shared" si="3"/>
        <v>18902.16179585968</v>
      </c>
      <c r="CU6" s="204">
        <f t="shared" si="3"/>
        <v>18902.16179585968</v>
      </c>
      <c r="CV6" s="204">
        <f t="shared" si="3"/>
        <v>18902.16179585968</v>
      </c>
      <c r="CW6" s="204">
        <f t="shared" si="3"/>
        <v>18902.16179585968</v>
      </c>
      <c r="CX6" s="204">
        <f t="shared" si="3"/>
        <v>18902.16179585968</v>
      </c>
      <c r="CY6" s="204">
        <f t="shared" si="3"/>
        <v>18902.16179585968</v>
      </c>
      <c r="CZ6" s="204">
        <f t="shared" si="3"/>
        <v>18902.16179585968</v>
      </c>
      <c r="DA6" s="204">
        <f t="shared" si="3"/>
        <v>18902.16179585968</v>
      </c>
      <c r="DB6" s="204"/>
    </row>
    <row r="7" spans="1:106">
      <c r="A7" s="201" t="str">
        <f>Income!A76</f>
        <v>Animals sold</v>
      </c>
      <c r="B7" s="203">
        <f>Income!B76</f>
        <v>1209.7383549350195</v>
      </c>
      <c r="C7" s="203">
        <f>Income!C76</f>
        <v>6503.0997442475618</v>
      </c>
      <c r="D7" s="203">
        <f>Income!D76</f>
        <v>22289.429189677729</v>
      </c>
      <c r="E7" s="203">
        <f>Income!E76</f>
        <v>35243.080668380368</v>
      </c>
      <c r="F7" s="204">
        <f t="shared" si="4"/>
        <v>1209.7383549350195</v>
      </c>
      <c r="G7" s="204">
        <f t="shared" si="0"/>
        <v>1209.7383549350195</v>
      </c>
      <c r="H7" s="204">
        <f t="shared" si="0"/>
        <v>1209.7383549350195</v>
      </c>
      <c r="I7" s="204">
        <f t="shared" si="0"/>
        <v>1209.7383549350195</v>
      </c>
      <c r="J7" s="204">
        <f t="shared" si="0"/>
        <v>1209.7383549350195</v>
      </c>
      <c r="K7" s="204">
        <f t="shared" si="0"/>
        <v>1209.7383549350195</v>
      </c>
      <c r="L7" s="204">
        <f t="shared" si="0"/>
        <v>1209.7383549350195</v>
      </c>
      <c r="M7" s="204">
        <f t="shared" si="0"/>
        <v>1209.7383549350195</v>
      </c>
      <c r="N7" s="204">
        <f t="shared" si="0"/>
        <v>1209.7383549350195</v>
      </c>
      <c r="O7" s="204">
        <f t="shared" si="0"/>
        <v>1209.7383549350195</v>
      </c>
      <c r="P7" s="204">
        <f t="shared" si="0"/>
        <v>1209.7383549350195</v>
      </c>
      <c r="Q7" s="204">
        <f t="shared" si="0"/>
        <v>1209.7383549350195</v>
      </c>
      <c r="R7" s="204">
        <f t="shared" si="0"/>
        <v>1209.7383549350195</v>
      </c>
      <c r="S7" s="204">
        <f t="shared" si="0"/>
        <v>1209.7383549350195</v>
      </c>
      <c r="T7" s="204">
        <f t="shared" si="0"/>
        <v>1209.7383549350195</v>
      </c>
      <c r="U7" s="204">
        <f t="shared" si="0"/>
        <v>1209.7383549350195</v>
      </c>
      <c r="V7" s="204">
        <f t="shared" si="0"/>
        <v>1209.7383549350195</v>
      </c>
      <c r="W7" s="204">
        <f t="shared" si="0"/>
        <v>1209.7383549350195</v>
      </c>
      <c r="X7" s="204">
        <f t="shared" si="0"/>
        <v>1209.7383549350195</v>
      </c>
      <c r="Y7" s="204">
        <f t="shared" si="0"/>
        <v>1209.7383549350195</v>
      </c>
      <c r="Z7" s="204">
        <f t="shared" si="0"/>
        <v>1209.7383549350195</v>
      </c>
      <c r="AA7" s="204">
        <f t="shared" si="0"/>
        <v>1209.7383549350195</v>
      </c>
      <c r="AB7" s="204">
        <f t="shared" si="0"/>
        <v>1209.7383549350195</v>
      </c>
      <c r="AC7" s="204">
        <f t="shared" si="0"/>
        <v>1209.7383549350195</v>
      </c>
      <c r="AD7" s="204">
        <f t="shared" si="0"/>
        <v>1209.7383549350195</v>
      </c>
      <c r="AE7" s="204">
        <f t="shared" si="0"/>
        <v>1209.7383549350195</v>
      </c>
      <c r="AF7" s="204">
        <f t="shared" si="0"/>
        <v>1209.7383549350195</v>
      </c>
      <c r="AG7" s="204">
        <f t="shared" si="0"/>
        <v>1209.7383549350195</v>
      </c>
      <c r="AH7" s="204">
        <f t="shared" si="0"/>
        <v>1209.7383549350195</v>
      </c>
      <c r="AI7" s="204">
        <f t="shared" si="0"/>
        <v>1209.7383549350195</v>
      </c>
      <c r="AJ7" s="204">
        <f t="shared" si="0"/>
        <v>1209.7383549350195</v>
      </c>
      <c r="AK7" s="204">
        <f t="shared" si="0"/>
        <v>1209.7383549350195</v>
      </c>
      <c r="AL7" s="204">
        <f t="shared" si="0"/>
        <v>1209.7383549350195</v>
      </c>
      <c r="AM7" s="204">
        <f t="shared" si="0"/>
        <v>1209.7383549350195</v>
      </c>
      <c r="AN7" s="204">
        <f t="shared" si="0"/>
        <v>1209.7383549350195</v>
      </c>
      <c r="AO7" s="204">
        <f t="shared" si="0"/>
        <v>6503.0997442475618</v>
      </c>
      <c r="AP7" s="204">
        <f t="shared" si="0"/>
        <v>6503.0997442475618</v>
      </c>
      <c r="AQ7" s="204">
        <f t="shared" si="0"/>
        <v>6503.0997442475618</v>
      </c>
      <c r="AR7" s="204">
        <f t="shared" si="0"/>
        <v>6503.0997442475618</v>
      </c>
      <c r="AS7" s="204">
        <f t="shared" si="0"/>
        <v>6503.0997442475618</v>
      </c>
      <c r="AT7" s="204">
        <f t="shared" si="0"/>
        <v>6503.0997442475618</v>
      </c>
      <c r="AU7" s="204">
        <f t="shared" ref="AU7:BJ8" si="5">IF(AU$2&lt;=($B$2+$C$2+$D$2),IF(AU$2&lt;=($B$2+$C$2),IF(AU$2&lt;=$B$2,$B7,$C7),$D7),$E7)</f>
        <v>6503.0997442475618</v>
      </c>
      <c r="AV7" s="204">
        <f t="shared" si="5"/>
        <v>6503.0997442475618</v>
      </c>
      <c r="AW7" s="204">
        <f t="shared" si="5"/>
        <v>6503.0997442475618</v>
      </c>
      <c r="AX7" s="204">
        <f t="shared" si="5"/>
        <v>6503.0997442475618</v>
      </c>
      <c r="AY7" s="204">
        <f t="shared" si="5"/>
        <v>6503.0997442475618</v>
      </c>
      <c r="AZ7" s="204">
        <f t="shared" si="5"/>
        <v>6503.0997442475618</v>
      </c>
      <c r="BA7" s="204">
        <f t="shared" si="5"/>
        <v>6503.0997442475618</v>
      </c>
      <c r="BB7" s="204">
        <f t="shared" si="5"/>
        <v>6503.0997442475618</v>
      </c>
      <c r="BC7" s="204">
        <f t="shared" si="5"/>
        <v>6503.0997442475618</v>
      </c>
      <c r="BD7" s="204">
        <f t="shared" si="5"/>
        <v>6503.0997442475618</v>
      </c>
      <c r="BE7" s="204">
        <f t="shared" si="5"/>
        <v>6503.0997442475618</v>
      </c>
      <c r="BF7" s="204">
        <f t="shared" si="5"/>
        <v>6503.0997442475618</v>
      </c>
      <c r="BG7" s="204">
        <f t="shared" si="5"/>
        <v>6503.0997442475618</v>
      </c>
      <c r="BH7" s="204">
        <f t="shared" si="5"/>
        <v>6503.0997442475618</v>
      </c>
      <c r="BI7" s="204">
        <f t="shared" si="5"/>
        <v>6503.0997442475618</v>
      </c>
      <c r="BJ7" s="204">
        <f t="shared" si="5"/>
        <v>6503.0997442475618</v>
      </c>
      <c r="BK7" s="204">
        <f t="shared" si="1"/>
        <v>6503.0997442475618</v>
      </c>
      <c r="BL7" s="204">
        <f t="shared" si="1"/>
        <v>6503.0997442475618</v>
      </c>
      <c r="BM7" s="204">
        <f t="shared" si="1"/>
        <v>6503.0997442475618</v>
      </c>
      <c r="BN7" s="204">
        <f t="shared" si="1"/>
        <v>6503.0997442475618</v>
      </c>
      <c r="BO7" s="204">
        <f t="shared" si="1"/>
        <v>6503.0997442475618</v>
      </c>
      <c r="BP7" s="204">
        <f t="shared" si="1"/>
        <v>6503.0997442475618</v>
      </c>
      <c r="BQ7" s="204">
        <f t="shared" si="1"/>
        <v>6503.0997442475618</v>
      </c>
      <c r="BR7" s="204">
        <f t="shared" si="1"/>
        <v>6503.0997442475618</v>
      </c>
      <c r="BS7" s="204">
        <f t="shared" si="1"/>
        <v>6503.0997442475618</v>
      </c>
      <c r="BT7" s="204">
        <f t="shared" si="1"/>
        <v>6503.0997442475618</v>
      </c>
      <c r="BU7" s="204">
        <f t="shared" si="1"/>
        <v>6503.0997442475618</v>
      </c>
      <c r="BV7" s="204">
        <f t="shared" si="1"/>
        <v>6503.0997442475618</v>
      </c>
      <c r="BW7" s="204">
        <f t="shared" si="1"/>
        <v>6503.0997442475618</v>
      </c>
      <c r="BX7" s="204">
        <f t="shared" si="1"/>
        <v>22289.429189677729</v>
      </c>
      <c r="BY7" s="204">
        <f t="shared" si="1"/>
        <v>22289.429189677729</v>
      </c>
      <c r="BZ7" s="204">
        <f t="shared" si="1"/>
        <v>22289.429189677729</v>
      </c>
      <c r="CA7" s="204">
        <f t="shared" si="2"/>
        <v>22289.429189677729</v>
      </c>
      <c r="CB7" s="204">
        <f t="shared" si="2"/>
        <v>22289.429189677729</v>
      </c>
      <c r="CC7" s="204">
        <f t="shared" si="2"/>
        <v>22289.429189677729</v>
      </c>
      <c r="CD7" s="204">
        <f t="shared" si="2"/>
        <v>22289.429189677729</v>
      </c>
      <c r="CE7" s="204">
        <f t="shared" si="2"/>
        <v>22289.429189677729</v>
      </c>
      <c r="CF7" s="204">
        <f t="shared" si="2"/>
        <v>22289.429189677729</v>
      </c>
      <c r="CG7" s="204">
        <f t="shared" si="2"/>
        <v>22289.429189677729</v>
      </c>
      <c r="CH7" s="204">
        <f t="shared" si="2"/>
        <v>22289.429189677729</v>
      </c>
      <c r="CI7" s="204">
        <f t="shared" si="2"/>
        <v>22289.429189677729</v>
      </c>
      <c r="CJ7" s="204">
        <f t="shared" si="2"/>
        <v>22289.429189677729</v>
      </c>
      <c r="CK7" s="204">
        <f t="shared" si="2"/>
        <v>22289.429189677729</v>
      </c>
      <c r="CL7" s="204">
        <f t="shared" si="2"/>
        <v>22289.429189677729</v>
      </c>
      <c r="CM7" s="204">
        <f t="shared" si="2"/>
        <v>22289.429189677729</v>
      </c>
      <c r="CN7" s="204">
        <f t="shared" si="2"/>
        <v>22289.429189677729</v>
      </c>
      <c r="CO7" s="204">
        <f t="shared" si="2"/>
        <v>22289.429189677729</v>
      </c>
      <c r="CP7" s="204">
        <f t="shared" si="2"/>
        <v>22289.429189677729</v>
      </c>
      <c r="CQ7" s="204">
        <f t="shared" si="2"/>
        <v>22289.429189677729</v>
      </c>
      <c r="CR7" s="204">
        <f t="shared" si="2"/>
        <v>35243.080668380368</v>
      </c>
      <c r="CS7" s="204">
        <f t="shared" si="3"/>
        <v>35243.080668380368</v>
      </c>
      <c r="CT7" s="204">
        <f t="shared" si="3"/>
        <v>35243.080668380368</v>
      </c>
      <c r="CU7" s="204">
        <f t="shared" si="3"/>
        <v>35243.080668380368</v>
      </c>
      <c r="CV7" s="204">
        <f t="shared" si="3"/>
        <v>35243.080668380368</v>
      </c>
      <c r="CW7" s="204">
        <f t="shared" si="3"/>
        <v>35243.080668380368</v>
      </c>
      <c r="CX7" s="204">
        <f t="shared" si="3"/>
        <v>35243.080668380368</v>
      </c>
      <c r="CY7" s="204">
        <f t="shared" si="3"/>
        <v>35243.080668380368</v>
      </c>
      <c r="CZ7" s="204">
        <f t="shared" si="3"/>
        <v>35243.080668380368</v>
      </c>
      <c r="DA7" s="204">
        <f t="shared" si="3"/>
        <v>35243.080668380368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12420.176668135882</v>
      </c>
      <c r="C9" s="203">
        <f>Income!C78</f>
        <v>25541.766113170444</v>
      </c>
      <c r="D9" s="203">
        <f>Income!D78</f>
        <v>48608.336911454768</v>
      </c>
      <c r="E9" s="203">
        <f>Income!E78</f>
        <v>0</v>
      </c>
      <c r="F9" s="204">
        <f t="shared" si="4"/>
        <v>12420.176668135882</v>
      </c>
      <c r="G9" s="204">
        <f t="shared" si="4"/>
        <v>12420.176668135882</v>
      </c>
      <c r="H9" s="204">
        <f t="shared" si="4"/>
        <v>12420.176668135882</v>
      </c>
      <c r="I9" s="204">
        <f t="shared" si="4"/>
        <v>12420.176668135882</v>
      </c>
      <c r="J9" s="204">
        <f t="shared" si="4"/>
        <v>12420.176668135882</v>
      </c>
      <c r="K9" s="204">
        <f t="shared" si="4"/>
        <v>12420.176668135882</v>
      </c>
      <c r="L9" s="204">
        <f t="shared" si="4"/>
        <v>12420.176668135882</v>
      </c>
      <c r="M9" s="204">
        <f t="shared" si="4"/>
        <v>12420.176668135882</v>
      </c>
      <c r="N9" s="204">
        <f t="shared" si="4"/>
        <v>12420.176668135882</v>
      </c>
      <c r="O9" s="204">
        <f t="shared" si="4"/>
        <v>12420.176668135882</v>
      </c>
      <c r="P9" s="204">
        <f t="shared" si="4"/>
        <v>12420.176668135882</v>
      </c>
      <c r="Q9" s="204">
        <f t="shared" si="4"/>
        <v>12420.176668135882</v>
      </c>
      <c r="R9" s="204">
        <f t="shared" si="4"/>
        <v>12420.176668135882</v>
      </c>
      <c r="S9" s="204">
        <f t="shared" si="4"/>
        <v>12420.176668135882</v>
      </c>
      <c r="T9" s="204">
        <f t="shared" si="4"/>
        <v>12420.176668135882</v>
      </c>
      <c r="U9" s="204">
        <f t="shared" si="4"/>
        <v>12420.176668135882</v>
      </c>
      <c r="V9" s="204">
        <f t="shared" si="6"/>
        <v>12420.176668135882</v>
      </c>
      <c r="W9" s="204">
        <f t="shared" si="6"/>
        <v>12420.176668135882</v>
      </c>
      <c r="X9" s="204">
        <f t="shared" si="6"/>
        <v>12420.176668135882</v>
      </c>
      <c r="Y9" s="204">
        <f t="shared" si="6"/>
        <v>12420.176668135882</v>
      </c>
      <c r="Z9" s="204">
        <f t="shared" si="6"/>
        <v>12420.176668135882</v>
      </c>
      <c r="AA9" s="204">
        <f t="shared" si="6"/>
        <v>12420.176668135882</v>
      </c>
      <c r="AB9" s="204">
        <f t="shared" si="6"/>
        <v>12420.176668135882</v>
      </c>
      <c r="AC9" s="204">
        <f t="shared" si="6"/>
        <v>12420.176668135882</v>
      </c>
      <c r="AD9" s="204">
        <f t="shared" si="6"/>
        <v>12420.176668135882</v>
      </c>
      <c r="AE9" s="204">
        <f t="shared" si="6"/>
        <v>12420.176668135882</v>
      </c>
      <c r="AF9" s="204">
        <f t="shared" si="6"/>
        <v>12420.176668135882</v>
      </c>
      <c r="AG9" s="204">
        <f t="shared" si="6"/>
        <v>12420.176668135882</v>
      </c>
      <c r="AH9" s="204">
        <f t="shared" si="6"/>
        <v>12420.176668135882</v>
      </c>
      <c r="AI9" s="204">
        <f t="shared" si="6"/>
        <v>12420.176668135882</v>
      </c>
      <c r="AJ9" s="204">
        <f t="shared" si="6"/>
        <v>12420.176668135882</v>
      </c>
      <c r="AK9" s="204">
        <f t="shared" si="6"/>
        <v>12420.176668135882</v>
      </c>
      <c r="AL9" s="204">
        <f t="shared" si="7"/>
        <v>12420.176668135882</v>
      </c>
      <c r="AM9" s="204">
        <f t="shared" si="7"/>
        <v>12420.176668135882</v>
      </c>
      <c r="AN9" s="204">
        <f t="shared" si="7"/>
        <v>12420.176668135882</v>
      </c>
      <c r="AO9" s="204">
        <f t="shared" si="7"/>
        <v>25541.766113170444</v>
      </c>
      <c r="AP9" s="204">
        <f t="shared" si="7"/>
        <v>25541.766113170444</v>
      </c>
      <c r="AQ9" s="204">
        <f t="shared" si="7"/>
        <v>25541.766113170444</v>
      </c>
      <c r="AR9" s="204">
        <f t="shared" si="7"/>
        <v>25541.766113170444</v>
      </c>
      <c r="AS9" s="204">
        <f t="shared" si="7"/>
        <v>25541.766113170444</v>
      </c>
      <c r="AT9" s="204">
        <f t="shared" si="7"/>
        <v>25541.766113170444</v>
      </c>
      <c r="AU9" s="204">
        <f t="shared" si="7"/>
        <v>25541.766113170444</v>
      </c>
      <c r="AV9" s="204">
        <f t="shared" si="7"/>
        <v>25541.766113170444</v>
      </c>
      <c r="AW9" s="204">
        <f t="shared" si="7"/>
        <v>25541.766113170444</v>
      </c>
      <c r="AX9" s="204">
        <f t="shared" si="1"/>
        <v>25541.766113170444</v>
      </c>
      <c r="AY9" s="204">
        <f t="shared" si="1"/>
        <v>25541.766113170444</v>
      </c>
      <c r="AZ9" s="204">
        <f t="shared" si="1"/>
        <v>25541.766113170444</v>
      </c>
      <c r="BA9" s="204">
        <f t="shared" si="1"/>
        <v>25541.766113170444</v>
      </c>
      <c r="BB9" s="204">
        <f t="shared" si="1"/>
        <v>25541.766113170444</v>
      </c>
      <c r="BC9" s="204">
        <f t="shared" si="1"/>
        <v>25541.766113170444</v>
      </c>
      <c r="BD9" s="204">
        <f t="shared" si="1"/>
        <v>25541.766113170444</v>
      </c>
      <c r="BE9" s="204">
        <f t="shared" si="1"/>
        <v>25541.766113170444</v>
      </c>
      <c r="BF9" s="204">
        <f t="shared" si="1"/>
        <v>25541.766113170444</v>
      </c>
      <c r="BG9" s="204">
        <f t="shared" si="1"/>
        <v>25541.766113170444</v>
      </c>
      <c r="BH9" s="204">
        <f t="shared" si="1"/>
        <v>25541.766113170444</v>
      </c>
      <c r="BI9" s="204">
        <f t="shared" si="1"/>
        <v>25541.766113170444</v>
      </c>
      <c r="BJ9" s="204">
        <f t="shared" si="1"/>
        <v>25541.766113170444</v>
      </c>
      <c r="BK9" s="204">
        <f t="shared" si="1"/>
        <v>25541.766113170444</v>
      </c>
      <c r="BL9" s="204">
        <f t="shared" si="1"/>
        <v>25541.766113170444</v>
      </c>
      <c r="BM9" s="204">
        <f t="shared" si="1"/>
        <v>25541.766113170444</v>
      </c>
      <c r="BN9" s="204">
        <f t="shared" si="1"/>
        <v>25541.766113170444</v>
      </c>
      <c r="BO9" s="204">
        <f t="shared" si="1"/>
        <v>25541.766113170444</v>
      </c>
      <c r="BP9" s="204">
        <f t="shared" si="1"/>
        <v>25541.766113170444</v>
      </c>
      <c r="BQ9" s="204">
        <f t="shared" si="1"/>
        <v>25541.766113170444</v>
      </c>
      <c r="BR9" s="204">
        <f t="shared" si="1"/>
        <v>25541.766113170444</v>
      </c>
      <c r="BS9" s="204">
        <f t="shared" si="1"/>
        <v>25541.766113170444</v>
      </c>
      <c r="BT9" s="204">
        <f t="shared" si="1"/>
        <v>25541.766113170444</v>
      </c>
      <c r="BU9" s="204">
        <f t="shared" si="1"/>
        <v>25541.766113170444</v>
      </c>
      <c r="BV9" s="204">
        <f t="shared" si="1"/>
        <v>25541.766113170444</v>
      </c>
      <c r="BW9" s="204">
        <f t="shared" si="1"/>
        <v>25541.766113170444</v>
      </c>
      <c r="BX9" s="204">
        <f t="shared" si="1"/>
        <v>48608.336911454768</v>
      </c>
      <c r="BY9" s="204">
        <f t="shared" si="1"/>
        <v>48608.336911454768</v>
      </c>
      <c r="BZ9" s="204">
        <f t="shared" si="1"/>
        <v>48608.336911454768</v>
      </c>
      <c r="CA9" s="204">
        <f t="shared" si="2"/>
        <v>48608.336911454768</v>
      </c>
      <c r="CB9" s="204">
        <f t="shared" si="2"/>
        <v>48608.336911454768</v>
      </c>
      <c r="CC9" s="204">
        <f t="shared" si="2"/>
        <v>48608.336911454768</v>
      </c>
      <c r="CD9" s="204">
        <f t="shared" si="2"/>
        <v>48608.336911454768</v>
      </c>
      <c r="CE9" s="204">
        <f t="shared" si="2"/>
        <v>48608.336911454768</v>
      </c>
      <c r="CF9" s="204">
        <f t="shared" si="2"/>
        <v>48608.336911454768</v>
      </c>
      <c r="CG9" s="204">
        <f t="shared" si="2"/>
        <v>48608.336911454768</v>
      </c>
      <c r="CH9" s="204">
        <f t="shared" si="2"/>
        <v>48608.336911454768</v>
      </c>
      <c r="CI9" s="204">
        <f t="shared" si="2"/>
        <v>48608.336911454768</v>
      </c>
      <c r="CJ9" s="204">
        <f t="shared" si="2"/>
        <v>48608.336911454768</v>
      </c>
      <c r="CK9" s="204">
        <f t="shared" si="2"/>
        <v>48608.336911454768</v>
      </c>
      <c r="CL9" s="204">
        <f t="shared" si="2"/>
        <v>48608.336911454768</v>
      </c>
      <c r="CM9" s="204">
        <f t="shared" si="2"/>
        <v>48608.336911454768</v>
      </c>
      <c r="CN9" s="204">
        <f t="shared" si="2"/>
        <v>48608.336911454768</v>
      </c>
      <c r="CO9" s="204">
        <f t="shared" si="2"/>
        <v>48608.336911454768</v>
      </c>
      <c r="CP9" s="204">
        <f t="shared" si="2"/>
        <v>48608.336911454768</v>
      </c>
      <c r="CQ9" s="204">
        <f t="shared" si="2"/>
        <v>48608.336911454768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174655.97499374344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174655.97499374344</v>
      </c>
      <c r="CS10" s="204">
        <f t="shared" si="3"/>
        <v>174655.97499374344</v>
      </c>
      <c r="CT10" s="204">
        <f t="shared" si="3"/>
        <v>174655.97499374344</v>
      </c>
      <c r="CU10" s="204">
        <f t="shared" si="3"/>
        <v>174655.97499374344</v>
      </c>
      <c r="CV10" s="204">
        <f t="shared" si="3"/>
        <v>174655.97499374344</v>
      </c>
      <c r="CW10" s="204">
        <f t="shared" si="3"/>
        <v>174655.97499374344</v>
      </c>
      <c r="CX10" s="204">
        <f t="shared" si="3"/>
        <v>174655.97499374344</v>
      </c>
      <c r="CY10" s="204">
        <f t="shared" si="3"/>
        <v>174655.97499374344</v>
      </c>
      <c r="CZ10" s="204">
        <f t="shared" si="3"/>
        <v>174655.97499374344</v>
      </c>
      <c r="DA10" s="204">
        <f t="shared" si="3"/>
        <v>174655.97499374344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30848.328050842993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30848.328050842993</v>
      </c>
      <c r="BY11" s="204">
        <f t="shared" si="8"/>
        <v>30848.328050842993</v>
      </c>
      <c r="BZ11" s="204">
        <f t="shared" si="8"/>
        <v>30848.328050842993</v>
      </c>
      <c r="CA11" s="204">
        <f t="shared" si="2"/>
        <v>30848.328050842993</v>
      </c>
      <c r="CB11" s="204">
        <f t="shared" si="2"/>
        <v>30848.328050842993</v>
      </c>
      <c r="CC11" s="204">
        <f t="shared" si="2"/>
        <v>30848.328050842993</v>
      </c>
      <c r="CD11" s="204">
        <f t="shared" si="2"/>
        <v>30848.328050842993</v>
      </c>
      <c r="CE11" s="204">
        <f t="shared" si="2"/>
        <v>30848.328050842993</v>
      </c>
      <c r="CF11" s="204">
        <f t="shared" si="2"/>
        <v>30848.328050842993</v>
      </c>
      <c r="CG11" s="204">
        <f t="shared" si="2"/>
        <v>30848.328050842993</v>
      </c>
      <c r="CH11" s="204">
        <f t="shared" si="2"/>
        <v>30848.328050842993</v>
      </c>
      <c r="CI11" s="204">
        <f t="shared" si="2"/>
        <v>30848.328050842993</v>
      </c>
      <c r="CJ11" s="204">
        <f t="shared" si="2"/>
        <v>30848.328050842993</v>
      </c>
      <c r="CK11" s="204">
        <f t="shared" si="2"/>
        <v>30848.328050842993</v>
      </c>
      <c r="CL11" s="204">
        <f t="shared" si="2"/>
        <v>30848.328050842993</v>
      </c>
      <c r="CM11" s="204">
        <f t="shared" si="2"/>
        <v>30848.328050842993</v>
      </c>
      <c r="CN11" s="204">
        <f t="shared" si="2"/>
        <v>30848.328050842993</v>
      </c>
      <c r="CO11" s="204">
        <f t="shared" si="2"/>
        <v>30848.328050842993</v>
      </c>
      <c r="CP11" s="204">
        <f t="shared" si="2"/>
        <v>30848.328050842993</v>
      </c>
      <c r="CQ11" s="204">
        <f t="shared" si="2"/>
        <v>30848.328050842993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12702.252726817702</v>
      </c>
      <c r="E12" s="203">
        <f>Income!E82</f>
        <v>267654.61102937302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12702.252726817702</v>
      </c>
      <c r="BY12" s="204">
        <f t="shared" si="8"/>
        <v>12702.252726817702</v>
      </c>
      <c r="BZ12" s="204">
        <f t="shared" si="8"/>
        <v>12702.252726817702</v>
      </c>
      <c r="CA12" s="204">
        <f t="shared" si="2"/>
        <v>12702.252726817702</v>
      </c>
      <c r="CB12" s="204">
        <f t="shared" si="2"/>
        <v>12702.252726817702</v>
      </c>
      <c r="CC12" s="204">
        <f t="shared" si="2"/>
        <v>12702.252726817702</v>
      </c>
      <c r="CD12" s="204">
        <f t="shared" si="2"/>
        <v>12702.252726817702</v>
      </c>
      <c r="CE12" s="204">
        <f t="shared" si="2"/>
        <v>12702.252726817702</v>
      </c>
      <c r="CF12" s="204">
        <f t="shared" si="2"/>
        <v>12702.252726817702</v>
      </c>
      <c r="CG12" s="204">
        <f t="shared" si="2"/>
        <v>12702.252726817702</v>
      </c>
      <c r="CH12" s="204">
        <f t="shared" si="2"/>
        <v>12702.252726817702</v>
      </c>
      <c r="CI12" s="204">
        <f t="shared" si="2"/>
        <v>12702.252726817702</v>
      </c>
      <c r="CJ12" s="204">
        <f t="shared" si="2"/>
        <v>12702.252726817702</v>
      </c>
      <c r="CK12" s="204">
        <f t="shared" si="2"/>
        <v>12702.252726817702</v>
      </c>
      <c r="CL12" s="204">
        <f t="shared" si="2"/>
        <v>12702.252726817702</v>
      </c>
      <c r="CM12" s="204">
        <f t="shared" si="2"/>
        <v>12702.252726817702</v>
      </c>
      <c r="CN12" s="204">
        <f t="shared" si="2"/>
        <v>12702.252726817702</v>
      </c>
      <c r="CO12" s="204">
        <f t="shared" si="2"/>
        <v>12702.252726817702</v>
      </c>
      <c r="CP12" s="204">
        <f t="shared" si="2"/>
        <v>12702.252726817702</v>
      </c>
      <c r="CQ12" s="204">
        <f t="shared" si="2"/>
        <v>12702.252726817702</v>
      </c>
      <c r="CR12" s="204">
        <f t="shared" si="2"/>
        <v>267654.61102937302</v>
      </c>
      <c r="CS12" s="204">
        <f t="shared" si="3"/>
        <v>267654.61102937302</v>
      </c>
      <c r="CT12" s="204">
        <f t="shared" si="3"/>
        <v>267654.61102937302</v>
      </c>
      <c r="CU12" s="204">
        <f t="shared" si="3"/>
        <v>267654.61102937302</v>
      </c>
      <c r="CV12" s="204">
        <f t="shared" si="3"/>
        <v>267654.61102937302</v>
      </c>
      <c r="CW12" s="204">
        <f t="shared" si="3"/>
        <v>267654.61102937302</v>
      </c>
      <c r="CX12" s="204">
        <f t="shared" si="3"/>
        <v>267654.61102937302</v>
      </c>
      <c r="CY12" s="204">
        <f t="shared" si="3"/>
        <v>267654.61102937302</v>
      </c>
      <c r="CZ12" s="204">
        <f t="shared" si="3"/>
        <v>267654.61102937302</v>
      </c>
      <c r="DA12" s="204">
        <f t="shared" si="3"/>
        <v>267654.61102937302</v>
      </c>
      <c r="DB12" s="204"/>
    </row>
    <row r="13" spans="1:106">
      <c r="A13" s="201" t="str">
        <f>Income!A83</f>
        <v>Food transfer - official</v>
      </c>
      <c r="B13" s="203">
        <f>Income!B83</f>
        <v>3705.3892346012062</v>
      </c>
      <c r="C13" s="203">
        <f>Income!C83</f>
        <v>3705.3892346012058</v>
      </c>
      <c r="D13" s="203">
        <f>Income!D83</f>
        <v>3368.5356678192775</v>
      </c>
      <c r="E13" s="203">
        <f>Income!E83</f>
        <v>0</v>
      </c>
      <c r="F13" s="204">
        <f t="shared" si="4"/>
        <v>3705.3892346012062</v>
      </c>
      <c r="G13" s="204">
        <f t="shared" si="4"/>
        <v>3705.3892346012062</v>
      </c>
      <c r="H13" s="204">
        <f t="shared" si="4"/>
        <v>3705.3892346012062</v>
      </c>
      <c r="I13" s="204">
        <f t="shared" si="4"/>
        <v>3705.3892346012062</v>
      </c>
      <c r="J13" s="204">
        <f t="shared" si="4"/>
        <v>3705.3892346012062</v>
      </c>
      <c r="K13" s="204">
        <f t="shared" si="4"/>
        <v>3705.3892346012062</v>
      </c>
      <c r="L13" s="204">
        <f t="shared" si="4"/>
        <v>3705.3892346012062</v>
      </c>
      <c r="M13" s="204">
        <f t="shared" si="4"/>
        <v>3705.3892346012062</v>
      </c>
      <c r="N13" s="204">
        <f t="shared" si="4"/>
        <v>3705.3892346012062</v>
      </c>
      <c r="O13" s="204">
        <f t="shared" si="4"/>
        <v>3705.3892346012062</v>
      </c>
      <c r="P13" s="204">
        <f t="shared" si="4"/>
        <v>3705.3892346012062</v>
      </c>
      <c r="Q13" s="204">
        <f t="shared" si="4"/>
        <v>3705.3892346012062</v>
      </c>
      <c r="R13" s="204">
        <f t="shared" si="4"/>
        <v>3705.3892346012062</v>
      </c>
      <c r="S13" s="204">
        <f t="shared" si="4"/>
        <v>3705.3892346012062</v>
      </c>
      <c r="T13" s="204">
        <f t="shared" si="4"/>
        <v>3705.3892346012062</v>
      </c>
      <c r="U13" s="204">
        <f t="shared" si="4"/>
        <v>3705.3892346012062</v>
      </c>
      <c r="V13" s="204">
        <f t="shared" si="6"/>
        <v>3705.3892346012062</v>
      </c>
      <c r="W13" s="204">
        <f t="shared" si="6"/>
        <v>3705.3892346012062</v>
      </c>
      <c r="X13" s="204">
        <f t="shared" si="6"/>
        <v>3705.3892346012062</v>
      </c>
      <c r="Y13" s="204">
        <f t="shared" si="6"/>
        <v>3705.3892346012062</v>
      </c>
      <c r="Z13" s="204">
        <f t="shared" si="6"/>
        <v>3705.3892346012062</v>
      </c>
      <c r="AA13" s="204">
        <f t="shared" si="6"/>
        <v>3705.3892346012062</v>
      </c>
      <c r="AB13" s="204">
        <f t="shared" si="6"/>
        <v>3705.3892346012062</v>
      </c>
      <c r="AC13" s="204">
        <f t="shared" si="6"/>
        <v>3705.3892346012062</v>
      </c>
      <c r="AD13" s="204">
        <f t="shared" si="6"/>
        <v>3705.3892346012062</v>
      </c>
      <c r="AE13" s="204">
        <f t="shared" si="6"/>
        <v>3705.3892346012062</v>
      </c>
      <c r="AF13" s="204">
        <f t="shared" si="6"/>
        <v>3705.3892346012062</v>
      </c>
      <c r="AG13" s="204">
        <f t="shared" si="6"/>
        <v>3705.3892346012062</v>
      </c>
      <c r="AH13" s="204">
        <f t="shared" si="6"/>
        <v>3705.3892346012062</v>
      </c>
      <c r="AI13" s="204">
        <f t="shared" si="6"/>
        <v>3705.3892346012062</v>
      </c>
      <c r="AJ13" s="204">
        <f t="shared" si="6"/>
        <v>3705.3892346012062</v>
      </c>
      <c r="AK13" s="204">
        <f t="shared" si="6"/>
        <v>3705.3892346012062</v>
      </c>
      <c r="AL13" s="204">
        <f t="shared" si="7"/>
        <v>3705.3892346012062</v>
      </c>
      <c r="AM13" s="204">
        <f t="shared" si="7"/>
        <v>3705.3892346012062</v>
      </c>
      <c r="AN13" s="204">
        <f t="shared" si="7"/>
        <v>3705.3892346012062</v>
      </c>
      <c r="AO13" s="204">
        <f t="shared" si="7"/>
        <v>3705.3892346012058</v>
      </c>
      <c r="AP13" s="204">
        <f t="shared" si="7"/>
        <v>3705.3892346012058</v>
      </c>
      <c r="AQ13" s="204">
        <f t="shared" si="7"/>
        <v>3705.3892346012058</v>
      </c>
      <c r="AR13" s="204">
        <f t="shared" si="7"/>
        <v>3705.3892346012058</v>
      </c>
      <c r="AS13" s="204">
        <f t="shared" si="7"/>
        <v>3705.3892346012058</v>
      </c>
      <c r="AT13" s="204">
        <f t="shared" si="7"/>
        <v>3705.3892346012058</v>
      </c>
      <c r="AU13" s="204">
        <f t="shared" si="7"/>
        <v>3705.3892346012058</v>
      </c>
      <c r="AV13" s="204">
        <f t="shared" si="7"/>
        <v>3705.3892346012058</v>
      </c>
      <c r="AW13" s="204">
        <f t="shared" si="7"/>
        <v>3705.3892346012058</v>
      </c>
      <c r="AX13" s="204">
        <f t="shared" si="8"/>
        <v>3705.3892346012058</v>
      </c>
      <c r="AY13" s="204">
        <f t="shared" si="8"/>
        <v>3705.3892346012058</v>
      </c>
      <c r="AZ13" s="204">
        <f t="shared" si="8"/>
        <v>3705.3892346012058</v>
      </c>
      <c r="BA13" s="204">
        <f t="shared" si="8"/>
        <v>3705.3892346012058</v>
      </c>
      <c r="BB13" s="204">
        <f t="shared" si="8"/>
        <v>3705.3892346012058</v>
      </c>
      <c r="BC13" s="204">
        <f t="shared" si="8"/>
        <v>3705.3892346012058</v>
      </c>
      <c r="BD13" s="204">
        <f t="shared" si="8"/>
        <v>3705.3892346012058</v>
      </c>
      <c r="BE13" s="204">
        <f t="shared" si="8"/>
        <v>3705.3892346012058</v>
      </c>
      <c r="BF13" s="204">
        <f t="shared" si="8"/>
        <v>3705.3892346012058</v>
      </c>
      <c r="BG13" s="204">
        <f t="shared" si="8"/>
        <v>3705.3892346012058</v>
      </c>
      <c r="BH13" s="204">
        <f t="shared" si="8"/>
        <v>3705.3892346012058</v>
      </c>
      <c r="BI13" s="204">
        <f t="shared" si="8"/>
        <v>3705.3892346012058</v>
      </c>
      <c r="BJ13" s="204">
        <f t="shared" si="8"/>
        <v>3705.3892346012058</v>
      </c>
      <c r="BK13" s="204">
        <f t="shared" si="8"/>
        <v>3705.3892346012058</v>
      </c>
      <c r="BL13" s="204">
        <f t="shared" si="8"/>
        <v>3705.3892346012058</v>
      </c>
      <c r="BM13" s="204">
        <f t="shared" si="8"/>
        <v>3705.3892346012058</v>
      </c>
      <c r="BN13" s="204">
        <f t="shared" si="8"/>
        <v>3705.3892346012058</v>
      </c>
      <c r="BO13" s="204">
        <f t="shared" si="8"/>
        <v>3705.3892346012058</v>
      </c>
      <c r="BP13" s="204">
        <f t="shared" si="8"/>
        <v>3705.3892346012058</v>
      </c>
      <c r="BQ13" s="204">
        <f t="shared" si="8"/>
        <v>3705.3892346012058</v>
      </c>
      <c r="BR13" s="204">
        <f t="shared" si="8"/>
        <v>3705.3892346012058</v>
      </c>
      <c r="BS13" s="204">
        <f t="shared" si="8"/>
        <v>3705.3892346012058</v>
      </c>
      <c r="BT13" s="204">
        <f t="shared" si="8"/>
        <v>3705.3892346012058</v>
      </c>
      <c r="BU13" s="204">
        <f t="shared" si="8"/>
        <v>3705.3892346012058</v>
      </c>
      <c r="BV13" s="204">
        <f t="shared" si="8"/>
        <v>3705.3892346012058</v>
      </c>
      <c r="BW13" s="204">
        <f t="shared" si="8"/>
        <v>3705.3892346012058</v>
      </c>
      <c r="BX13" s="204">
        <f t="shared" si="8"/>
        <v>3368.5356678192775</v>
      </c>
      <c r="BY13" s="204">
        <f t="shared" si="8"/>
        <v>3368.5356678192775</v>
      </c>
      <c r="BZ13" s="204">
        <f t="shared" si="8"/>
        <v>3368.5356678192775</v>
      </c>
      <c r="CA13" s="204">
        <f t="shared" si="2"/>
        <v>3368.5356678192775</v>
      </c>
      <c r="CB13" s="204">
        <f t="shared" si="2"/>
        <v>3368.5356678192775</v>
      </c>
      <c r="CC13" s="204">
        <f t="shared" si="2"/>
        <v>3368.5356678192775</v>
      </c>
      <c r="CD13" s="204">
        <f t="shared" si="2"/>
        <v>3368.5356678192775</v>
      </c>
      <c r="CE13" s="204">
        <f t="shared" si="2"/>
        <v>3368.5356678192775</v>
      </c>
      <c r="CF13" s="204">
        <f t="shared" si="2"/>
        <v>3368.5356678192775</v>
      </c>
      <c r="CG13" s="204">
        <f t="shared" si="2"/>
        <v>3368.5356678192775</v>
      </c>
      <c r="CH13" s="204">
        <f t="shared" si="2"/>
        <v>3368.5356678192775</v>
      </c>
      <c r="CI13" s="204">
        <f t="shared" si="2"/>
        <v>3368.5356678192775</v>
      </c>
      <c r="CJ13" s="204">
        <f t="shared" si="2"/>
        <v>3368.5356678192775</v>
      </c>
      <c r="CK13" s="204">
        <f t="shared" si="2"/>
        <v>3368.5356678192775</v>
      </c>
      <c r="CL13" s="204">
        <f t="shared" si="2"/>
        <v>3368.5356678192775</v>
      </c>
      <c r="CM13" s="204">
        <f t="shared" si="2"/>
        <v>3368.5356678192775</v>
      </c>
      <c r="CN13" s="204">
        <f t="shared" si="2"/>
        <v>3368.5356678192775</v>
      </c>
      <c r="CO13" s="204">
        <f t="shared" si="2"/>
        <v>3368.5356678192775</v>
      </c>
      <c r="CP13" s="204">
        <f t="shared" si="2"/>
        <v>3368.5356678192775</v>
      </c>
      <c r="CQ13" s="204">
        <f t="shared" si="2"/>
        <v>3368.5356678192775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42824.737764699697</v>
      </c>
      <c r="C14" s="203">
        <f>Income!C85</f>
        <v>42824.737764699683</v>
      </c>
      <c r="D14" s="203">
        <f>Income!D85</f>
        <v>12883.713480057955</v>
      </c>
      <c r="E14" s="203">
        <f>Income!E85</f>
        <v>16104.641850072447</v>
      </c>
      <c r="F14" s="204">
        <f t="shared" si="4"/>
        <v>42824.737764699697</v>
      </c>
      <c r="G14" s="204">
        <f t="shared" si="4"/>
        <v>42824.737764699697</v>
      </c>
      <c r="H14" s="204">
        <f t="shared" si="4"/>
        <v>42824.737764699697</v>
      </c>
      <c r="I14" s="204">
        <f t="shared" si="4"/>
        <v>42824.737764699697</v>
      </c>
      <c r="J14" s="204">
        <f t="shared" si="4"/>
        <v>42824.737764699697</v>
      </c>
      <c r="K14" s="204">
        <f t="shared" si="4"/>
        <v>42824.737764699697</v>
      </c>
      <c r="L14" s="204">
        <f t="shared" si="4"/>
        <v>42824.737764699697</v>
      </c>
      <c r="M14" s="204">
        <f t="shared" si="4"/>
        <v>42824.737764699697</v>
      </c>
      <c r="N14" s="204">
        <f t="shared" si="4"/>
        <v>42824.737764699697</v>
      </c>
      <c r="O14" s="204">
        <f t="shared" si="4"/>
        <v>42824.737764699697</v>
      </c>
      <c r="P14" s="204">
        <f t="shared" si="4"/>
        <v>42824.737764699697</v>
      </c>
      <c r="Q14" s="204">
        <f t="shared" si="4"/>
        <v>42824.737764699697</v>
      </c>
      <c r="R14" s="204">
        <f t="shared" si="4"/>
        <v>42824.737764699697</v>
      </c>
      <c r="S14" s="204">
        <f t="shared" si="4"/>
        <v>42824.737764699697</v>
      </c>
      <c r="T14" s="204">
        <f t="shared" si="4"/>
        <v>42824.737764699697</v>
      </c>
      <c r="U14" s="204">
        <f t="shared" si="4"/>
        <v>42824.737764699697</v>
      </c>
      <c r="V14" s="204">
        <f t="shared" si="6"/>
        <v>42824.737764699697</v>
      </c>
      <c r="W14" s="204">
        <f t="shared" si="6"/>
        <v>42824.737764699697</v>
      </c>
      <c r="X14" s="204">
        <f t="shared" si="6"/>
        <v>42824.737764699697</v>
      </c>
      <c r="Y14" s="204">
        <f t="shared" si="6"/>
        <v>42824.737764699697</v>
      </c>
      <c r="Z14" s="204">
        <f t="shared" si="6"/>
        <v>42824.737764699697</v>
      </c>
      <c r="AA14" s="204">
        <f t="shared" si="6"/>
        <v>42824.737764699697</v>
      </c>
      <c r="AB14" s="204">
        <f t="shared" si="6"/>
        <v>42824.737764699697</v>
      </c>
      <c r="AC14" s="204">
        <f t="shared" si="6"/>
        <v>42824.737764699697</v>
      </c>
      <c r="AD14" s="204">
        <f t="shared" si="6"/>
        <v>42824.737764699697</v>
      </c>
      <c r="AE14" s="204">
        <f t="shared" si="6"/>
        <v>42824.737764699697</v>
      </c>
      <c r="AF14" s="204">
        <f t="shared" si="6"/>
        <v>42824.737764699697</v>
      </c>
      <c r="AG14" s="204">
        <f t="shared" si="6"/>
        <v>42824.737764699697</v>
      </c>
      <c r="AH14" s="204">
        <f t="shared" si="6"/>
        <v>42824.737764699697</v>
      </c>
      <c r="AI14" s="204">
        <f t="shared" si="6"/>
        <v>42824.737764699697</v>
      </c>
      <c r="AJ14" s="204">
        <f t="shared" si="6"/>
        <v>42824.737764699697</v>
      </c>
      <c r="AK14" s="204">
        <f t="shared" si="6"/>
        <v>42824.737764699697</v>
      </c>
      <c r="AL14" s="204">
        <f t="shared" si="7"/>
        <v>42824.737764699697</v>
      </c>
      <c r="AM14" s="204">
        <f t="shared" si="7"/>
        <v>42824.737764699697</v>
      </c>
      <c r="AN14" s="204">
        <f t="shared" si="7"/>
        <v>42824.737764699697</v>
      </c>
      <c r="AO14" s="204">
        <f t="shared" si="7"/>
        <v>42824.737764699683</v>
      </c>
      <c r="AP14" s="204">
        <f t="shared" si="7"/>
        <v>42824.737764699683</v>
      </c>
      <c r="AQ14" s="204">
        <f t="shared" si="7"/>
        <v>42824.737764699683</v>
      </c>
      <c r="AR14" s="204">
        <f t="shared" si="7"/>
        <v>42824.737764699683</v>
      </c>
      <c r="AS14" s="204">
        <f t="shared" si="7"/>
        <v>42824.737764699683</v>
      </c>
      <c r="AT14" s="204">
        <f t="shared" si="7"/>
        <v>42824.737764699683</v>
      </c>
      <c r="AU14" s="204">
        <f t="shared" si="7"/>
        <v>42824.737764699683</v>
      </c>
      <c r="AV14" s="204">
        <f t="shared" si="7"/>
        <v>42824.737764699683</v>
      </c>
      <c r="AW14" s="204">
        <f t="shared" si="7"/>
        <v>42824.737764699683</v>
      </c>
      <c r="AX14" s="204">
        <f t="shared" si="7"/>
        <v>42824.737764699683</v>
      </c>
      <c r="AY14" s="204">
        <f t="shared" si="7"/>
        <v>42824.737764699683</v>
      </c>
      <c r="AZ14" s="204">
        <f t="shared" si="7"/>
        <v>42824.737764699683</v>
      </c>
      <c r="BA14" s="204">
        <f t="shared" si="7"/>
        <v>42824.737764699683</v>
      </c>
      <c r="BB14" s="204">
        <f t="shared" si="8"/>
        <v>42824.737764699683</v>
      </c>
      <c r="BC14" s="204">
        <f t="shared" si="8"/>
        <v>42824.737764699683</v>
      </c>
      <c r="BD14" s="204">
        <f t="shared" si="8"/>
        <v>42824.737764699683</v>
      </c>
      <c r="BE14" s="204">
        <f t="shared" si="8"/>
        <v>42824.737764699683</v>
      </c>
      <c r="BF14" s="204">
        <f t="shared" si="8"/>
        <v>42824.737764699683</v>
      </c>
      <c r="BG14" s="204">
        <f t="shared" si="8"/>
        <v>42824.737764699683</v>
      </c>
      <c r="BH14" s="204">
        <f t="shared" si="8"/>
        <v>42824.737764699683</v>
      </c>
      <c r="BI14" s="204">
        <f t="shared" si="8"/>
        <v>42824.737764699683</v>
      </c>
      <c r="BJ14" s="204">
        <f t="shared" si="8"/>
        <v>42824.737764699683</v>
      </c>
      <c r="BK14" s="204">
        <f t="shared" si="8"/>
        <v>42824.737764699683</v>
      </c>
      <c r="BL14" s="204">
        <f t="shared" si="8"/>
        <v>42824.737764699683</v>
      </c>
      <c r="BM14" s="204">
        <f t="shared" si="8"/>
        <v>42824.737764699683</v>
      </c>
      <c r="BN14" s="204">
        <f t="shared" si="8"/>
        <v>42824.737764699683</v>
      </c>
      <c r="BO14" s="204">
        <f t="shared" si="8"/>
        <v>42824.737764699683</v>
      </c>
      <c r="BP14" s="204">
        <f t="shared" si="8"/>
        <v>42824.737764699683</v>
      </c>
      <c r="BQ14" s="204">
        <f t="shared" si="8"/>
        <v>42824.737764699683</v>
      </c>
      <c r="BR14" s="204">
        <f t="shared" si="8"/>
        <v>42824.737764699683</v>
      </c>
      <c r="BS14" s="204">
        <f t="shared" si="8"/>
        <v>42824.737764699683</v>
      </c>
      <c r="BT14" s="204">
        <f t="shared" si="8"/>
        <v>42824.737764699683</v>
      </c>
      <c r="BU14" s="204">
        <f t="shared" si="8"/>
        <v>42824.737764699683</v>
      </c>
      <c r="BV14" s="204">
        <f t="shared" si="8"/>
        <v>42824.737764699683</v>
      </c>
      <c r="BW14" s="204">
        <f t="shared" si="8"/>
        <v>42824.737764699683</v>
      </c>
      <c r="BX14" s="204">
        <f t="shared" si="8"/>
        <v>12883.713480057955</v>
      </c>
      <c r="BY14" s="204">
        <f t="shared" si="8"/>
        <v>12883.713480057955</v>
      </c>
      <c r="BZ14" s="204">
        <f t="shared" si="8"/>
        <v>12883.713480057955</v>
      </c>
      <c r="CA14" s="204">
        <f t="shared" si="2"/>
        <v>12883.713480057955</v>
      </c>
      <c r="CB14" s="204">
        <f t="shared" si="2"/>
        <v>12883.713480057955</v>
      </c>
      <c r="CC14" s="204">
        <f t="shared" si="2"/>
        <v>12883.713480057955</v>
      </c>
      <c r="CD14" s="204">
        <f t="shared" si="2"/>
        <v>12883.713480057955</v>
      </c>
      <c r="CE14" s="204">
        <f t="shared" si="2"/>
        <v>12883.713480057955</v>
      </c>
      <c r="CF14" s="204">
        <f t="shared" si="2"/>
        <v>12883.713480057955</v>
      </c>
      <c r="CG14" s="204">
        <f t="shared" si="2"/>
        <v>12883.713480057955</v>
      </c>
      <c r="CH14" s="204">
        <f t="shared" si="2"/>
        <v>12883.713480057955</v>
      </c>
      <c r="CI14" s="204">
        <f t="shared" si="2"/>
        <v>12883.713480057955</v>
      </c>
      <c r="CJ14" s="204">
        <f t="shared" si="2"/>
        <v>12883.713480057955</v>
      </c>
      <c r="CK14" s="204">
        <f t="shared" si="2"/>
        <v>12883.713480057955</v>
      </c>
      <c r="CL14" s="204">
        <f t="shared" si="2"/>
        <v>12883.713480057955</v>
      </c>
      <c r="CM14" s="204">
        <f t="shared" si="2"/>
        <v>12883.713480057955</v>
      </c>
      <c r="CN14" s="204">
        <f t="shared" si="2"/>
        <v>12883.713480057955</v>
      </c>
      <c r="CO14" s="204">
        <f t="shared" si="2"/>
        <v>12883.713480057955</v>
      </c>
      <c r="CP14" s="204">
        <f t="shared" si="2"/>
        <v>12883.713480057955</v>
      </c>
      <c r="CQ14" s="204">
        <f t="shared" si="2"/>
        <v>12883.713480057955</v>
      </c>
      <c r="CR14" s="204">
        <f t="shared" si="2"/>
        <v>16104.641850072447</v>
      </c>
      <c r="CS14" s="204">
        <f t="shared" si="3"/>
        <v>16104.641850072447</v>
      </c>
      <c r="CT14" s="204">
        <f t="shared" si="3"/>
        <v>16104.641850072447</v>
      </c>
      <c r="CU14" s="204">
        <f t="shared" si="3"/>
        <v>16104.641850072447</v>
      </c>
      <c r="CV14" s="204">
        <f t="shared" si="3"/>
        <v>16104.641850072447</v>
      </c>
      <c r="CW14" s="204">
        <f t="shared" si="3"/>
        <v>16104.641850072447</v>
      </c>
      <c r="CX14" s="204">
        <f t="shared" si="3"/>
        <v>16104.641850072447</v>
      </c>
      <c r="CY14" s="204">
        <f t="shared" si="3"/>
        <v>16104.641850072447</v>
      </c>
      <c r="CZ14" s="204">
        <f t="shared" si="3"/>
        <v>16104.641850072447</v>
      </c>
      <c r="DA14" s="204">
        <f t="shared" si="3"/>
        <v>16104.641850072447</v>
      </c>
      <c r="DB14" s="204"/>
    </row>
    <row r="15" spans="1:106">
      <c r="A15" s="201" t="str">
        <f>Income!A86</f>
        <v>Cash transfer - gifts</v>
      </c>
      <c r="B15" s="203">
        <f>Income!B86</f>
        <v>1512.1729436687742</v>
      </c>
      <c r="C15" s="203">
        <f>Income!C86</f>
        <v>0</v>
      </c>
      <c r="D15" s="203">
        <f>Income!D86</f>
        <v>1512.172943668774</v>
      </c>
      <c r="E15" s="203">
        <f>Income!E86</f>
        <v>2835.3242693789521</v>
      </c>
      <c r="F15" s="204">
        <f t="shared" si="4"/>
        <v>1512.1729436687742</v>
      </c>
      <c r="G15" s="204">
        <f t="shared" si="4"/>
        <v>1512.1729436687742</v>
      </c>
      <c r="H15" s="204">
        <f t="shared" si="4"/>
        <v>1512.1729436687742</v>
      </c>
      <c r="I15" s="204">
        <f t="shared" si="4"/>
        <v>1512.1729436687742</v>
      </c>
      <c r="J15" s="204">
        <f t="shared" si="4"/>
        <v>1512.1729436687742</v>
      </c>
      <c r="K15" s="204">
        <f t="shared" si="4"/>
        <v>1512.1729436687742</v>
      </c>
      <c r="L15" s="204">
        <f t="shared" si="4"/>
        <v>1512.1729436687742</v>
      </c>
      <c r="M15" s="204">
        <f t="shared" si="4"/>
        <v>1512.1729436687742</v>
      </c>
      <c r="N15" s="204">
        <f t="shared" si="4"/>
        <v>1512.1729436687742</v>
      </c>
      <c r="O15" s="204">
        <f t="shared" si="4"/>
        <v>1512.1729436687742</v>
      </c>
      <c r="P15" s="204">
        <f t="shared" si="4"/>
        <v>1512.1729436687742</v>
      </c>
      <c r="Q15" s="204">
        <f t="shared" si="4"/>
        <v>1512.1729436687742</v>
      </c>
      <c r="R15" s="204">
        <f t="shared" si="4"/>
        <v>1512.1729436687742</v>
      </c>
      <c r="S15" s="204">
        <f t="shared" si="4"/>
        <v>1512.1729436687742</v>
      </c>
      <c r="T15" s="204">
        <f t="shared" si="4"/>
        <v>1512.1729436687742</v>
      </c>
      <c r="U15" s="204">
        <f t="shared" si="4"/>
        <v>1512.1729436687742</v>
      </c>
      <c r="V15" s="204">
        <f t="shared" si="6"/>
        <v>1512.1729436687742</v>
      </c>
      <c r="W15" s="204">
        <f t="shared" si="6"/>
        <v>1512.1729436687742</v>
      </c>
      <c r="X15" s="204">
        <f t="shared" si="6"/>
        <v>1512.1729436687742</v>
      </c>
      <c r="Y15" s="204">
        <f t="shared" si="6"/>
        <v>1512.1729436687742</v>
      </c>
      <c r="Z15" s="204">
        <f t="shared" si="6"/>
        <v>1512.1729436687742</v>
      </c>
      <c r="AA15" s="204">
        <f t="shared" si="6"/>
        <v>1512.1729436687742</v>
      </c>
      <c r="AB15" s="204">
        <f t="shared" si="6"/>
        <v>1512.1729436687742</v>
      </c>
      <c r="AC15" s="204">
        <f t="shared" si="6"/>
        <v>1512.1729436687742</v>
      </c>
      <c r="AD15" s="204">
        <f t="shared" si="6"/>
        <v>1512.1729436687742</v>
      </c>
      <c r="AE15" s="204">
        <f t="shared" si="6"/>
        <v>1512.1729436687742</v>
      </c>
      <c r="AF15" s="204">
        <f t="shared" si="6"/>
        <v>1512.1729436687742</v>
      </c>
      <c r="AG15" s="204">
        <f t="shared" si="6"/>
        <v>1512.1729436687742</v>
      </c>
      <c r="AH15" s="204">
        <f t="shared" si="6"/>
        <v>1512.1729436687742</v>
      </c>
      <c r="AI15" s="204">
        <f t="shared" si="6"/>
        <v>1512.1729436687742</v>
      </c>
      <c r="AJ15" s="204">
        <f t="shared" si="6"/>
        <v>1512.1729436687742</v>
      </c>
      <c r="AK15" s="204">
        <f t="shared" si="6"/>
        <v>1512.1729436687742</v>
      </c>
      <c r="AL15" s="204">
        <f t="shared" si="7"/>
        <v>1512.1729436687742</v>
      </c>
      <c r="AM15" s="204">
        <f t="shared" si="7"/>
        <v>1512.1729436687742</v>
      </c>
      <c r="AN15" s="204">
        <f t="shared" si="7"/>
        <v>1512.1729436687742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1512.172943668774</v>
      </c>
      <c r="BY15" s="204">
        <f t="shared" si="8"/>
        <v>1512.172943668774</v>
      </c>
      <c r="BZ15" s="204">
        <f t="shared" si="8"/>
        <v>1512.172943668774</v>
      </c>
      <c r="CA15" s="204">
        <f t="shared" si="2"/>
        <v>1512.172943668774</v>
      </c>
      <c r="CB15" s="204">
        <f t="shared" si="2"/>
        <v>1512.172943668774</v>
      </c>
      <c r="CC15" s="204">
        <f t="shared" si="2"/>
        <v>1512.172943668774</v>
      </c>
      <c r="CD15" s="204">
        <f t="shared" ref="CC15:CR18" si="9">IF(CD$2&lt;=($B$2+$C$2+$D$2),IF(CD$2&lt;=($B$2+$C$2),IF(CD$2&lt;=$B$2,$B15,$C15),$D15),$E15)</f>
        <v>1512.172943668774</v>
      </c>
      <c r="CE15" s="204">
        <f t="shared" si="9"/>
        <v>1512.172943668774</v>
      </c>
      <c r="CF15" s="204">
        <f t="shared" si="9"/>
        <v>1512.172943668774</v>
      </c>
      <c r="CG15" s="204">
        <f t="shared" si="9"/>
        <v>1512.172943668774</v>
      </c>
      <c r="CH15" s="204">
        <f t="shared" si="9"/>
        <v>1512.172943668774</v>
      </c>
      <c r="CI15" s="204">
        <f t="shared" si="9"/>
        <v>1512.172943668774</v>
      </c>
      <c r="CJ15" s="204">
        <f t="shared" si="9"/>
        <v>1512.172943668774</v>
      </c>
      <c r="CK15" s="204">
        <f t="shared" si="9"/>
        <v>1512.172943668774</v>
      </c>
      <c r="CL15" s="204">
        <f t="shared" si="9"/>
        <v>1512.172943668774</v>
      </c>
      <c r="CM15" s="204">
        <f t="shared" si="9"/>
        <v>1512.172943668774</v>
      </c>
      <c r="CN15" s="204">
        <f t="shared" si="9"/>
        <v>1512.172943668774</v>
      </c>
      <c r="CO15" s="204">
        <f t="shared" si="9"/>
        <v>1512.172943668774</v>
      </c>
      <c r="CP15" s="204">
        <f t="shared" si="9"/>
        <v>1512.172943668774</v>
      </c>
      <c r="CQ15" s="204">
        <f t="shared" si="9"/>
        <v>1512.172943668774</v>
      </c>
      <c r="CR15" s="204">
        <f t="shared" si="9"/>
        <v>2835.3242693789521</v>
      </c>
      <c r="CS15" s="204">
        <f t="shared" si="3"/>
        <v>2835.3242693789521</v>
      </c>
      <c r="CT15" s="204">
        <f t="shared" si="3"/>
        <v>2835.3242693789521</v>
      </c>
      <c r="CU15" s="204">
        <f t="shared" si="3"/>
        <v>2835.3242693789521</v>
      </c>
      <c r="CV15" s="204">
        <f t="shared" si="3"/>
        <v>2835.3242693789521</v>
      </c>
      <c r="CW15" s="204">
        <f t="shared" si="3"/>
        <v>2835.3242693789521</v>
      </c>
      <c r="CX15" s="204">
        <f t="shared" si="3"/>
        <v>2835.3242693789521</v>
      </c>
      <c r="CY15" s="204">
        <f t="shared" si="3"/>
        <v>2835.3242693789521</v>
      </c>
      <c r="CZ15" s="204">
        <f t="shared" si="3"/>
        <v>2835.3242693789521</v>
      </c>
      <c r="DA15" s="204">
        <f t="shared" si="3"/>
        <v>2835.3242693789521</v>
      </c>
      <c r="DB15" s="204"/>
    </row>
    <row r="16" spans="1:106">
      <c r="A16" s="201" t="s">
        <v>115</v>
      </c>
      <c r="B16" s="203">
        <f>Income!B88</f>
        <v>85638.064978168986</v>
      </c>
      <c r="C16" s="203">
        <f>Income!C88</f>
        <v>87018.748592605494</v>
      </c>
      <c r="D16" s="203">
        <f>Income!D88</f>
        <v>172461.14243344529</v>
      </c>
      <c r="E16" s="203">
        <f>Income!E88</f>
        <v>586193.49865875475</v>
      </c>
      <c r="F16" s="204">
        <f t="shared" si="4"/>
        <v>85638.064978168986</v>
      </c>
      <c r="G16" s="204">
        <f t="shared" si="4"/>
        <v>85638.064978168986</v>
      </c>
      <c r="H16" s="204">
        <f t="shared" si="4"/>
        <v>85638.064978168986</v>
      </c>
      <c r="I16" s="204">
        <f t="shared" si="4"/>
        <v>85638.064978168986</v>
      </c>
      <c r="J16" s="204">
        <f t="shared" si="4"/>
        <v>85638.064978168986</v>
      </c>
      <c r="K16" s="204">
        <f t="shared" si="4"/>
        <v>85638.064978168986</v>
      </c>
      <c r="L16" s="204">
        <f t="shared" si="4"/>
        <v>85638.064978168986</v>
      </c>
      <c r="M16" s="204">
        <f t="shared" si="4"/>
        <v>85638.064978168986</v>
      </c>
      <c r="N16" s="204">
        <f t="shared" si="4"/>
        <v>85638.064978168986</v>
      </c>
      <c r="O16" s="204">
        <f t="shared" si="4"/>
        <v>85638.064978168986</v>
      </c>
      <c r="P16" s="204">
        <f t="shared" si="4"/>
        <v>85638.064978168986</v>
      </c>
      <c r="Q16" s="204">
        <f t="shared" si="4"/>
        <v>85638.064978168986</v>
      </c>
      <c r="R16" s="204">
        <f t="shared" si="4"/>
        <v>85638.064978168986</v>
      </c>
      <c r="S16" s="204">
        <f t="shared" si="4"/>
        <v>85638.064978168986</v>
      </c>
      <c r="T16" s="204">
        <f t="shared" si="4"/>
        <v>85638.064978168986</v>
      </c>
      <c r="U16" s="204">
        <f t="shared" si="4"/>
        <v>85638.064978168986</v>
      </c>
      <c r="V16" s="204">
        <f t="shared" si="6"/>
        <v>85638.064978168986</v>
      </c>
      <c r="W16" s="204">
        <f t="shared" si="6"/>
        <v>85638.064978168986</v>
      </c>
      <c r="X16" s="204">
        <f t="shared" si="6"/>
        <v>85638.064978168986</v>
      </c>
      <c r="Y16" s="204">
        <f t="shared" si="6"/>
        <v>85638.064978168986</v>
      </c>
      <c r="Z16" s="204">
        <f t="shared" si="6"/>
        <v>85638.064978168986</v>
      </c>
      <c r="AA16" s="204">
        <f t="shared" si="6"/>
        <v>85638.064978168986</v>
      </c>
      <c r="AB16" s="204">
        <f t="shared" si="6"/>
        <v>85638.064978168986</v>
      </c>
      <c r="AC16" s="204">
        <f t="shared" si="6"/>
        <v>85638.064978168986</v>
      </c>
      <c r="AD16" s="204">
        <f t="shared" si="6"/>
        <v>85638.064978168986</v>
      </c>
      <c r="AE16" s="204">
        <f>IF(AE$2&lt;=($B$2+$C$2+$D$2),IF(AE$2&lt;=($B$2+$C$2),IF(AE$2&lt;=$B$2,$B16,$C16),$D16),$E16)</f>
        <v>85638.064978168986</v>
      </c>
      <c r="AF16" s="204">
        <f t="shared" si="6"/>
        <v>85638.064978168986</v>
      </c>
      <c r="AG16" s="204">
        <f t="shared" si="6"/>
        <v>85638.064978168986</v>
      </c>
      <c r="AH16" s="204">
        <f t="shared" si="6"/>
        <v>85638.064978168986</v>
      </c>
      <c r="AI16" s="204">
        <f t="shared" si="6"/>
        <v>85638.064978168986</v>
      </c>
      <c r="AJ16" s="204">
        <f t="shared" si="6"/>
        <v>85638.064978168986</v>
      </c>
      <c r="AK16" s="204">
        <f t="shared" si="6"/>
        <v>85638.064978168986</v>
      </c>
      <c r="AL16" s="204">
        <f t="shared" si="7"/>
        <v>85638.064978168986</v>
      </c>
      <c r="AM16" s="204">
        <f t="shared" si="7"/>
        <v>85638.064978168986</v>
      </c>
      <c r="AN16" s="204">
        <f t="shared" si="7"/>
        <v>85638.064978168986</v>
      </c>
      <c r="AO16" s="204">
        <f t="shared" si="7"/>
        <v>87018.748592605494</v>
      </c>
      <c r="AP16" s="204">
        <f t="shared" si="7"/>
        <v>87018.748592605494</v>
      </c>
      <c r="AQ16" s="204">
        <f t="shared" si="7"/>
        <v>87018.748592605494</v>
      </c>
      <c r="AR16" s="204">
        <f t="shared" si="7"/>
        <v>87018.748592605494</v>
      </c>
      <c r="AS16" s="204">
        <f t="shared" si="7"/>
        <v>87018.748592605494</v>
      </c>
      <c r="AT16" s="204">
        <f t="shared" si="7"/>
        <v>87018.748592605494</v>
      </c>
      <c r="AU16" s="204">
        <f t="shared" si="7"/>
        <v>87018.748592605494</v>
      </c>
      <c r="AV16" s="204">
        <f t="shared" si="7"/>
        <v>87018.748592605494</v>
      </c>
      <c r="AW16" s="204">
        <f t="shared" si="7"/>
        <v>87018.748592605494</v>
      </c>
      <c r="AX16" s="204">
        <f t="shared" si="8"/>
        <v>87018.748592605494</v>
      </c>
      <c r="AY16" s="204">
        <f t="shared" si="8"/>
        <v>87018.748592605494</v>
      </c>
      <c r="AZ16" s="204">
        <f t="shared" si="8"/>
        <v>87018.748592605494</v>
      </c>
      <c r="BA16" s="204">
        <f t="shared" si="8"/>
        <v>87018.748592605494</v>
      </c>
      <c r="BB16" s="204">
        <f t="shared" si="8"/>
        <v>87018.748592605494</v>
      </c>
      <c r="BC16" s="204">
        <f t="shared" si="8"/>
        <v>87018.748592605494</v>
      </c>
      <c r="BD16" s="204">
        <f t="shared" si="8"/>
        <v>87018.748592605494</v>
      </c>
      <c r="BE16" s="204">
        <f t="shared" si="8"/>
        <v>87018.748592605494</v>
      </c>
      <c r="BF16" s="204">
        <f t="shared" si="8"/>
        <v>87018.748592605494</v>
      </c>
      <c r="BG16" s="204">
        <f t="shared" si="8"/>
        <v>87018.748592605494</v>
      </c>
      <c r="BH16" s="204">
        <f t="shared" si="8"/>
        <v>87018.748592605494</v>
      </c>
      <c r="BI16" s="204">
        <f t="shared" si="8"/>
        <v>87018.748592605494</v>
      </c>
      <c r="BJ16" s="204">
        <f t="shared" si="8"/>
        <v>87018.748592605494</v>
      </c>
      <c r="BK16" s="204">
        <f t="shared" si="8"/>
        <v>87018.748592605494</v>
      </c>
      <c r="BL16" s="204">
        <f t="shared" si="8"/>
        <v>87018.748592605494</v>
      </c>
      <c r="BM16" s="204">
        <f t="shared" si="8"/>
        <v>87018.748592605494</v>
      </c>
      <c r="BN16" s="204">
        <f t="shared" si="8"/>
        <v>87018.748592605494</v>
      </c>
      <c r="BO16" s="204">
        <f t="shared" si="8"/>
        <v>87018.748592605494</v>
      </c>
      <c r="BP16" s="204">
        <f t="shared" si="8"/>
        <v>87018.748592605494</v>
      </c>
      <c r="BQ16" s="204">
        <f t="shared" si="8"/>
        <v>87018.748592605494</v>
      </c>
      <c r="BR16" s="204">
        <f t="shared" si="8"/>
        <v>87018.748592605494</v>
      </c>
      <c r="BS16" s="204">
        <f t="shared" si="8"/>
        <v>87018.748592605494</v>
      </c>
      <c r="BT16" s="204">
        <f t="shared" si="8"/>
        <v>87018.748592605494</v>
      </c>
      <c r="BU16" s="204">
        <f t="shared" si="8"/>
        <v>87018.748592605494</v>
      </c>
      <c r="BV16" s="204">
        <f t="shared" si="8"/>
        <v>87018.748592605494</v>
      </c>
      <c r="BW16" s="204">
        <f t="shared" si="8"/>
        <v>87018.748592605494</v>
      </c>
      <c r="BX16" s="204">
        <f t="shared" si="8"/>
        <v>172461.14243344529</v>
      </c>
      <c r="BY16" s="204">
        <f t="shared" si="8"/>
        <v>172461.14243344529</v>
      </c>
      <c r="BZ16" s="204">
        <f t="shared" si="8"/>
        <v>172461.14243344529</v>
      </c>
      <c r="CA16" s="204">
        <f t="shared" ref="CA16:CB18" si="10">IF(CA$2&lt;=($B$2+$C$2+$D$2),IF(CA$2&lt;=($B$2+$C$2),IF(CA$2&lt;=$B$2,$B16,$C16),$D16),$E16)</f>
        <v>172461.14243344529</v>
      </c>
      <c r="CB16" s="204">
        <f t="shared" si="10"/>
        <v>172461.14243344529</v>
      </c>
      <c r="CC16" s="204">
        <f t="shared" si="9"/>
        <v>172461.14243344529</v>
      </c>
      <c r="CD16" s="204">
        <f t="shared" si="9"/>
        <v>172461.14243344529</v>
      </c>
      <c r="CE16" s="204">
        <f t="shared" si="9"/>
        <v>172461.14243344529</v>
      </c>
      <c r="CF16" s="204">
        <f t="shared" si="9"/>
        <v>172461.14243344529</v>
      </c>
      <c r="CG16" s="204">
        <f t="shared" si="9"/>
        <v>172461.14243344529</v>
      </c>
      <c r="CH16" s="204">
        <f t="shared" si="9"/>
        <v>172461.14243344529</v>
      </c>
      <c r="CI16" s="204">
        <f t="shared" si="9"/>
        <v>172461.14243344529</v>
      </c>
      <c r="CJ16" s="204">
        <f t="shared" si="9"/>
        <v>172461.14243344529</v>
      </c>
      <c r="CK16" s="204">
        <f t="shared" si="9"/>
        <v>172461.14243344529</v>
      </c>
      <c r="CL16" s="204">
        <f t="shared" si="9"/>
        <v>172461.14243344529</v>
      </c>
      <c r="CM16" s="204">
        <f t="shared" si="9"/>
        <v>172461.14243344529</v>
      </c>
      <c r="CN16" s="204">
        <f t="shared" si="9"/>
        <v>172461.14243344529</v>
      </c>
      <c r="CO16" s="204">
        <f t="shared" si="9"/>
        <v>172461.14243344529</v>
      </c>
      <c r="CP16" s="204">
        <f t="shared" si="9"/>
        <v>172461.14243344529</v>
      </c>
      <c r="CQ16" s="204">
        <f t="shared" si="9"/>
        <v>172461.14243344529</v>
      </c>
      <c r="CR16" s="204">
        <f t="shared" si="9"/>
        <v>586193.49865875475</v>
      </c>
      <c r="CS16" s="204">
        <f t="shared" ref="CS16:DA18" si="11">IF(CS$2&lt;=($B$2+$C$2+$D$2),IF(CS$2&lt;=($B$2+$C$2),IF(CS$2&lt;=$B$2,$B16,$C16),$D16),$E16)</f>
        <v>586193.49865875475</v>
      </c>
      <c r="CT16" s="204">
        <f t="shared" si="11"/>
        <v>586193.49865875475</v>
      </c>
      <c r="CU16" s="204">
        <f t="shared" si="11"/>
        <v>586193.49865875475</v>
      </c>
      <c r="CV16" s="204">
        <f t="shared" si="11"/>
        <v>586193.49865875475</v>
      </c>
      <c r="CW16" s="204">
        <f t="shared" si="11"/>
        <v>586193.49865875475</v>
      </c>
      <c r="CX16" s="204">
        <f t="shared" si="11"/>
        <v>586193.49865875475</v>
      </c>
      <c r="CY16" s="204">
        <f t="shared" si="11"/>
        <v>586193.49865875475</v>
      </c>
      <c r="CZ16" s="204">
        <f t="shared" si="11"/>
        <v>586193.49865875475</v>
      </c>
      <c r="DA16" s="204">
        <f t="shared" si="11"/>
        <v>586193.49865875475</v>
      </c>
      <c r="DB16" s="204"/>
    </row>
    <row r="17" spans="1:105">
      <c r="A17" s="201" t="s">
        <v>101</v>
      </c>
      <c r="B17" s="203">
        <f>Income!B89</f>
        <v>48896.472302880473</v>
      </c>
      <c r="C17" s="203">
        <f>Income!C89</f>
        <v>48896.472302880473</v>
      </c>
      <c r="D17" s="203">
        <f>Income!D89</f>
        <v>48896.472302880473</v>
      </c>
      <c r="E17" s="203">
        <f>Income!E89</f>
        <v>48896.472302880487</v>
      </c>
      <c r="F17" s="204">
        <f t="shared" si="4"/>
        <v>48896.472302880473</v>
      </c>
      <c r="G17" s="204">
        <f t="shared" si="4"/>
        <v>48896.472302880473</v>
      </c>
      <c r="H17" s="204">
        <f t="shared" si="4"/>
        <v>48896.472302880473</v>
      </c>
      <c r="I17" s="204">
        <f t="shared" si="4"/>
        <v>48896.472302880473</v>
      </c>
      <c r="J17" s="204">
        <f t="shared" si="4"/>
        <v>48896.472302880473</v>
      </c>
      <c r="K17" s="204">
        <f t="shared" si="4"/>
        <v>48896.472302880473</v>
      </c>
      <c r="L17" s="204">
        <f t="shared" si="4"/>
        <v>48896.472302880473</v>
      </c>
      <c r="M17" s="204">
        <f t="shared" si="4"/>
        <v>48896.472302880473</v>
      </c>
      <c r="N17" s="204">
        <f t="shared" si="4"/>
        <v>48896.472302880473</v>
      </c>
      <c r="O17" s="204">
        <f t="shared" si="4"/>
        <v>48896.472302880473</v>
      </c>
      <c r="P17" s="204">
        <f t="shared" si="4"/>
        <v>48896.472302880473</v>
      </c>
      <c r="Q17" s="204">
        <f t="shared" si="4"/>
        <v>48896.472302880473</v>
      </c>
      <c r="R17" s="204">
        <f t="shared" si="4"/>
        <v>48896.472302880473</v>
      </c>
      <c r="S17" s="204">
        <f t="shared" si="4"/>
        <v>48896.472302880473</v>
      </c>
      <c r="T17" s="204">
        <f t="shared" si="4"/>
        <v>48896.472302880473</v>
      </c>
      <c r="U17" s="204">
        <f t="shared" si="4"/>
        <v>48896.472302880473</v>
      </c>
      <c r="V17" s="204">
        <f t="shared" si="6"/>
        <v>48896.472302880473</v>
      </c>
      <c r="W17" s="204">
        <f t="shared" si="6"/>
        <v>48896.472302880473</v>
      </c>
      <c r="X17" s="204">
        <f t="shared" si="6"/>
        <v>48896.472302880473</v>
      </c>
      <c r="Y17" s="204">
        <f t="shared" si="6"/>
        <v>48896.472302880473</v>
      </c>
      <c r="Z17" s="204">
        <f t="shared" si="6"/>
        <v>48896.472302880473</v>
      </c>
      <c r="AA17" s="204">
        <f t="shared" si="6"/>
        <v>48896.472302880473</v>
      </c>
      <c r="AB17" s="204">
        <f t="shared" si="6"/>
        <v>48896.472302880473</v>
      </c>
      <c r="AC17" s="204">
        <f t="shared" si="6"/>
        <v>48896.472302880473</v>
      </c>
      <c r="AD17" s="204">
        <f t="shared" si="6"/>
        <v>48896.472302880473</v>
      </c>
      <c r="AE17" s="204">
        <f t="shared" si="6"/>
        <v>48896.472302880473</v>
      </c>
      <c r="AF17" s="204">
        <f t="shared" si="6"/>
        <v>48896.472302880473</v>
      </c>
      <c r="AG17" s="204">
        <f t="shared" si="6"/>
        <v>48896.472302880473</v>
      </c>
      <c r="AH17" s="204">
        <f t="shared" si="6"/>
        <v>48896.472302880473</v>
      </c>
      <c r="AI17" s="204">
        <f t="shared" si="6"/>
        <v>48896.472302880473</v>
      </c>
      <c r="AJ17" s="204">
        <f t="shared" si="6"/>
        <v>48896.472302880473</v>
      </c>
      <c r="AK17" s="204">
        <f t="shared" si="6"/>
        <v>48896.472302880473</v>
      </c>
      <c r="AL17" s="204">
        <f t="shared" si="7"/>
        <v>48896.472302880473</v>
      </c>
      <c r="AM17" s="204">
        <f t="shared" si="7"/>
        <v>48896.472302880473</v>
      </c>
      <c r="AN17" s="204">
        <f t="shared" si="7"/>
        <v>48896.472302880473</v>
      </c>
      <c r="AO17" s="204">
        <f t="shared" si="7"/>
        <v>48896.472302880473</v>
      </c>
      <c r="AP17" s="204">
        <f t="shared" si="7"/>
        <v>48896.472302880473</v>
      </c>
      <c r="AQ17" s="204">
        <f t="shared" si="7"/>
        <v>48896.472302880473</v>
      </c>
      <c r="AR17" s="204">
        <f t="shared" si="7"/>
        <v>48896.472302880473</v>
      </c>
      <c r="AS17" s="204">
        <f t="shared" si="7"/>
        <v>48896.472302880473</v>
      </c>
      <c r="AT17" s="204">
        <f t="shared" si="7"/>
        <v>48896.472302880473</v>
      </c>
      <c r="AU17" s="204">
        <f t="shared" si="7"/>
        <v>48896.472302880473</v>
      </c>
      <c r="AV17" s="204">
        <f t="shared" si="7"/>
        <v>48896.472302880473</v>
      </c>
      <c r="AW17" s="204">
        <f t="shared" si="7"/>
        <v>48896.472302880473</v>
      </c>
      <c r="AX17" s="204">
        <f t="shared" si="8"/>
        <v>48896.472302880473</v>
      </c>
      <c r="AY17" s="204">
        <f t="shared" si="8"/>
        <v>48896.472302880473</v>
      </c>
      <c r="AZ17" s="204">
        <f t="shared" si="8"/>
        <v>48896.472302880473</v>
      </c>
      <c r="BA17" s="204">
        <f t="shared" si="8"/>
        <v>48896.472302880473</v>
      </c>
      <c r="BB17" s="204">
        <f t="shared" si="8"/>
        <v>48896.472302880473</v>
      </c>
      <c r="BC17" s="204">
        <f t="shared" si="8"/>
        <v>48896.472302880473</v>
      </c>
      <c r="BD17" s="204">
        <f t="shared" si="8"/>
        <v>48896.472302880473</v>
      </c>
      <c r="BE17" s="204">
        <f t="shared" si="8"/>
        <v>48896.472302880473</v>
      </c>
      <c r="BF17" s="204">
        <f t="shared" si="8"/>
        <v>48896.472302880473</v>
      </c>
      <c r="BG17" s="204">
        <f t="shared" si="8"/>
        <v>48896.472302880473</v>
      </c>
      <c r="BH17" s="204">
        <f t="shared" si="8"/>
        <v>48896.472302880473</v>
      </c>
      <c r="BI17" s="204">
        <f t="shared" si="8"/>
        <v>48896.472302880473</v>
      </c>
      <c r="BJ17" s="204">
        <f t="shared" si="8"/>
        <v>48896.472302880473</v>
      </c>
      <c r="BK17" s="204">
        <f t="shared" si="8"/>
        <v>48896.472302880473</v>
      </c>
      <c r="BL17" s="204">
        <f t="shared" si="8"/>
        <v>48896.472302880473</v>
      </c>
      <c r="BM17" s="204">
        <f t="shared" si="8"/>
        <v>48896.472302880473</v>
      </c>
      <c r="BN17" s="204">
        <f t="shared" si="8"/>
        <v>48896.472302880473</v>
      </c>
      <c r="BO17" s="204">
        <f t="shared" si="8"/>
        <v>48896.472302880473</v>
      </c>
      <c r="BP17" s="204">
        <f t="shared" si="8"/>
        <v>48896.472302880473</v>
      </c>
      <c r="BQ17" s="204">
        <f t="shared" si="8"/>
        <v>48896.472302880473</v>
      </c>
      <c r="BR17" s="204">
        <f t="shared" si="8"/>
        <v>48896.472302880473</v>
      </c>
      <c r="BS17" s="204">
        <f t="shared" si="8"/>
        <v>48896.472302880473</v>
      </c>
      <c r="BT17" s="204">
        <f t="shared" si="8"/>
        <v>48896.472302880473</v>
      </c>
      <c r="BU17" s="204">
        <f t="shared" si="8"/>
        <v>48896.472302880473</v>
      </c>
      <c r="BV17" s="204">
        <f t="shared" si="8"/>
        <v>48896.472302880473</v>
      </c>
      <c r="BW17" s="204">
        <f t="shared" si="8"/>
        <v>48896.472302880473</v>
      </c>
      <c r="BX17" s="204">
        <f t="shared" si="8"/>
        <v>48896.472302880473</v>
      </c>
      <c r="BY17" s="204">
        <f t="shared" si="8"/>
        <v>48896.472302880473</v>
      </c>
      <c r="BZ17" s="204">
        <f t="shared" si="8"/>
        <v>48896.472302880473</v>
      </c>
      <c r="CA17" s="204">
        <f t="shared" si="10"/>
        <v>48896.472302880473</v>
      </c>
      <c r="CB17" s="204">
        <f t="shared" si="10"/>
        <v>48896.472302880473</v>
      </c>
      <c r="CC17" s="204">
        <f t="shared" si="9"/>
        <v>48896.472302880473</v>
      </c>
      <c r="CD17" s="204">
        <f t="shared" si="9"/>
        <v>48896.472302880473</v>
      </c>
      <c r="CE17" s="204">
        <f t="shared" si="9"/>
        <v>48896.472302880473</v>
      </c>
      <c r="CF17" s="204">
        <f t="shared" si="9"/>
        <v>48896.472302880473</v>
      </c>
      <c r="CG17" s="204">
        <f t="shared" si="9"/>
        <v>48896.472302880473</v>
      </c>
      <c r="CH17" s="204">
        <f t="shared" si="9"/>
        <v>48896.472302880473</v>
      </c>
      <c r="CI17" s="204">
        <f t="shared" si="9"/>
        <v>48896.472302880473</v>
      </c>
      <c r="CJ17" s="204">
        <f t="shared" si="9"/>
        <v>48896.472302880473</v>
      </c>
      <c r="CK17" s="204">
        <f t="shared" si="9"/>
        <v>48896.472302880473</v>
      </c>
      <c r="CL17" s="204">
        <f t="shared" si="9"/>
        <v>48896.472302880473</v>
      </c>
      <c r="CM17" s="204">
        <f t="shared" si="9"/>
        <v>48896.472302880473</v>
      </c>
      <c r="CN17" s="204">
        <f t="shared" si="9"/>
        <v>48896.472302880473</v>
      </c>
      <c r="CO17" s="204">
        <f t="shared" si="9"/>
        <v>48896.472302880473</v>
      </c>
      <c r="CP17" s="204">
        <f t="shared" si="9"/>
        <v>48896.472302880473</v>
      </c>
      <c r="CQ17" s="204">
        <f t="shared" si="9"/>
        <v>48896.472302880473</v>
      </c>
      <c r="CR17" s="204">
        <f t="shared" si="9"/>
        <v>48896.472302880487</v>
      </c>
      <c r="CS17" s="204">
        <f t="shared" si="11"/>
        <v>48896.472302880487</v>
      </c>
      <c r="CT17" s="204">
        <f t="shared" si="11"/>
        <v>48896.472302880487</v>
      </c>
      <c r="CU17" s="204">
        <f t="shared" si="11"/>
        <v>48896.472302880487</v>
      </c>
      <c r="CV17" s="204">
        <f t="shared" si="11"/>
        <v>48896.472302880487</v>
      </c>
      <c r="CW17" s="204">
        <f t="shared" si="11"/>
        <v>48896.472302880487</v>
      </c>
      <c r="CX17" s="204">
        <f t="shared" si="11"/>
        <v>48896.472302880487</v>
      </c>
      <c r="CY17" s="204">
        <f t="shared" si="11"/>
        <v>48896.472302880487</v>
      </c>
      <c r="CZ17" s="204">
        <f t="shared" si="11"/>
        <v>48896.472302880487</v>
      </c>
      <c r="DA17" s="204">
        <f t="shared" si="11"/>
        <v>48896.472302880487</v>
      </c>
    </row>
    <row r="18" spans="1:105">
      <c r="A18" s="201" t="s">
        <v>85</v>
      </c>
      <c r="B18" s="203">
        <f>Income!B90</f>
        <v>71875.005636213813</v>
      </c>
      <c r="C18" s="203">
        <f>Income!C90</f>
        <v>71875.005636213813</v>
      </c>
      <c r="D18" s="203">
        <f>Income!D90</f>
        <v>71875.005636213813</v>
      </c>
      <c r="E18" s="203">
        <f>Income!E90</f>
        <v>71875.005636213813</v>
      </c>
      <c r="F18" s="204">
        <f t="shared" ref="F18:U18" si="12">IF(F$2&lt;=($B$2+$C$2+$D$2),IF(F$2&lt;=($B$2+$C$2),IF(F$2&lt;=$B$2,$B18,$C18),$D18),$E18)</f>
        <v>71875.005636213813</v>
      </c>
      <c r="G18" s="204">
        <f t="shared" si="12"/>
        <v>71875.005636213813</v>
      </c>
      <c r="H18" s="204">
        <f t="shared" si="12"/>
        <v>71875.005636213813</v>
      </c>
      <c r="I18" s="204">
        <f t="shared" si="12"/>
        <v>71875.005636213813</v>
      </c>
      <c r="J18" s="204">
        <f t="shared" si="12"/>
        <v>71875.005636213813</v>
      </c>
      <c r="K18" s="204">
        <f t="shared" si="12"/>
        <v>71875.005636213813</v>
      </c>
      <c r="L18" s="204">
        <f t="shared" si="12"/>
        <v>71875.005636213813</v>
      </c>
      <c r="M18" s="204">
        <f t="shared" si="12"/>
        <v>71875.005636213813</v>
      </c>
      <c r="N18" s="204">
        <f t="shared" si="12"/>
        <v>71875.005636213813</v>
      </c>
      <c r="O18" s="204">
        <f t="shared" si="12"/>
        <v>71875.005636213813</v>
      </c>
      <c r="P18" s="204">
        <f t="shared" si="12"/>
        <v>71875.005636213813</v>
      </c>
      <c r="Q18" s="204">
        <f t="shared" si="12"/>
        <v>71875.005636213813</v>
      </c>
      <c r="R18" s="204">
        <f t="shared" si="12"/>
        <v>71875.005636213813</v>
      </c>
      <c r="S18" s="204">
        <f t="shared" si="12"/>
        <v>71875.005636213813</v>
      </c>
      <c r="T18" s="204">
        <f t="shared" si="12"/>
        <v>71875.005636213813</v>
      </c>
      <c r="U18" s="204">
        <f t="shared" si="12"/>
        <v>71875.005636213813</v>
      </c>
      <c r="V18" s="204">
        <f t="shared" si="6"/>
        <v>71875.005636213813</v>
      </c>
      <c r="W18" s="204">
        <f t="shared" si="6"/>
        <v>71875.005636213813</v>
      </c>
      <c r="X18" s="204">
        <f t="shared" si="6"/>
        <v>71875.005636213813</v>
      </c>
      <c r="Y18" s="204">
        <f t="shared" si="6"/>
        <v>71875.005636213813</v>
      </c>
      <c r="Z18" s="204">
        <f t="shared" si="6"/>
        <v>71875.005636213813</v>
      </c>
      <c r="AA18" s="204">
        <f t="shared" si="6"/>
        <v>71875.005636213813</v>
      </c>
      <c r="AB18" s="204">
        <f t="shared" si="6"/>
        <v>71875.005636213813</v>
      </c>
      <c r="AC18" s="204">
        <f t="shared" si="6"/>
        <v>71875.005636213813</v>
      </c>
      <c r="AD18" s="204">
        <f t="shared" si="6"/>
        <v>71875.005636213813</v>
      </c>
      <c r="AE18" s="204">
        <f t="shared" si="6"/>
        <v>71875.005636213813</v>
      </c>
      <c r="AF18" s="204">
        <f t="shared" si="6"/>
        <v>71875.005636213813</v>
      </c>
      <c r="AG18" s="204">
        <f t="shared" si="6"/>
        <v>71875.005636213813</v>
      </c>
      <c r="AH18" s="204">
        <f t="shared" si="6"/>
        <v>71875.005636213813</v>
      </c>
      <c r="AI18" s="204">
        <f t="shared" si="6"/>
        <v>71875.005636213813</v>
      </c>
      <c r="AJ18" s="204">
        <f t="shared" si="6"/>
        <v>71875.005636213813</v>
      </c>
      <c r="AK18" s="204">
        <f t="shared" si="6"/>
        <v>71875.005636213813</v>
      </c>
      <c r="AL18" s="204">
        <f t="shared" si="7"/>
        <v>71875.005636213813</v>
      </c>
      <c r="AM18" s="204">
        <f t="shared" si="7"/>
        <v>71875.005636213813</v>
      </c>
      <c r="AN18" s="204">
        <f t="shared" si="7"/>
        <v>71875.005636213813</v>
      </c>
      <c r="AO18" s="204">
        <f t="shared" si="7"/>
        <v>71875.005636213813</v>
      </c>
      <c r="AP18" s="204">
        <f t="shared" si="7"/>
        <v>71875.005636213813</v>
      </c>
      <c r="AQ18" s="204">
        <f t="shared" si="7"/>
        <v>71875.005636213813</v>
      </c>
      <c r="AR18" s="204">
        <f t="shared" si="7"/>
        <v>71875.005636213813</v>
      </c>
      <c r="AS18" s="204">
        <f t="shared" si="7"/>
        <v>71875.005636213813</v>
      </c>
      <c r="AT18" s="204">
        <f t="shared" si="7"/>
        <v>71875.005636213813</v>
      </c>
      <c r="AU18" s="204">
        <f t="shared" si="7"/>
        <v>71875.005636213813</v>
      </c>
      <c r="AV18" s="204">
        <f t="shared" si="7"/>
        <v>71875.005636213813</v>
      </c>
      <c r="AW18" s="204">
        <f t="shared" si="7"/>
        <v>71875.005636213813</v>
      </c>
      <c r="AX18" s="204">
        <f t="shared" si="8"/>
        <v>71875.005636213813</v>
      </c>
      <c r="AY18" s="204">
        <f t="shared" si="8"/>
        <v>71875.005636213813</v>
      </c>
      <c r="AZ18" s="204">
        <f t="shared" si="8"/>
        <v>71875.005636213813</v>
      </c>
      <c r="BA18" s="204">
        <f t="shared" si="8"/>
        <v>71875.005636213813</v>
      </c>
      <c r="BB18" s="204">
        <f t="shared" si="8"/>
        <v>71875.005636213813</v>
      </c>
      <c r="BC18" s="204">
        <f t="shared" si="8"/>
        <v>71875.005636213813</v>
      </c>
      <c r="BD18" s="204">
        <f t="shared" si="8"/>
        <v>71875.005636213813</v>
      </c>
      <c r="BE18" s="204">
        <f t="shared" si="8"/>
        <v>71875.005636213813</v>
      </c>
      <c r="BF18" s="204">
        <f t="shared" si="8"/>
        <v>71875.005636213813</v>
      </c>
      <c r="BG18" s="204">
        <f t="shared" si="8"/>
        <v>71875.005636213813</v>
      </c>
      <c r="BH18" s="204">
        <f t="shared" si="8"/>
        <v>71875.005636213813</v>
      </c>
      <c r="BI18" s="204">
        <f t="shared" si="8"/>
        <v>71875.005636213813</v>
      </c>
      <c r="BJ18" s="204">
        <f t="shared" si="8"/>
        <v>71875.005636213813</v>
      </c>
      <c r="BK18" s="204">
        <f t="shared" si="8"/>
        <v>71875.005636213813</v>
      </c>
      <c r="BL18" s="204">
        <f t="shared" ref="BL18:BZ18" si="13">IF(BL$2&lt;=($B$2+$C$2+$D$2),IF(BL$2&lt;=($B$2+$C$2),IF(BL$2&lt;=$B$2,$B18,$C18),$D18),$E18)</f>
        <v>71875.005636213813</v>
      </c>
      <c r="BM18" s="204">
        <f t="shared" si="13"/>
        <v>71875.005636213813</v>
      </c>
      <c r="BN18" s="204">
        <f t="shared" si="13"/>
        <v>71875.005636213813</v>
      </c>
      <c r="BO18" s="204">
        <f t="shared" si="13"/>
        <v>71875.005636213813</v>
      </c>
      <c r="BP18" s="204">
        <f t="shared" si="13"/>
        <v>71875.005636213813</v>
      </c>
      <c r="BQ18" s="204">
        <f t="shared" si="13"/>
        <v>71875.005636213813</v>
      </c>
      <c r="BR18" s="204">
        <f t="shared" si="13"/>
        <v>71875.005636213813</v>
      </c>
      <c r="BS18" s="204">
        <f t="shared" si="13"/>
        <v>71875.005636213813</v>
      </c>
      <c r="BT18" s="204">
        <f t="shared" si="13"/>
        <v>71875.005636213813</v>
      </c>
      <c r="BU18" s="204">
        <f t="shared" si="13"/>
        <v>71875.005636213813</v>
      </c>
      <c r="BV18" s="204">
        <f t="shared" si="13"/>
        <v>71875.005636213813</v>
      </c>
      <c r="BW18" s="204">
        <f t="shared" si="13"/>
        <v>71875.005636213813</v>
      </c>
      <c r="BX18" s="204">
        <f t="shared" si="13"/>
        <v>71875.005636213813</v>
      </c>
      <c r="BY18" s="204">
        <f t="shared" si="13"/>
        <v>71875.005636213813</v>
      </c>
      <c r="BZ18" s="204">
        <f t="shared" si="13"/>
        <v>71875.005636213813</v>
      </c>
      <c r="CA18" s="204">
        <f t="shared" si="10"/>
        <v>71875.005636213813</v>
      </c>
      <c r="CB18" s="204">
        <f t="shared" si="10"/>
        <v>71875.005636213813</v>
      </c>
      <c r="CC18" s="204">
        <f t="shared" si="9"/>
        <v>71875.005636213813</v>
      </c>
      <c r="CD18" s="204">
        <f t="shared" si="9"/>
        <v>71875.005636213813</v>
      </c>
      <c r="CE18" s="204">
        <f t="shared" si="9"/>
        <v>71875.005636213813</v>
      </c>
      <c r="CF18" s="204">
        <f t="shared" si="9"/>
        <v>71875.005636213813</v>
      </c>
      <c r="CG18" s="204">
        <f t="shared" si="9"/>
        <v>71875.005636213813</v>
      </c>
      <c r="CH18" s="204">
        <f t="shared" si="9"/>
        <v>71875.005636213813</v>
      </c>
      <c r="CI18" s="204">
        <f t="shared" si="9"/>
        <v>71875.005636213813</v>
      </c>
      <c r="CJ18" s="204">
        <f t="shared" si="9"/>
        <v>71875.005636213813</v>
      </c>
      <c r="CK18" s="204">
        <f t="shared" si="9"/>
        <v>71875.005636213813</v>
      </c>
      <c r="CL18" s="204">
        <f t="shared" si="9"/>
        <v>71875.005636213813</v>
      </c>
      <c r="CM18" s="204">
        <f t="shared" si="9"/>
        <v>71875.005636213813</v>
      </c>
      <c r="CN18" s="204">
        <f t="shared" si="9"/>
        <v>71875.005636213813</v>
      </c>
      <c r="CO18" s="204">
        <f t="shared" si="9"/>
        <v>71875.005636213813</v>
      </c>
      <c r="CP18" s="204">
        <f t="shared" si="9"/>
        <v>71875.005636213813</v>
      </c>
      <c r="CQ18" s="204">
        <f t="shared" si="9"/>
        <v>71875.005636213813</v>
      </c>
      <c r="CR18" s="204">
        <f t="shared" si="9"/>
        <v>71875.005636213813</v>
      </c>
      <c r="CS18" s="204">
        <f t="shared" si="11"/>
        <v>71875.005636213813</v>
      </c>
      <c r="CT18" s="204">
        <f t="shared" si="11"/>
        <v>71875.005636213813</v>
      </c>
      <c r="CU18" s="204">
        <f t="shared" si="11"/>
        <v>71875.005636213813</v>
      </c>
      <c r="CV18" s="204">
        <f t="shared" si="11"/>
        <v>71875.005636213813</v>
      </c>
      <c r="CW18" s="204">
        <f t="shared" si="11"/>
        <v>71875.005636213813</v>
      </c>
      <c r="CX18" s="204">
        <f t="shared" si="11"/>
        <v>71875.005636213813</v>
      </c>
      <c r="CY18" s="204">
        <f t="shared" si="11"/>
        <v>71875.005636213813</v>
      </c>
      <c r="CZ18" s="204">
        <f t="shared" si="11"/>
        <v>71875.005636213813</v>
      </c>
      <c r="DA18" s="204">
        <f t="shared" si="11"/>
        <v>71875.005636213813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85657.789029803796</v>
      </c>
      <c r="Y19" s="201">
        <f t="shared" si="14"/>
        <v>85697.237133073402</v>
      </c>
      <c r="Z19" s="201">
        <f t="shared" si="14"/>
        <v>85736.685236343023</v>
      </c>
      <c r="AA19" s="201">
        <f t="shared" si="14"/>
        <v>85776.133339612643</v>
      </c>
      <c r="AB19" s="201">
        <f t="shared" si="14"/>
        <v>85815.581442882249</v>
      </c>
      <c r="AC19" s="201">
        <f t="shared" si="14"/>
        <v>85855.029546151869</v>
      </c>
      <c r="AD19" s="201">
        <f t="shared" si="14"/>
        <v>85894.477649421475</v>
      </c>
      <c r="AE19" s="201">
        <f t="shared" si="14"/>
        <v>85933.925752691095</v>
      </c>
      <c r="AF19" s="201">
        <f t="shared" si="14"/>
        <v>85973.373855960715</v>
      </c>
      <c r="AG19" s="201">
        <f t="shared" si="14"/>
        <v>86012.821959230321</v>
      </c>
      <c r="AH19" s="201">
        <f t="shared" si="14"/>
        <v>86052.270062499942</v>
      </c>
      <c r="AI19" s="201">
        <f t="shared" si="14"/>
        <v>86091.718165769547</v>
      </c>
      <c r="AJ19" s="201">
        <f t="shared" si="14"/>
        <v>86131.166269039168</v>
      </c>
      <c r="AK19" s="201">
        <f t="shared" si="14"/>
        <v>86170.614372308788</v>
      </c>
      <c r="AL19" s="201">
        <f t="shared" si="14"/>
        <v>86210.062475578394</v>
      </c>
      <c r="AM19" s="201">
        <f t="shared" si="14"/>
        <v>86249.510578848014</v>
      </c>
      <c r="AN19" s="201">
        <f t="shared" si="14"/>
        <v>86288.95868211762</v>
      </c>
      <c r="AO19" s="201">
        <f t="shared" si="14"/>
        <v>86328.40678538724</v>
      </c>
      <c r="AP19" s="201">
        <f t="shared" si="14"/>
        <v>86367.854888656861</v>
      </c>
      <c r="AQ19" s="201">
        <f t="shared" si="14"/>
        <v>86407.302991926466</v>
      </c>
      <c r="AR19" s="201">
        <f t="shared" si="14"/>
        <v>86446.751095196087</v>
      </c>
      <c r="AS19" s="201">
        <f t="shared" si="14"/>
        <v>86486.199198465692</v>
      </c>
      <c r="AT19" s="201">
        <f t="shared" si="14"/>
        <v>86525.647301735313</v>
      </c>
      <c r="AU19" s="201">
        <f t="shared" si="14"/>
        <v>86565.095405004933</v>
      </c>
      <c r="AV19" s="201">
        <f t="shared" si="14"/>
        <v>86604.543508274539</v>
      </c>
      <c r="AW19" s="201">
        <f t="shared" si="14"/>
        <v>86643.991611544159</v>
      </c>
      <c r="AX19" s="201">
        <f t="shared" si="14"/>
        <v>86683.439714813765</v>
      </c>
      <c r="AY19" s="201">
        <f t="shared" si="14"/>
        <v>86722.887818083385</v>
      </c>
      <c r="AZ19" s="201">
        <f t="shared" si="14"/>
        <v>86762.335921353006</v>
      </c>
      <c r="BA19" s="201">
        <f t="shared" si="14"/>
        <v>86801.784024622611</v>
      </c>
      <c r="BB19" s="201">
        <f t="shared" si="14"/>
        <v>86841.232127892232</v>
      </c>
      <c r="BC19" s="201">
        <f t="shared" si="14"/>
        <v>86880.680231161838</v>
      </c>
      <c r="BD19" s="201">
        <f t="shared" si="14"/>
        <v>86920.128334431458</v>
      </c>
      <c r="BE19" s="201">
        <f t="shared" si="14"/>
        <v>86959.576437701078</v>
      </c>
      <c r="BF19" s="201">
        <f t="shared" si="14"/>
        <v>86999.024540970684</v>
      </c>
      <c r="BG19" s="201">
        <f t="shared" si="14"/>
        <v>88572.246662438949</v>
      </c>
      <c r="BH19" s="201">
        <f t="shared" si="14"/>
        <v>91679.242802105844</v>
      </c>
      <c r="BI19" s="201">
        <f t="shared" si="14"/>
        <v>94786.238941772754</v>
      </c>
      <c r="BJ19" s="201">
        <f t="shared" si="14"/>
        <v>97893.235081439649</v>
      </c>
      <c r="BK19" s="201">
        <f t="shared" si="14"/>
        <v>101000.23122110656</v>
      </c>
      <c r="BL19" s="201">
        <f t="shared" si="14"/>
        <v>104107.22736077345</v>
      </c>
      <c r="BM19" s="201">
        <f t="shared" si="14"/>
        <v>107214.22350044036</v>
      </c>
      <c r="BN19" s="201">
        <f t="shared" si="14"/>
        <v>110321.21964010726</v>
      </c>
      <c r="BO19" s="201">
        <f t="shared" si="14"/>
        <v>113428.21577977415</v>
      </c>
      <c r="BP19" s="201">
        <f t="shared" si="14"/>
        <v>116535.21191944106</v>
      </c>
      <c r="BQ19" s="201">
        <f t="shared" si="14"/>
        <v>119642.20805910797</v>
      </c>
      <c r="BR19" s="201">
        <f t="shared" si="14"/>
        <v>122749.20419877487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125856.20033844176</v>
      </c>
      <c r="BT19" s="201">
        <f t="shared" si="15"/>
        <v>128963.19647810867</v>
      </c>
      <c r="BU19" s="201">
        <f t="shared" si="15"/>
        <v>132070.19261777558</v>
      </c>
      <c r="BV19" s="201">
        <f t="shared" si="15"/>
        <v>135177.18875744246</v>
      </c>
      <c r="BW19" s="201">
        <f t="shared" si="15"/>
        <v>138284.18489710937</v>
      </c>
      <c r="BX19" s="201">
        <f t="shared" si="15"/>
        <v>141391.18103677628</v>
      </c>
      <c r="BY19" s="201">
        <f t="shared" si="15"/>
        <v>144498.17717644316</v>
      </c>
      <c r="BZ19" s="201">
        <f t="shared" si="15"/>
        <v>147605.17331611007</v>
      </c>
      <c r="CA19" s="201">
        <f t="shared" si="15"/>
        <v>150712.16945577698</v>
      </c>
      <c r="CB19" s="201">
        <f t="shared" si="15"/>
        <v>153819.16559544389</v>
      </c>
      <c r="CC19" s="201">
        <f t="shared" si="15"/>
        <v>156926.1617351108</v>
      </c>
      <c r="CD19" s="201">
        <f t="shared" si="15"/>
        <v>160033.15787477768</v>
      </c>
      <c r="CE19" s="201">
        <f t="shared" si="15"/>
        <v>163140.15401444459</v>
      </c>
      <c r="CF19" s="201">
        <f t="shared" si="15"/>
        <v>166247.1501541115</v>
      </c>
      <c r="CG19" s="201">
        <f t="shared" si="15"/>
        <v>169354.14629377838</v>
      </c>
      <c r="CH19" s="201">
        <f t="shared" si="15"/>
        <v>172461.14243344529</v>
      </c>
      <c r="CI19" s="201">
        <f t="shared" si="15"/>
        <v>200043.29951513259</v>
      </c>
      <c r="CJ19" s="201">
        <f t="shared" si="15"/>
        <v>227625.45659681989</v>
      </c>
      <c r="CK19" s="201">
        <f t="shared" si="15"/>
        <v>255207.61367850716</v>
      </c>
      <c r="CL19" s="201">
        <f t="shared" si="15"/>
        <v>282789.77076019446</v>
      </c>
      <c r="CM19" s="201">
        <f t="shared" si="15"/>
        <v>310371.92784188176</v>
      </c>
      <c r="CN19" s="201">
        <f t="shared" si="15"/>
        <v>337954.08492356905</v>
      </c>
      <c r="CO19" s="201">
        <f t="shared" si="15"/>
        <v>365536.24200525635</v>
      </c>
      <c r="CP19" s="201">
        <f t="shared" si="15"/>
        <v>393118.39908694365</v>
      </c>
      <c r="CQ19" s="201">
        <f t="shared" si="15"/>
        <v>420700.55616863095</v>
      </c>
      <c r="CR19" s="201">
        <f t="shared" si="15"/>
        <v>448282.71325031819</v>
      </c>
      <c r="CS19" s="201">
        <f t="shared" si="15"/>
        <v>475864.87033200555</v>
      </c>
      <c r="CT19" s="201">
        <f t="shared" si="15"/>
        <v>503447.02741369279</v>
      </c>
      <c r="CU19" s="201">
        <f t="shared" si="15"/>
        <v>531029.18449538015</v>
      </c>
      <c r="CV19" s="201">
        <f t="shared" si="15"/>
        <v>558611.34157706739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35</v>
      </c>
      <c r="D22" s="205">
        <f>D2*100</f>
        <v>20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70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52.5</v>
      </c>
      <c r="D24" s="208">
        <f>C23+(D23-C23)/2</f>
        <v>80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2845.6206407791028</v>
      </c>
      <c r="C25" s="203">
        <f>Income!C72</f>
        <v>3139.0437157892707</v>
      </c>
      <c r="D25" s="203">
        <f>Income!D72</f>
        <v>5752.6982138318717</v>
      </c>
      <c r="E25" s="203">
        <f>Income!E72</f>
        <v>16251.428681940881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2845.6206407791028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2845.6206407791028</v>
      </c>
      <c r="H25" s="210">
        <f t="shared" si="16"/>
        <v>2845.6206407791028</v>
      </c>
      <c r="I25" s="210">
        <f t="shared" si="16"/>
        <v>2845.6206407791028</v>
      </c>
      <c r="J25" s="210">
        <f t="shared" si="16"/>
        <v>2845.6206407791028</v>
      </c>
      <c r="K25" s="210">
        <f t="shared" si="16"/>
        <v>2845.6206407791028</v>
      </c>
      <c r="L25" s="210">
        <f t="shared" si="16"/>
        <v>2845.6206407791028</v>
      </c>
      <c r="M25" s="210">
        <f t="shared" si="16"/>
        <v>2845.6206407791028</v>
      </c>
      <c r="N25" s="210">
        <f t="shared" si="16"/>
        <v>2845.6206407791028</v>
      </c>
      <c r="O25" s="210">
        <f t="shared" si="16"/>
        <v>2845.6206407791028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2845.6206407791028</v>
      </c>
      <c r="Q25" s="210">
        <f t="shared" si="17"/>
        <v>2845.6206407791028</v>
      </c>
      <c r="R25" s="210">
        <f t="shared" si="17"/>
        <v>2845.6206407791028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2845.6206407791028</v>
      </c>
      <c r="T25" s="210">
        <f t="shared" si="17"/>
        <v>2845.6206407791028</v>
      </c>
      <c r="U25" s="210">
        <f t="shared" si="17"/>
        <v>2845.6206407791028</v>
      </c>
      <c r="V25" s="210">
        <f t="shared" si="17"/>
        <v>2845.6206407791028</v>
      </c>
      <c r="W25" s="210">
        <f t="shared" si="17"/>
        <v>2845.6206407791028</v>
      </c>
      <c r="X25" s="210">
        <f t="shared" si="17"/>
        <v>2849.8123989935339</v>
      </c>
      <c r="Y25" s="210">
        <f t="shared" si="17"/>
        <v>2858.1959154223955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2866.5794318512576</v>
      </c>
      <c r="AA25" s="210">
        <f t="shared" si="18"/>
        <v>2874.9629482801197</v>
      </c>
      <c r="AB25" s="210">
        <f t="shared" si="18"/>
        <v>2883.3464647089813</v>
      </c>
      <c r="AC25" s="210">
        <f t="shared" si="18"/>
        <v>2891.7299811378434</v>
      </c>
      <c r="AD25" s="210">
        <f t="shared" si="18"/>
        <v>2900.1134975667055</v>
      </c>
      <c r="AE25" s="210">
        <f t="shared" si="18"/>
        <v>2908.4970139955672</v>
      </c>
      <c r="AF25" s="210">
        <f t="shared" si="18"/>
        <v>2916.8805304244293</v>
      </c>
      <c r="AG25" s="210">
        <f t="shared" si="18"/>
        <v>2925.2640468532913</v>
      </c>
      <c r="AH25" s="210">
        <f t="shared" si="18"/>
        <v>2933.647563282153</v>
      </c>
      <c r="AI25" s="210">
        <f t="shared" si="18"/>
        <v>2942.0310797110151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2950.4145961398772</v>
      </c>
      <c r="AK25" s="210">
        <f t="shared" si="19"/>
        <v>2958.7981125687388</v>
      </c>
      <c r="AL25" s="210">
        <f t="shared" si="19"/>
        <v>2967.1816289976009</v>
      </c>
      <c r="AM25" s="210">
        <f t="shared" si="19"/>
        <v>2975.565145426463</v>
      </c>
      <c r="AN25" s="210">
        <f t="shared" si="19"/>
        <v>2983.9486618553246</v>
      </c>
      <c r="AO25" s="210">
        <f t="shared" si="19"/>
        <v>2992.3321782841867</v>
      </c>
      <c r="AP25" s="210">
        <f t="shared" si="19"/>
        <v>3000.7156947130488</v>
      </c>
      <c r="AQ25" s="210">
        <f t="shared" si="19"/>
        <v>3009.0992111419105</v>
      </c>
      <c r="AR25" s="210">
        <f t="shared" si="19"/>
        <v>3017.4827275707726</v>
      </c>
      <c r="AS25" s="210">
        <f t="shared" si="19"/>
        <v>3025.8662439996347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3034.2497604284963</v>
      </c>
      <c r="AU25" s="210">
        <f t="shared" si="20"/>
        <v>3042.6332768573584</v>
      </c>
      <c r="AV25" s="210">
        <f t="shared" si="20"/>
        <v>3051.0167932862205</v>
      </c>
      <c r="AW25" s="210">
        <f t="shared" si="20"/>
        <v>3059.4003097150821</v>
      </c>
      <c r="AX25" s="210">
        <f t="shared" si="20"/>
        <v>3067.7838261439442</v>
      </c>
      <c r="AY25" s="210">
        <f t="shared" si="20"/>
        <v>3076.1673425728063</v>
      </c>
      <c r="AZ25" s="210">
        <f t="shared" si="20"/>
        <v>3084.550859001668</v>
      </c>
      <c r="BA25" s="210">
        <f t="shared" si="20"/>
        <v>3092.9343754305301</v>
      </c>
      <c r="BB25" s="210">
        <f t="shared" si="20"/>
        <v>3101.3178918593921</v>
      </c>
      <c r="BC25" s="210">
        <f t="shared" si="20"/>
        <v>3109.7014082882538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3118.0849247171159</v>
      </c>
      <c r="BE25" s="210">
        <f t="shared" si="21"/>
        <v>3126.4684411459775</v>
      </c>
      <c r="BF25" s="210">
        <f t="shared" si="21"/>
        <v>3134.8519575748396</v>
      </c>
      <c r="BG25" s="210">
        <f t="shared" si="21"/>
        <v>3186.5647066627726</v>
      </c>
      <c r="BH25" s="210">
        <f t="shared" si="21"/>
        <v>3281.6066884097763</v>
      </c>
      <c r="BI25" s="210">
        <f t="shared" si="21"/>
        <v>3376.6486701567796</v>
      </c>
      <c r="BJ25" s="210">
        <f t="shared" si="21"/>
        <v>3471.6906519037834</v>
      </c>
      <c r="BK25" s="210">
        <f t="shared" si="21"/>
        <v>3566.7326336507872</v>
      </c>
      <c r="BL25" s="210">
        <f t="shared" si="21"/>
        <v>3661.774615397791</v>
      </c>
      <c r="BM25" s="210">
        <f t="shared" si="21"/>
        <v>3756.8165971447943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3851.8585788917981</v>
      </c>
      <c r="BO25" s="210">
        <f t="shared" si="22"/>
        <v>3946.9005606388018</v>
      </c>
      <c r="BP25" s="210">
        <f t="shared" si="22"/>
        <v>4041.9425423858056</v>
      </c>
      <c r="BQ25" s="210">
        <f t="shared" si="22"/>
        <v>4136.9845241328094</v>
      </c>
      <c r="BR25" s="210">
        <f t="shared" si="22"/>
        <v>4232.0265058798132</v>
      </c>
      <c r="BS25" s="210">
        <f t="shared" si="22"/>
        <v>4327.0684876268169</v>
      </c>
      <c r="BT25" s="210">
        <f t="shared" si="22"/>
        <v>4422.1104693738207</v>
      </c>
      <c r="BU25" s="210">
        <f t="shared" si="22"/>
        <v>4517.1524511208236</v>
      </c>
      <c r="BV25" s="210">
        <f t="shared" si="22"/>
        <v>4612.1944328678273</v>
      </c>
      <c r="BW25" s="210">
        <f t="shared" si="22"/>
        <v>4707.2364146148311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4802.2783963618349</v>
      </c>
      <c r="BY25" s="210">
        <f t="shared" si="23"/>
        <v>4897.3203781088387</v>
      </c>
      <c r="BZ25" s="210">
        <f t="shared" si="23"/>
        <v>4992.3623598558424</v>
      </c>
      <c r="CA25" s="210">
        <f t="shared" si="23"/>
        <v>5087.4043416028462</v>
      </c>
      <c r="CB25" s="210">
        <f t="shared" si="23"/>
        <v>5182.44632334985</v>
      </c>
      <c r="CC25" s="210">
        <f t="shared" si="23"/>
        <v>5277.4883050968529</v>
      </c>
      <c r="CD25" s="210">
        <f t="shared" si="23"/>
        <v>5372.5302868438575</v>
      </c>
      <c r="CE25" s="210">
        <f t="shared" si="23"/>
        <v>5467.5722685908604</v>
      </c>
      <c r="CF25" s="210">
        <f t="shared" si="23"/>
        <v>5562.6142503378642</v>
      </c>
      <c r="CG25" s="210">
        <f t="shared" si="23"/>
        <v>5657.656232084868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5752.6982138318717</v>
      </c>
      <c r="CI25" s="210">
        <f t="shared" si="24"/>
        <v>6452.6135783724721</v>
      </c>
      <c r="CJ25" s="210">
        <f t="shared" si="24"/>
        <v>7152.5289429130735</v>
      </c>
      <c r="CK25" s="210">
        <f t="shared" si="24"/>
        <v>7852.4443074536739</v>
      </c>
      <c r="CL25" s="210">
        <f t="shared" si="24"/>
        <v>8552.3596719942743</v>
      </c>
      <c r="CM25" s="210">
        <f t="shared" si="24"/>
        <v>9252.2750365348747</v>
      </c>
      <c r="CN25" s="210">
        <f t="shared" si="24"/>
        <v>9952.190401075477</v>
      </c>
      <c r="CO25" s="210">
        <f t="shared" si="24"/>
        <v>10652.105765616076</v>
      </c>
      <c r="CP25" s="210">
        <f t="shared" si="24"/>
        <v>11352.021130156678</v>
      </c>
      <c r="CQ25" s="210">
        <f t="shared" si="24"/>
        <v>12051.936494697278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12751.851859237879</v>
      </c>
      <c r="CS25" s="210">
        <f t="shared" si="25"/>
        <v>13451.767223778479</v>
      </c>
      <c r="CT25" s="210">
        <f t="shared" si="25"/>
        <v>14151.68258831908</v>
      </c>
      <c r="CU25" s="210">
        <f t="shared" si="25"/>
        <v>14851.59795285968</v>
      </c>
      <c r="CV25" s="210">
        <f t="shared" si="25"/>
        <v>15551.51331740028</v>
      </c>
      <c r="CW25" s="210">
        <f t="shared" si="25"/>
        <v>16251.428681940881</v>
      </c>
      <c r="CX25" s="210">
        <f t="shared" si="25"/>
        <v>16251.428681940881</v>
      </c>
      <c r="CY25" s="210">
        <f t="shared" si="25"/>
        <v>16251.428681940881</v>
      </c>
      <c r="CZ25" s="210">
        <f t="shared" si="25"/>
        <v>16251.428681940881</v>
      </c>
      <c r="DA25" s="210">
        <f t="shared" si="25"/>
        <v>16251.428681940881</v>
      </c>
    </row>
    <row r="26" spans="1:105">
      <c r="A26" s="201" t="str">
        <f>Income!A73</f>
        <v>Own crops sold</v>
      </c>
      <c r="B26" s="203">
        <f>Income!B73</f>
        <v>1211.2505278786882</v>
      </c>
      <c r="C26" s="203">
        <f>Income!C73</f>
        <v>3254.1961747752011</v>
      </c>
      <c r="D26" s="203">
        <f>Income!D73</f>
        <v>23506.728409331092</v>
      </c>
      <c r="E26" s="203">
        <f>Income!E73</f>
        <v>51200.285656445114</v>
      </c>
      <c r="F26" s="210">
        <f t="shared" si="16"/>
        <v>1211.2505278786882</v>
      </c>
      <c r="G26" s="210">
        <f t="shared" si="16"/>
        <v>1211.2505278786882</v>
      </c>
      <c r="H26" s="210">
        <f t="shared" si="16"/>
        <v>1211.2505278786882</v>
      </c>
      <c r="I26" s="210">
        <f t="shared" si="16"/>
        <v>1211.2505278786882</v>
      </c>
      <c r="J26" s="210">
        <f t="shared" si="16"/>
        <v>1211.2505278786882</v>
      </c>
      <c r="K26" s="210">
        <f t="shared" si="16"/>
        <v>1211.2505278786882</v>
      </c>
      <c r="L26" s="210">
        <f t="shared" si="16"/>
        <v>1211.2505278786882</v>
      </c>
      <c r="M26" s="210">
        <f t="shared" si="16"/>
        <v>1211.2505278786882</v>
      </c>
      <c r="N26" s="210">
        <f t="shared" si="16"/>
        <v>1211.2505278786882</v>
      </c>
      <c r="O26" s="210">
        <f t="shared" si="16"/>
        <v>1211.2505278786882</v>
      </c>
      <c r="P26" s="210">
        <f t="shared" si="17"/>
        <v>1211.2505278786882</v>
      </c>
      <c r="Q26" s="210">
        <f t="shared" si="17"/>
        <v>1211.2505278786882</v>
      </c>
      <c r="R26" s="210">
        <f t="shared" si="17"/>
        <v>1211.2505278786882</v>
      </c>
      <c r="S26" s="210">
        <f t="shared" si="17"/>
        <v>1211.2505278786882</v>
      </c>
      <c r="T26" s="210">
        <f t="shared" si="17"/>
        <v>1211.2505278786882</v>
      </c>
      <c r="U26" s="210">
        <f t="shared" si="17"/>
        <v>1211.2505278786882</v>
      </c>
      <c r="V26" s="210">
        <f t="shared" si="17"/>
        <v>1211.2505278786882</v>
      </c>
      <c r="W26" s="210">
        <f t="shared" si="17"/>
        <v>1211.2505278786882</v>
      </c>
      <c r="X26" s="210">
        <f t="shared" si="17"/>
        <v>1240.4354656914954</v>
      </c>
      <c r="Y26" s="210">
        <f t="shared" si="17"/>
        <v>1298.8053413171101</v>
      </c>
      <c r="Z26" s="210">
        <f t="shared" si="18"/>
        <v>1357.1752169427248</v>
      </c>
      <c r="AA26" s="210">
        <f t="shared" si="18"/>
        <v>1415.5450925683394</v>
      </c>
      <c r="AB26" s="210">
        <f t="shared" si="18"/>
        <v>1473.9149681939541</v>
      </c>
      <c r="AC26" s="210">
        <f t="shared" si="18"/>
        <v>1532.2848438195688</v>
      </c>
      <c r="AD26" s="210">
        <f t="shared" si="18"/>
        <v>1590.6547194451834</v>
      </c>
      <c r="AE26" s="210">
        <f t="shared" si="18"/>
        <v>1649.0245950707981</v>
      </c>
      <c r="AF26" s="210">
        <f t="shared" si="18"/>
        <v>1707.3944706964128</v>
      </c>
      <c r="AG26" s="210">
        <f t="shared" si="18"/>
        <v>1765.7643463220274</v>
      </c>
      <c r="AH26" s="210">
        <f t="shared" si="18"/>
        <v>1824.1342219476419</v>
      </c>
      <c r="AI26" s="210">
        <f t="shared" si="18"/>
        <v>1882.5040975732568</v>
      </c>
      <c r="AJ26" s="210">
        <f t="shared" si="19"/>
        <v>1940.8739731988715</v>
      </c>
      <c r="AK26" s="210">
        <f t="shared" si="19"/>
        <v>1999.2438488244861</v>
      </c>
      <c r="AL26" s="210">
        <f t="shared" si="19"/>
        <v>2057.6137244501006</v>
      </c>
      <c r="AM26" s="210">
        <f t="shared" si="19"/>
        <v>2115.9836000757155</v>
      </c>
      <c r="AN26" s="210">
        <f t="shared" si="19"/>
        <v>2174.3534757013299</v>
      </c>
      <c r="AO26" s="210">
        <f t="shared" si="19"/>
        <v>2232.7233513269448</v>
      </c>
      <c r="AP26" s="210">
        <f t="shared" si="19"/>
        <v>2291.0932269525592</v>
      </c>
      <c r="AQ26" s="210">
        <f t="shared" si="19"/>
        <v>2349.4631025781737</v>
      </c>
      <c r="AR26" s="210">
        <f t="shared" si="19"/>
        <v>2407.8329782037886</v>
      </c>
      <c r="AS26" s="210">
        <f t="shared" si="19"/>
        <v>2466.2028538294035</v>
      </c>
      <c r="AT26" s="210">
        <f t="shared" si="20"/>
        <v>2524.5727294550179</v>
      </c>
      <c r="AU26" s="210">
        <f t="shared" si="20"/>
        <v>2582.9426050806323</v>
      </c>
      <c r="AV26" s="210">
        <f t="shared" si="20"/>
        <v>2641.3124807062472</v>
      </c>
      <c r="AW26" s="210">
        <f t="shared" si="20"/>
        <v>2699.6823563318621</v>
      </c>
      <c r="AX26" s="210">
        <f t="shared" si="20"/>
        <v>2758.0522319574766</v>
      </c>
      <c r="AY26" s="210">
        <f t="shared" si="20"/>
        <v>2816.422107583091</v>
      </c>
      <c r="AZ26" s="210">
        <f t="shared" si="20"/>
        <v>2874.7919832087059</v>
      </c>
      <c r="BA26" s="210">
        <f t="shared" si="20"/>
        <v>2933.1618588343208</v>
      </c>
      <c r="BB26" s="210">
        <f t="shared" si="20"/>
        <v>2991.5317344599353</v>
      </c>
      <c r="BC26" s="210">
        <f t="shared" si="20"/>
        <v>3049.9016100855497</v>
      </c>
      <c r="BD26" s="210">
        <f t="shared" si="21"/>
        <v>3108.2714857111641</v>
      </c>
      <c r="BE26" s="210">
        <f t="shared" si="21"/>
        <v>3166.6413613367795</v>
      </c>
      <c r="BF26" s="210">
        <f t="shared" si="21"/>
        <v>3225.0112369623939</v>
      </c>
      <c r="BG26" s="210">
        <f t="shared" si="21"/>
        <v>3622.4240335853083</v>
      </c>
      <c r="BH26" s="210">
        <f t="shared" si="21"/>
        <v>4358.8797512055226</v>
      </c>
      <c r="BI26" s="210">
        <f t="shared" si="21"/>
        <v>5095.3354688257368</v>
      </c>
      <c r="BJ26" s="210">
        <f t="shared" si="21"/>
        <v>5831.7911864459511</v>
      </c>
      <c r="BK26" s="210">
        <f t="shared" si="21"/>
        <v>6568.2469040661654</v>
      </c>
      <c r="BL26" s="210">
        <f t="shared" si="21"/>
        <v>7304.7026216863787</v>
      </c>
      <c r="BM26" s="210">
        <f t="shared" si="21"/>
        <v>8041.158339306593</v>
      </c>
      <c r="BN26" s="210">
        <f t="shared" si="22"/>
        <v>8777.6140569268064</v>
      </c>
      <c r="BO26" s="210">
        <f t="shared" si="22"/>
        <v>9514.0697745470206</v>
      </c>
      <c r="BP26" s="210">
        <f t="shared" si="22"/>
        <v>10250.525492167235</v>
      </c>
      <c r="BQ26" s="210">
        <f t="shared" si="22"/>
        <v>10986.981209787449</v>
      </c>
      <c r="BR26" s="210">
        <f t="shared" si="22"/>
        <v>11723.436927407663</v>
      </c>
      <c r="BS26" s="210">
        <f t="shared" si="22"/>
        <v>12459.892645027878</v>
      </c>
      <c r="BT26" s="210">
        <f t="shared" si="22"/>
        <v>13196.348362648094</v>
      </c>
      <c r="BU26" s="210">
        <f t="shared" si="22"/>
        <v>13932.804080268306</v>
      </c>
      <c r="BV26" s="210">
        <f t="shared" si="22"/>
        <v>14669.259797888521</v>
      </c>
      <c r="BW26" s="210">
        <f t="shared" si="22"/>
        <v>15405.715515508735</v>
      </c>
      <c r="BX26" s="210">
        <f t="shared" si="23"/>
        <v>16142.171233128949</v>
      </c>
      <c r="BY26" s="210">
        <f t="shared" si="23"/>
        <v>16878.62695074916</v>
      </c>
      <c r="BZ26" s="210">
        <f t="shared" si="23"/>
        <v>17615.082668369378</v>
      </c>
      <c r="CA26" s="210">
        <f t="shared" si="23"/>
        <v>18351.538385989588</v>
      </c>
      <c r="CB26" s="210">
        <f t="shared" si="23"/>
        <v>19087.994103609806</v>
      </c>
      <c r="CC26" s="210">
        <f t="shared" si="23"/>
        <v>19824.449821230017</v>
      </c>
      <c r="CD26" s="210">
        <f t="shared" si="23"/>
        <v>20560.905538850231</v>
      </c>
      <c r="CE26" s="210">
        <f t="shared" si="23"/>
        <v>21297.361256470445</v>
      </c>
      <c r="CF26" s="210">
        <f t="shared" si="23"/>
        <v>22033.81697409066</v>
      </c>
      <c r="CG26" s="210">
        <f t="shared" si="23"/>
        <v>22770.272691710874</v>
      </c>
      <c r="CH26" s="210">
        <f t="shared" si="24"/>
        <v>23506.728409331088</v>
      </c>
      <c r="CI26" s="210">
        <f t="shared" si="24"/>
        <v>25352.965559138695</v>
      </c>
      <c r="CJ26" s="210">
        <f t="shared" si="24"/>
        <v>27199.202708946294</v>
      </c>
      <c r="CK26" s="210">
        <f t="shared" si="24"/>
        <v>29045.439858753896</v>
      </c>
      <c r="CL26" s="210">
        <f t="shared" si="24"/>
        <v>30891.677008561499</v>
      </c>
      <c r="CM26" s="210">
        <f t="shared" si="24"/>
        <v>32737.914158369102</v>
      </c>
      <c r="CN26" s="210">
        <f t="shared" si="24"/>
        <v>34584.151308176704</v>
      </c>
      <c r="CO26" s="210">
        <f t="shared" si="24"/>
        <v>36430.3884579843</v>
      </c>
      <c r="CP26" s="210">
        <f t="shared" si="24"/>
        <v>38276.625607791902</v>
      </c>
      <c r="CQ26" s="210">
        <f t="shared" si="24"/>
        <v>40122.862757599505</v>
      </c>
      <c r="CR26" s="210">
        <f t="shared" si="25"/>
        <v>41969.099907407108</v>
      </c>
      <c r="CS26" s="210">
        <f t="shared" si="25"/>
        <v>43815.337057214711</v>
      </c>
      <c r="CT26" s="210">
        <f t="shared" si="25"/>
        <v>45661.574207022306</v>
      </c>
      <c r="CU26" s="210">
        <f t="shared" si="25"/>
        <v>47507.811356829916</v>
      </c>
      <c r="CV26" s="210">
        <f t="shared" si="25"/>
        <v>49354.048506637511</v>
      </c>
      <c r="CW26" s="210">
        <f t="shared" si="25"/>
        <v>51200.285656445114</v>
      </c>
      <c r="CX26" s="210">
        <f t="shared" si="25"/>
        <v>51200.285656445114</v>
      </c>
      <c r="CY26" s="210">
        <f t="shared" si="25"/>
        <v>51200.285656445114</v>
      </c>
      <c r="CZ26" s="210">
        <f t="shared" si="25"/>
        <v>51200.285656445114</v>
      </c>
      <c r="DA26" s="210">
        <f t="shared" si="25"/>
        <v>51200.285656445114</v>
      </c>
    </row>
    <row r="27" spans="1:105">
      <c r="A27" s="201" t="str">
        <f>Income!A74</f>
        <v>Animal products consumed</v>
      </c>
      <c r="B27" s="203">
        <f>Income!B74</f>
        <v>1037.0605064843123</v>
      </c>
      <c r="C27" s="203">
        <f>Income!C74</f>
        <v>2050.5158453221352</v>
      </c>
      <c r="D27" s="203">
        <f>Income!D74</f>
        <v>2671.9956497648514</v>
      </c>
      <c r="E27" s="203">
        <f>Income!E74</f>
        <v>3345.9897135608667</v>
      </c>
      <c r="F27" s="210">
        <f t="shared" si="16"/>
        <v>1037.0605064843123</v>
      </c>
      <c r="G27" s="210">
        <f t="shared" si="16"/>
        <v>1037.0605064843123</v>
      </c>
      <c r="H27" s="210">
        <f t="shared" si="16"/>
        <v>1037.0605064843123</v>
      </c>
      <c r="I27" s="210">
        <f t="shared" si="16"/>
        <v>1037.0605064843123</v>
      </c>
      <c r="J27" s="210">
        <f t="shared" si="16"/>
        <v>1037.0605064843123</v>
      </c>
      <c r="K27" s="210">
        <f t="shared" si="16"/>
        <v>1037.0605064843123</v>
      </c>
      <c r="L27" s="210">
        <f t="shared" si="16"/>
        <v>1037.0605064843123</v>
      </c>
      <c r="M27" s="210">
        <f t="shared" si="16"/>
        <v>1037.0605064843123</v>
      </c>
      <c r="N27" s="210">
        <f t="shared" si="16"/>
        <v>1037.0605064843123</v>
      </c>
      <c r="O27" s="210">
        <f t="shared" si="16"/>
        <v>1037.0605064843123</v>
      </c>
      <c r="P27" s="210">
        <f t="shared" si="17"/>
        <v>1037.0605064843123</v>
      </c>
      <c r="Q27" s="210">
        <f t="shared" si="17"/>
        <v>1037.0605064843123</v>
      </c>
      <c r="R27" s="210">
        <f t="shared" si="17"/>
        <v>1037.0605064843123</v>
      </c>
      <c r="S27" s="210">
        <f t="shared" si="17"/>
        <v>1037.0605064843123</v>
      </c>
      <c r="T27" s="210">
        <f t="shared" si="17"/>
        <v>1037.0605064843123</v>
      </c>
      <c r="U27" s="210">
        <f t="shared" si="17"/>
        <v>1037.0605064843123</v>
      </c>
      <c r="V27" s="210">
        <f t="shared" si="17"/>
        <v>1037.0605064843123</v>
      </c>
      <c r="W27" s="210">
        <f t="shared" si="17"/>
        <v>1037.0605064843123</v>
      </c>
      <c r="X27" s="210">
        <f t="shared" si="17"/>
        <v>1051.5384398962813</v>
      </c>
      <c r="Y27" s="210">
        <f t="shared" si="17"/>
        <v>1080.4943067202191</v>
      </c>
      <c r="Z27" s="210">
        <f t="shared" si="18"/>
        <v>1109.4501735441568</v>
      </c>
      <c r="AA27" s="210">
        <f t="shared" si="18"/>
        <v>1138.4060403680946</v>
      </c>
      <c r="AB27" s="210">
        <f t="shared" si="18"/>
        <v>1167.3619071920325</v>
      </c>
      <c r="AC27" s="210">
        <f t="shared" si="18"/>
        <v>1196.3177740159701</v>
      </c>
      <c r="AD27" s="210">
        <f t="shared" si="18"/>
        <v>1225.273640839908</v>
      </c>
      <c r="AE27" s="210">
        <f t="shared" si="18"/>
        <v>1254.2295076638459</v>
      </c>
      <c r="AF27" s="210">
        <f t="shared" si="18"/>
        <v>1283.1853744877835</v>
      </c>
      <c r="AG27" s="210">
        <f t="shared" si="18"/>
        <v>1312.1412413117214</v>
      </c>
      <c r="AH27" s="210">
        <f t="shared" si="18"/>
        <v>1341.0971081356593</v>
      </c>
      <c r="AI27" s="210">
        <f t="shared" si="18"/>
        <v>1370.0529749595969</v>
      </c>
      <c r="AJ27" s="210">
        <f t="shared" si="19"/>
        <v>1399.0088417835348</v>
      </c>
      <c r="AK27" s="210">
        <f t="shared" si="19"/>
        <v>1427.9647086074726</v>
      </c>
      <c r="AL27" s="210">
        <f t="shared" si="19"/>
        <v>1456.9205754314103</v>
      </c>
      <c r="AM27" s="210">
        <f t="shared" si="19"/>
        <v>1485.8764422553481</v>
      </c>
      <c r="AN27" s="210">
        <f t="shared" si="19"/>
        <v>1514.832309079286</v>
      </c>
      <c r="AO27" s="210">
        <f t="shared" si="19"/>
        <v>1543.7881759032239</v>
      </c>
      <c r="AP27" s="210">
        <f t="shared" si="19"/>
        <v>1572.7440427271617</v>
      </c>
      <c r="AQ27" s="210">
        <f t="shared" si="19"/>
        <v>1601.6999095510994</v>
      </c>
      <c r="AR27" s="210">
        <f t="shared" si="19"/>
        <v>1630.655776375037</v>
      </c>
      <c r="AS27" s="210">
        <f t="shared" si="19"/>
        <v>1659.6116431989749</v>
      </c>
      <c r="AT27" s="210">
        <f t="shared" si="20"/>
        <v>1688.5675100229128</v>
      </c>
      <c r="AU27" s="210">
        <f t="shared" si="20"/>
        <v>1717.5233768468506</v>
      </c>
      <c r="AV27" s="210">
        <f t="shared" si="20"/>
        <v>1746.4792436707885</v>
      </c>
      <c r="AW27" s="210">
        <f t="shared" si="20"/>
        <v>1775.4351104947261</v>
      </c>
      <c r="AX27" s="210">
        <f t="shared" si="20"/>
        <v>1804.3909773186638</v>
      </c>
      <c r="AY27" s="210">
        <f t="shared" si="20"/>
        <v>1833.3468441426016</v>
      </c>
      <c r="AZ27" s="210">
        <f t="shared" si="20"/>
        <v>1862.3027109665395</v>
      </c>
      <c r="BA27" s="210">
        <f t="shared" si="20"/>
        <v>1891.2585777904774</v>
      </c>
      <c r="BB27" s="210">
        <f t="shared" si="20"/>
        <v>1920.214444614415</v>
      </c>
      <c r="BC27" s="210">
        <f t="shared" si="20"/>
        <v>1949.1703114383529</v>
      </c>
      <c r="BD27" s="210">
        <f t="shared" si="21"/>
        <v>1978.1261782622908</v>
      </c>
      <c r="BE27" s="210">
        <f t="shared" si="21"/>
        <v>2007.0820450862284</v>
      </c>
      <c r="BF27" s="210">
        <f t="shared" si="21"/>
        <v>2036.0379119101663</v>
      </c>
      <c r="BG27" s="210">
        <f t="shared" si="21"/>
        <v>2061.8154781301846</v>
      </c>
      <c r="BH27" s="210">
        <f t="shared" si="21"/>
        <v>2084.4147437462834</v>
      </c>
      <c r="BI27" s="210">
        <f t="shared" si="21"/>
        <v>2107.0140093623822</v>
      </c>
      <c r="BJ27" s="210">
        <f t="shared" si="21"/>
        <v>2129.6132749784811</v>
      </c>
      <c r="BK27" s="210">
        <f t="shared" si="21"/>
        <v>2152.2125405945799</v>
      </c>
      <c r="BL27" s="210">
        <f t="shared" si="21"/>
        <v>2174.8118062106782</v>
      </c>
      <c r="BM27" s="210">
        <f t="shared" si="21"/>
        <v>2197.4110718267771</v>
      </c>
      <c r="BN27" s="210">
        <f t="shared" si="22"/>
        <v>2220.0103374428759</v>
      </c>
      <c r="BO27" s="210">
        <f t="shared" si="22"/>
        <v>2242.6096030589747</v>
      </c>
      <c r="BP27" s="210">
        <f t="shared" si="22"/>
        <v>2265.2088686750735</v>
      </c>
      <c r="BQ27" s="210">
        <f t="shared" si="22"/>
        <v>2287.8081342911723</v>
      </c>
      <c r="BR27" s="210">
        <f t="shared" si="22"/>
        <v>2310.4073999072712</v>
      </c>
      <c r="BS27" s="210">
        <f t="shared" si="22"/>
        <v>2333.00666552337</v>
      </c>
      <c r="BT27" s="210">
        <f t="shared" si="22"/>
        <v>2355.6059311394688</v>
      </c>
      <c r="BU27" s="210">
        <f t="shared" si="22"/>
        <v>2378.2051967555672</v>
      </c>
      <c r="BV27" s="210">
        <f t="shared" si="22"/>
        <v>2400.804462371666</v>
      </c>
      <c r="BW27" s="210">
        <f t="shared" si="22"/>
        <v>2423.4037279877648</v>
      </c>
      <c r="BX27" s="210">
        <f t="shared" si="23"/>
        <v>2446.0029936038636</v>
      </c>
      <c r="BY27" s="210">
        <f t="shared" si="23"/>
        <v>2468.6022592199624</v>
      </c>
      <c r="BZ27" s="210">
        <f t="shared" si="23"/>
        <v>2491.2015248360613</v>
      </c>
      <c r="CA27" s="210">
        <f t="shared" si="23"/>
        <v>2513.8007904521601</v>
      </c>
      <c r="CB27" s="210">
        <f t="shared" si="23"/>
        <v>2536.4000560682589</v>
      </c>
      <c r="CC27" s="210">
        <f t="shared" si="23"/>
        <v>2558.9993216843577</v>
      </c>
      <c r="CD27" s="210">
        <f t="shared" si="23"/>
        <v>2581.5985873004565</v>
      </c>
      <c r="CE27" s="210">
        <f t="shared" si="23"/>
        <v>2604.1978529165549</v>
      </c>
      <c r="CF27" s="210">
        <f t="shared" si="23"/>
        <v>2626.7971185326537</v>
      </c>
      <c r="CG27" s="210">
        <f t="shared" si="23"/>
        <v>2649.3963841487525</v>
      </c>
      <c r="CH27" s="210">
        <f t="shared" si="24"/>
        <v>2671.9956497648514</v>
      </c>
      <c r="CI27" s="210">
        <f t="shared" si="24"/>
        <v>2716.9285873512522</v>
      </c>
      <c r="CJ27" s="210">
        <f t="shared" si="24"/>
        <v>2761.8615249376535</v>
      </c>
      <c r="CK27" s="210">
        <f t="shared" si="24"/>
        <v>2806.7944625240543</v>
      </c>
      <c r="CL27" s="210">
        <f t="shared" si="24"/>
        <v>2851.7274001104556</v>
      </c>
      <c r="CM27" s="210">
        <f t="shared" si="24"/>
        <v>2896.6603376968565</v>
      </c>
      <c r="CN27" s="210">
        <f t="shared" si="24"/>
        <v>2941.5932752832573</v>
      </c>
      <c r="CO27" s="210">
        <f t="shared" si="24"/>
        <v>2986.5262128696586</v>
      </c>
      <c r="CP27" s="210">
        <f t="shared" si="24"/>
        <v>3031.4591504560594</v>
      </c>
      <c r="CQ27" s="210">
        <f t="shared" si="24"/>
        <v>3076.3920880424607</v>
      </c>
      <c r="CR27" s="210">
        <f t="shared" si="25"/>
        <v>3121.3250256288616</v>
      </c>
      <c r="CS27" s="210">
        <f t="shared" si="25"/>
        <v>3166.2579632152624</v>
      </c>
      <c r="CT27" s="210">
        <f t="shared" si="25"/>
        <v>3211.1909008016637</v>
      </c>
      <c r="CU27" s="210">
        <f t="shared" si="25"/>
        <v>3256.1238383880645</v>
      </c>
      <c r="CV27" s="210">
        <f t="shared" si="25"/>
        <v>3301.0567759744654</v>
      </c>
      <c r="CW27" s="210">
        <f t="shared" si="25"/>
        <v>3345.9897135608667</v>
      </c>
      <c r="CX27" s="210">
        <f t="shared" si="25"/>
        <v>3345.9897135608667</v>
      </c>
      <c r="CY27" s="210">
        <f t="shared" si="25"/>
        <v>3345.9897135608667</v>
      </c>
      <c r="CZ27" s="210">
        <f t="shared" si="25"/>
        <v>3345.9897135608667</v>
      </c>
      <c r="DA27" s="210">
        <f t="shared" si="25"/>
        <v>3345.9897135608667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8316.9511901782571</v>
      </c>
      <c r="E28" s="203">
        <f>Income!E75</f>
        <v>18902.16179585968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151.21729436687741</v>
      </c>
      <c r="BH28" s="210">
        <f t="shared" si="21"/>
        <v>453.65188310063223</v>
      </c>
      <c r="BI28" s="210">
        <f t="shared" si="21"/>
        <v>756.086471834387</v>
      </c>
      <c r="BJ28" s="210">
        <f t="shared" si="21"/>
        <v>1058.5210605681418</v>
      </c>
      <c r="BK28" s="210">
        <f t="shared" si="21"/>
        <v>1360.9556493018965</v>
      </c>
      <c r="BL28" s="210">
        <f t="shared" si="21"/>
        <v>1663.3902380356515</v>
      </c>
      <c r="BM28" s="210">
        <f t="shared" si="21"/>
        <v>1965.8248267694062</v>
      </c>
      <c r="BN28" s="210">
        <f t="shared" si="22"/>
        <v>2268.2594155031611</v>
      </c>
      <c r="BO28" s="210">
        <f t="shared" si="22"/>
        <v>2570.6940042369156</v>
      </c>
      <c r="BP28" s="210">
        <f t="shared" si="22"/>
        <v>2873.1285929706705</v>
      </c>
      <c r="BQ28" s="210">
        <f t="shared" si="22"/>
        <v>3175.5631817044255</v>
      </c>
      <c r="BR28" s="210">
        <f t="shared" si="22"/>
        <v>3477.9977704381804</v>
      </c>
      <c r="BS28" s="210">
        <f t="shared" si="22"/>
        <v>3780.4323591719349</v>
      </c>
      <c r="BT28" s="210">
        <f t="shared" si="22"/>
        <v>4082.8669479056898</v>
      </c>
      <c r="BU28" s="210">
        <f t="shared" si="22"/>
        <v>4385.3015366394447</v>
      </c>
      <c r="BV28" s="210">
        <f t="shared" si="22"/>
        <v>4687.7361253731997</v>
      </c>
      <c r="BW28" s="210">
        <f t="shared" si="22"/>
        <v>4990.1707141069546</v>
      </c>
      <c r="BX28" s="210">
        <f t="shared" si="23"/>
        <v>5292.6053028407096</v>
      </c>
      <c r="BY28" s="210">
        <f t="shared" si="23"/>
        <v>5595.0398915744645</v>
      </c>
      <c r="BZ28" s="210">
        <f t="shared" si="23"/>
        <v>5897.4744803082185</v>
      </c>
      <c r="CA28" s="210">
        <f t="shared" si="23"/>
        <v>6199.9090690419735</v>
      </c>
      <c r="CB28" s="210">
        <f t="shared" si="23"/>
        <v>6502.3436577757284</v>
      </c>
      <c r="CC28" s="210">
        <f t="shared" si="23"/>
        <v>6804.7782465094824</v>
      </c>
      <c r="CD28" s="210">
        <f t="shared" si="23"/>
        <v>7107.2128352432374</v>
      </c>
      <c r="CE28" s="210">
        <f t="shared" si="23"/>
        <v>7409.6474239769932</v>
      </c>
      <c r="CF28" s="210">
        <f t="shared" si="23"/>
        <v>7712.0820127107481</v>
      </c>
      <c r="CG28" s="210">
        <f t="shared" si="23"/>
        <v>8014.5166014445022</v>
      </c>
      <c r="CH28" s="210">
        <f t="shared" si="24"/>
        <v>8316.9511901782571</v>
      </c>
      <c r="CI28" s="210">
        <f t="shared" si="24"/>
        <v>9022.6318972236859</v>
      </c>
      <c r="CJ28" s="210">
        <f t="shared" si="24"/>
        <v>9728.3126042691129</v>
      </c>
      <c r="CK28" s="210">
        <f t="shared" si="24"/>
        <v>10433.993311314542</v>
      </c>
      <c r="CL28" s="210">
        <f t="shared" si="24"/>
        <v>11139.67401835997</v>
      </c>
      <c r="CM28" s="210">
        <f t="shared" si="24"/>
        <v>11845.354725405397</v>
      </c>
      <c r="CN28" s="210">
        <f t="shared" si="24"/>
        <v>12551.035432450826</v>
      </c>
      <c r="CO28" s="210">
        <f t="shared" si="24"/>
        <v>13256.716139496253</v>
      </c>
      <c r="CP28" s="210">
        <f t="shared" si="24"/>
        <v>13962.396846541684</v>
      </c>
      <c r="CQ28" s="210">
        <f t="shared" si="24"/>
        <v>14668.077553587111</v>
      </c>
      <c r="CR28" s="210">
        <f t="shared" si="25"/>
        <v>15373.758260632538</v>
      </c>
      <c r="CS28" s="210">
        <f t="shared" si="25"/>
        <v>16079.438967677968</v>
      </c>
      <c r="CT28" s="210">
        <f t="shared" si="25"/>
        <v>16785.119674723395</v>
      </c>
      <c r="CU28" s="210">
        <f t="shared" si="25"/>
        <v>17490.800381768822</v>
      </c>
      <c r="CV28" s="210">
        <f t="shared" si="25"/>
        <v>18196.481088814253</v>
      </c>
      <c r="CW28" s="210">
        <f t="shared" si="25"/>
        <v>18902.161795859683</v>
      </c>
      <c r="CX28" s="210">
        <f t="shared" si="25"/>
        <v>18902.16179585968</v>
      </c>
      <c r="CY28" s="210">
        <f t="shared" si="25"/>
        <v>18902.16179585968</v>
      </c>
      <c r="CZ28" s="210">
        <f t="shared" si="25"/>
        <v>18902.16179585968</v>
      </c>
      <c r="DA28" s="210">
        <f t="shared" si="25"/>
        <v>18902.16179585968</v>
      </c>
    </row>
    <row r="29" spans="1:105">
      <c r="A29" s="201" t="str">
        <f>Income!A76</f>
        <v>Animals sold</v>
      </c>
      <c r="B29" s="203">
        <f>Income!B76</f>
        <v>1209.7383549350195</v>
      </c>
      <c r="C29" s="203">
        <f>Income!C76</f>
        <v>6503.0997442475618</v>
      </c>
      <c r="D29" s="203">
        <f>Income!D76</f>
        <v>22289.429189677729</v>
      </c>
      <c r="E29" s="203">
        <f>Income!E76</f>
        <v>35243.080668380368</v>
      </c>
      <c r="F29" s="210">
        <f t="shared" si="16"/>
        <v>1209.7383549350195</v>
      </c>
      <c r="G29" s="210">
        <f t="shared" si="16"/>
        <v>1209.7383549350195</v>
      </c>
      <c r="H29" s="210">
        <f t="shared" si="16"/>
        <v>1209.7383549350195</v>
      </c>
      <c r="I29" s="210">
        <f t="shared" si="16"/>
        <v>1209.7383549350195</v>
      </c>
      <c r="J29" s="210">
        <f t="shared" si="16"/>
        <v>1209.7383549350195</v>
      </c>
      <c r="K29" s="210">
        <f t="shared" si="16"/>
        <v>1209.7383549350195</v>
      </c>
      <c r="L29" s="210">
        <f t="shared" si="16"/>
        <v>1209.7383549350195</v>
      </c>
      <c r="M29" s="210">
        <f t="shared" si="16"/>
        <v>1209.7383549350195</v>
      </c>
      <c r="N29" s="210">
        <f t="shared" si="16"/>
        <v>1209.7383549350195</v>
      </c>
      <c r="O29" s="210">
        <f t="shared" si="16"/>
        <v>1209.7383549350195</v>
      </c>
      <c r="P29" s="210">
        <f t="shared" si="17"/>
        <v>1209.7383549350195</v>
      </c>
      <c r="Q29" s="210">
        <f t="shared" si="17"/>
        <v>1209.7383549350195</v>
      </c>
      <c r="R29" s="210">
        <f t="shared" si="17"/>
        <v>1209.7383549350195</v>
      </c>
      <c r="S29" s="210">
        <f t="shared" si="17"/>
        <v>1209.7383549350195</v>
      </c>
      <c r="T29" s="210">
        <f t="shared" si="17"/>
        <v>1209.7383549350195</v>
      </c>
      <c r="U29" s="210">
        <f t="shared" si="17"/>
        <v>1209.7383549350195</v>
      </c>
      <c r="V29" s="210">
        <f t="shared" si="17"/>
        <v>1209.7383549350195</v>
      </c>
      <c r="W29" s="210">
        <f t="shared" si="17"/>
        <v>1209.7383549350195</v>
      </c>
      <c r="X29" s="210">
        <f t="shared" si="17"/>
        <v>1285.3578033537701</v>
      </c>
      <c r="Y29" s="210">
        <f t="shared" si="17"/>
        <v>1436.5967001912713</v>
      </c>
      <c r="Z29" s="210">
        <f t="shared" si="18"/>
        <v>1587.8355970287726</v>
      </c>
      <c r="AA29" s="210">
        <f t="shared" si="18"/>
        <v>1739.0744938662738</v>
      </c>
      <c r="AB29" s="210">
        <f t="shared" si="18"/>
        <v>1890.313390703775</v>
      </c>
      <c r="AC29" s="210">
        <f t="shared" si="18"/>
        <v>2041.5522875412762</v>
      </c>
      <c r="AD29" s="210">
        <f t="shared" si="18"/>
        <v>2192.7911843787774</v>
      </c>
      <c r="AE29" s="210">
        <f t="shared" si="18"/>
        <v>2344.0300812162786</v>
      </c>
      <c r="AF29" s="210">
        <f t="shared" si="18"/>
        <v>2495.2689780537798</v>
      </c>
      <c r="AG29" s="210">
        <f t="shared" si="18"/>
        <v>2646.5078748912811</v>
      </c>
      <c r="AH29" s="210">
        <f t="shared" si="18"/>
        <v>2797.7467717287818</v>
      </c>
      <c r="AI29" s="210">
        <f t="shared" si="18"/>
        <v>2948.9856685662835</v>
      </c>
      <c r="AJ29" s="210">
        <f t="shared" si="19"/>
        <v>3100.2245654037843</v>
      </c>
      <c r="AK29" s="210">
        <f t="shared" si="19"/>
        <v>3251.4634622412859</v>
      </c>
      <c r="AL29" s="210">
        <f t="shared" si="19"/>
        <v>3402.7023590787867</v>
      </c>
      <c r="AM29" s="210">
        <f t="shared" si="19"/>
        <v>3553.9412559162884</v>
      </c>
      <c r="AN29" s="210">
        <f t="shared" si="19"/>
        <v>3705.1801527537891</v>
      </c>
      <c r="AO29" s="210">
        <f t="shared" si="19"/>
        <v>3856.4190495912908</v>
      </c>
      <c r="AP29" s="210">
        <f t="shared" si="19"/>
        <v>4007.6579464287915</v>
      </c>
      <c r="AQ29" s="210">
        <f t="shared" si="19"/>
        <v>4158.8968432662932</v>
      </c>
      <c r="AR29" s="210">
        <f t="shared" si="19"/>
        <v>4310.135740103794</v>
      </c>
      <c r="AS29" s="210">
        <f t="shared" si="19"/>
        <v>4461.3746369412956</v>
      </c>
      <c r="AT29" s="210">
        <f t="shared" si="20"/>
        <v>4612.6135337787964</v>
      </c>
      <c r="AU29" s="210">
        <f t="shared" si="20"/>
        <v>4763.8524306162981</v>
      </c>
      <c r="AV29" s="210">
        <f t="shared" si="20"/>
        <v>4915.0913274537988</v>
      </c>
      <c r="AW29" s="210">
        <f t="shared" si="20"/>
        <v>5066.3302242912996</v>
      </c>
      <c r="AX29" s="210">
        <f t="shared" si="20"/>
        <v>5217.5691211288013</v>
      </c>
      <c r="AY29" s="210">
        <f t="shared" si="20"/>
        <v>5368.8080179663029</v>
      </c>
      <c r="AZ29" s="210">
        <f t="shared" si="20"/>
        <v>5520.0469148038037</v>
      </c>
      <c r="BA29" s="210">
        <f t="shared" si="20"/>
        <v>5671.2858116413054</v>
      </c>
      <c r="BB29" s="210">
        <f t="shared" si="20"/>
        <v>5822.5247084788061</v>
      </c>
      <c r="BC29" s="210">
        <f t="shared" si="20"/>
        <v>5973.7636053163078</v>
      </c>
      <c r="BD29" s="210">
        <f t="shared" si="21"/>
        <v>6125.0025021538086</v>
      </c>
      <c r="BE29" s="210">
        <f t="shared" si="21"/>
        <v>6276.2413989913102</v>
      </c>
      <c r="BF29" s="210">
        <f t="shared" si="21"/>
        <v>6427.480295828811</v>
      </c>
      <c r="BG29" s="210">
        <f t="shared" si="21"/>
        <v>6790.1239159826555</v>
      </c>
      <c r="BH29" s="210">
        <f t="shared" si="21"/>
        <v>7364.1722594528437</v>
      </c>
      <c r="BI29" s="210">
        <f t="shared" si="21"/>
        <v>7938.2206029230319</v>
      </c>
      <c r="BJ29" s="210">
        <f t="shared" si="21"/>
        <v>8512.2689463932202</v>
      </c>
      <c r="BK29" s="210">
        <f t="shared" si="21"/>
        <v>9086.3172898634075</v>
      </c>
      <c r="BL29" s="210">
        <f t="shared" si="21"/>
        <v>9660.3656333335948</v>
      </c>
      <c r="BM29" s="210">
        <f t="shared" si="21"/>
        <v>10234.413976803782</v>
      </c>
      <c r="BN29" s="210">
        <f t="shared" si="22"/>
        <v>10808.462320273971</v>
      </c>
      <c r="BO29" s="210">
        <f t="shared" si="22"/>
        <v>11382.510663744159</v>
      </c>
      <c r="BP29" s="210">
        <f t="shared" si="22"/>
        <v>11956.559007214346</v>
      </c>
      <c r="BQ29" s="210">
        <f t="shared" si="22"/>
        <v>12530.607350684535</v>
      </c>
      <c r="BR29" s="210">
        <f t="shared" si="22"/>
        <v>13104.655694154722</v>
      </c>
      <c r="BS29" s="210">
        <f t="shared" si="22"/>
        <v>13678.70403762491</v>
      </c>
      <c r="BT29" s="210">
        <f t="shared" si="22"/>
        <v>14252.752381095099</v>
      </c>
      <c r="BU29" s="210">
        <f t="shared" si="22"/>
        <v>14826.800724565286</v>
      </c>
      <c r="BV29" s="210">
        <f t="shared" si="22"/>
        <v>15400.849068035473</v>
      </c>
      <c r="BW29" s="210">
        <f t="shared" si="22"/>
        <v>15974.897411505663</v>
      </c>
      <c r="BX29" s="210">
        <f t="shared" si="23"/>
        <v>16548.945754975852</v>
      </c>
      <c r="BY29" s="210">
        <f t="shared" si="23"/>
        <v>17122.994098446037</v>
      </c>
      <c r="BZ29" s="210">
        <f t="shared" si="23"/>
        <v>17697.042441916226</v>
      </c>
      <c r="CA29" s="210">
        <f t="shared" si="23"/>
        <v>18271.090785386412</v>
      </c>
      <c r="CB29" s="210">
        <f t="shared" si="23"/>
        <v>18845.139128856601</v>
      </c>
      <c r="CC29" s="210">
        <f t="shared" si="23"/>
        <v>19419.18747232679</v>
      </c>
      <c r="CD29" s="210">
        <f t="shared" si="23"/>
        <v>19993.235815796979</v>
      </c>
      <c r="CE29" s="210">
        <f t="shared" si="23"/>
        <v>20567.284159267168</v>
      </c>
      <c r="CF29" s="210">
        <f t="shared" si="23"/>
        <v>21141.33250273735</v>
      </c>
      <c r="CG29" s="210">
        <f t="shared" si="23"/>
        <v>21715.380846207539</v>
      </c>
      <c r="CH29" s="210">
        <f t="shared" si="24"/>
        <v>22289.429189677729</v>
      </c>
      <c r="CI29" s="210">
        <f t="shared" si="24"/>
        <v>23153.005954924571</v>
      </c>
      <c r="CJ29" s="210">
        <f t="shared" si="24"/>
        <v>24016.582720171413</v>
      </c>
      <c r="CK29" s="210">
        <f t="shared" si="24"/>
        <v>24880.159485418255</v>
      </c>
      <c r="CL29" s="210">
        <f t="shared" si="24"/>
        <v>25743.736250665097</v>
      </c>
      <c r="CM29" s="210">
        <f t="shared" si="24"/>
        <v>26607.313015911943</v>
      </c>
      <c r="CN29" s="210">
        <f t="shared" si="24"/>
        <v>27470.889781158785</v>
      </c>
      <c r="CO29" s="210">
        <f t="shared" si="24"/>
        <v>28334.466546405627</v>
      </c>
      <c r="CP29" s="210">
        <f t="shared" si="24"/>
        <v>29198.043311652469</v>
      </c>
      <c r="CQ29" s="210">
        <f t="shared" si="24"/>
        <v>30061.620076899311</v>
      </c>
      <c r="CR29" s="210">
        <f t="shared" si="25"/>
        <v>30925.196842146157</v>
      </c>
      <c r="CS29" s="210">
        <f t="shared" si="25"/>
        <v>31788.773607392999</v>
      </c>
      <c r="CT29" s="210">
        <f t="shared" si="25"/>
        <v>32652.350372639841</v>
      </c>
      <c r="CU29" s="210">
        <f t="shared" si="25"/>
        <v>33515.927137886683</v>
      </c>
      <c r="CV29" s="210">
        <f t="shared" si="25"/>
        <v>34379.503903133525</v>
      </c>
      <c r="CW29" s="210">
        <f t="shared" si="25"/>
        <v>35243.080668380368</v>
      </c>
      <c r="CX29" s="210">
        <f t="shared" si="25"/>
        <v>35243.080668380368</v>
      </c>
      <c r="CY29" s="210">
        <f t="shared" si="25"/>
        <v>35243.080668380368</v>
      </c>
      <c r="CZ29" s="210">
        <f t="shared" si="25"/>
        <v>35243.080668380368</v>
      </c>
      <c r="DA29" s="210">
        <f t="shared" si="25"/>
        <v>35243.080668380368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12420.176668135882</v>
      </c>
      <c r="C31" s="203">
        <f>Income!C78</f>
        <v>25541.766113170444</v>
      </c>
      <c r="D31" s="203">
        <f>Income!D78</f>
        <v>48608.336911454768</v>
      </c>
      <c r="E31" s="203">
        <f>Income!E78</f>
        <v>0</v>
      </c>
      <c r="F31" s="210">
        <f t="shared" si="16"/>
        <v>12420.176668135882</v>
      </c>
      <c r="G31" s="210">
        <f t="shared" si="16"/>
        <v>12420.176668135882</v>
      </c>
      <c r="H31" s="210">
        <f t="shared" si="16"/>
        <v>12420.176668135882</v>
      </c>
      <c r="I31" s="210">
        <f t="shared" si="16"/>
        <v>12420.176668135882</v>
      </c>
      <c r="J31" s="210">
        <f t="shared" si="16"/>
        <v>12420.176668135882</v>
      </c>
      <c r="K31" s="210">
        <f t="shared" si="16"/>
        <v>12420.176668135882</v>
      </c>
      <c r="L31" s="210">
        <f t="shared" si="16"/>
        <v>12420.176668135882</v>
      </c>
      <c r="M31" s="210">
        <f t="shared" si="16"/>
        <v>12420.176668135882</v>
      </c>
      <c r="N31" s="210">
        <f t="shared" si="16"/>
        <v>12420.176668135882</v>
      </c>
      <c r="O31" s="210">
        <f t="shared" si="16"/>
        <v>12420.176668135882</v>
      </c>
      <c r="P31" s="210">
        <f t="shared" si="17"/>
        <v>12420.176668135882</v>
      </c>
      <c r="Q31" s="210">
        <f t="shared" si="17"/>
        <v>12420.176668135882</v>
      </c>
      <c r="R31" s="210">
        <f t="shared" si="17"/>
        <v>12420.176668135882</v>
      </c>
      <c r="S31" s="210">
        <f t="shared" si="17"/>
        <v>12420.176668135882</v>
      </c>
      <c r="T31" s="210">
        <f t="shared" si="17"/>
        <v>12420.176668135882</v>
      </c>
      <c r="U31" s="210">
        <f t="shared" si="17"/>
        <v>12420.176668135882</v>
      </c>
      <c r="V31" s="210">
        <f t="shared" si="17"/>
        <v>12420.176668135882</v>
      </c>
      <c r="W31" s="210">
        <f t="shared" si="17"/>
        <v>12420.176668135882</v>
      </c>
      <c r="X31" s="210">
        <f t="shared" si="17"/>
        <v>12607.62794592209</v>
      </c>
      <c r="Y31" s="210">
        <f t="shared" si="17"/>
        <v>12982.530501494506</v>
      </c>
      <c r="Z31" s="210">
        <f t="shared" si="18"/>
        <v>13357.433057066923</v>
      </c>
      <c r="AA31" s="210">
        <f t="shared" si="18"/>
        <v>13732.335612639339</v>
      </c>
      <c r="AB31" s="210">
        <f t="shared" si="18"/>
        <v>14107.238168211754</v>
      </c>
      <c r="AC31" s="210">
        <f t="shared" si="18"/>
        <v>14482.14072378417</v>
      </c>
      <c r="AD31" s="210">
        <f t="shared" si="18"/>
        <v>14857.043279356587</v>
      </c>
      <c r="AE31" s="210">
        <f t="shared" si="18"/>
        <v>15231.945834929003</v>
      </c>
      <c r="AF31" s="210">
        <f t="shared" si="18"/>
        <v>15606.848390501418</v>
      </c>
      <c r="AG31" s="210">
        <f t="shared" si="18"/>
        <v>15981.750946073835</v>
      </c>
      <c r="AH31" s="210">
        <f t="shared" si="18"/>
        <v>16356.653501646251</v>
      </c>
      <c r="AI31" s="210">
        <f t="shared" si="18"/>
        <v>16731.556057218666</v>
      </c>
      <c r="AJ31" s="210">
        <f t="shared" si="19"/>
        <v>17106.458612791081</v>
      </c>
      <c r="AK31" s="210">
        <f t="shared" si="19"/>
        <v>17481.361168363499</v>
      </c>
      <c r="AL31" s="210">
        <f t="shared" si="19"/>
        <v>17856.263723935914</v>
      </c>
      <c r="AM31" s="210">
        <f t="shared" si="19"/>
        <v>18231.166279508332</v>
      </c>
      <c r="AN31" s="210">
        <f t="shared" si="19"/>
        <v>18606.068835080747</v>
      </c>
      <c r="AO31" s="210">
        <f t="shared" si="19"/>
        <v>18980.971390653162</v>
      </c>
      <c r="AP31" s="210">
        <f t="shared" si="19"/>
        <v>19355.87394622558</v>
      </c>
      <c r="AQ31" s="210">
        <f t="shared" si="19"/>
        <v>19730.776501797995</v>
      </c>
      <c r="AR31" s="210">
        <f t="shared" si="19"/>
        <v>20105.679057370413</v>
      </c>
      <c r="AS31" s="210">
        <f t="shared" si="19"/>
        <v>20480.581612942828</v>
      </c>
      <c r="AT31" s="210">
        <f t="shared" si="20"/>
        <v>20855.484168515242</v>
      </c>
      <c r="AU31" s="210">
        <f t="shared" si="20"/>
        <v>21230.386724087657</v>
      </c>
      <c r="AV31" s="210">
        <f t="shared" si="20"/>
        <v>21605.289279660075</v>
      </c>
      <c r="AW31" s="210">
        <f t="shared" si="20"/>
        <v>21980.191835232494</v>
      </c>
      <c r="AX31" s="210">
        <f t="shared" si="20"/>
        <v>22355.094390804908</v>
      </c>
      <c r="AY31" s="210">
        <f t="shared" si="20"/>
        <v>22729.996946377323</v>
      </c>
      <c r="AZ31" s="210">
        <f t="shared" si="20"/>
        <v>23104.899501949738</v>
      </c>
      <c r="BA31" s="210">
        <f t="shared" si="20"/>
        <v>23479.802057522156</v>
      </c>
      <c r="BB31" s="210">
        <f t="shared" si="20"/>
        <v>23854.704613094575</v>
      </c>
      <c r="BC31" s="210">
        <f t="shared" si="20"/>
        <v>24229.607168666989</v>
      </c>
      <c r="BD31" s="210">
        <f t="shared" si="21"/>
        <v>24604.509724239404</v>
      </c>
      <c r="BE31" s="210">
        <f t="shared" si="21"/>
        <v>24979.412279811819</v>
      </c>
      <c r="BF31" s="210">
        <f t="shared" si="21"/>
        <v>25354.314835384233</v>
      </c>
      <c r="BG31" s="210">
        <f t="shared" si="21"/>
        <v>25961.158309502887</v>
      </c>
      <c r="BH31" s="210">
        <f t="shared" si="21"/>
        <v>26799.942702167773</v>
      </c>
      <c r="BI31" s="210">
        <f t="shared" si="21"/>
        <v>27638.727094832655</v>
      </c>
      <c r="BJ31" s="210">
        <f t="shared" si="21"/>
        <v>28477.511487497541</v>
      </c>
      <c r="BK31" s="210">
        <f t="shared" si="21"/>
        <v>29316.295880162426</v>
      </c>
      <c r="BL31" s="210">
        <f t="shared" si="21"/>
        <v>30155.080272827308</v>
      </c>
      <c r="BM31" s="210">
        <f t="shared" si="21"/>
        <v>30993.864665492194</v>
      </c>
      <c r="BN31" s="210">
        <f t="shared" si="22"/>
        <v>31832.649058157076</v>
      </c>
      <c r="BO31" s="210">
        <f t="shared" si="22"/>
        <v>32671.433450821962</v>
      </c>
      <c r="BP31" s="210">
        <f t="shared" si="22"/>
        <v>33510.217843486847</v>
      </c>
      <c r="BQ31" s="210">
        <f t="shared" si="22"/>
        <v>34349.002236151733</v>
      </c>
      <c r="BR31" s="210">
        <f t="shared" si="22"/>
        <v>35187.786628816619</v>
      </c>
      <c r="BS31" s="210">
        <f t="shared" si="22"/>
        <v>36026.571021481504</v>
      </c>
      <c r="BT31" s="210">
        <f t="shared" si="22"/>
        <v>36865.355414146383</v>
      </c>
      <c r="BU31" s="210">
        <f t="shared" si="22"/>
        <v>37704.139806811268</v>
      </c>
      <c r="BV31" s="210">
        <f t="shared" si="22"/>
        <v>38542.924199476154</v>
      </c>
      <c r="BW31" s="210">
        <f t="shared" si="22"/>
        <v>39381.70859214104</v>
      </c>
      <c r="BX31" s="210">
        <f t="shared" si="23"/>
        <v>40220.492984805926</v>
      </c>
      <c r="BY31" s="210">
        <f t="shared" si="23"/>
        <v>41059.277377470804</v>
      </c>
      <c r="BZ31" s="210">
        <f t="shared" si="23"/>
        <v>41898.06177013569</v>
      </c>
      <c r="CA31" s="210">
        <f t="shared" si="23"/>
        <v>42736.846162800575</v>
      </c>
      <c r="CB31" s="210">
        <f t="shared" si="23"/>
        <v>43575.630555465461</v>
      </c>
      <c r="CC31" s="210">
        <f t="shared" si="23"/>
        <v>44414.414948130347</v>
      </c>
      <c r="CD31" s="210">
        <f t="shared" si="23"/>
        <v>45253.199340795232</v>
      </c>
      <c r="CE31" s="210">
        <f t="shared" si="23"/>
        <v>46091.983733460118</v>
      </c>
      <c r="CF31" s="210">
        <f t="shared" si="23"/>
        <v>46930.768126124996</v>
      </c>
      <c r="CG31" s="210">
        <f t="shared" si="23"/>
        <v>47769.552518789882</v>
      </c>
      <c r="CH31" s="210">
        <f t="shared" si="24"/>
        <v>48608.336911454768</v>
      </c>
      <c r="CI31" s="210">
        <f t="shared" si="24"/>
        <v>45367.781117357787</v>
      </c>
      <c r="CJ31" s="210">
        <f t="shared" si="24"/>
        <v>42127.225323260798</v>
      </c>
      <c r="CK31" s="210">
        <f t="shared" si="24"/>
        <v>38886.669529163817</v>
      </c>
      <c r="CL31" s="210">
        <f t="shared" si="24"/>
        <v>35646.113735066829</v>
      </c>
      <c r="CM31" s="210">
        <f t="shared" si="24"/>
        <v>32405.557940969848</v>
      </c>
      <c r="CN31" s="210">
        <f t="shared" si="24"/>
        <v>29165.002146872859</v>
      </c>
      <c r="CO31" s="210">
        <f t="shared" si="24"/>
        <v>25924.446352775878</v>
      </c>
      <c r="CP31" s="210">
        <f t="shared" si="24"/>
        <v>22683.890558678893</v>
      </c>
      <c r="CQ31" s="210">
        <f t="shared" si="24"/>
        <v>19443.334764581905</v>
      </c>
      <c r="CR31" s="210">
        <f t="shared" si="25"/>
        <v>16202.778970484924</v>
      </c>
      <c r="CS31" s="210">
        <f t="shared" si="25"/>
        <v>12962.223176387939</v>
      </c>
      <c r="CT31" s="210">
        <f t="shared" si="25"/>
        <v>9721.6673822909506</v>
      </c>
      <c r="CU31" s="210">
        <f t="shared" si="25"/>
        <v>6481.1115881939695</v>
      </c>
      <c r="CV31" s="210">
        <f t="shared" si="25"/>
        <v>3240.5557940969884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174655.97499374344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11643.731666249563</v>
      </c>
      <c r="CJ32" s="210">
        <f t="shared" si="24"/>
        <v>23287.463332499126</v>
      </c>
      <c r="CK32" s="210">
        <f t="shared" si="24"/>
        <v>34931.194998748688</v>
      </c>
      <c r="CL32" s="210">
        <f t="shared" si="24"/>
        <v>46574.926664998253</v>
      </c>
      <c r="CM32" s="210">
        <f t="shared" si="24"/>
        <v>58218.658331247818</v>
      </c>
      <c r="CN32" s="210">
        <f t="shared" si="24"/>
        <v>69862.389997497376</v>
      </c>
      <c r="CO32" s="210">
        <f t="shared" si="24"/>
        <v>81506.121663746933</v>
      </c>
      <c r="CP32" s="210">
        <f t="shared" si="24"/>
        <v>93149.853329996506</v>
      </c>
      <c r="CQ32" s="210">
        <f t="shared" si="24"/>
        <v>104793.58499624606</v>
      </c>
      <c r="CR32" s="210">
        <f t="shared" si="25"/>
        <v>116437.31666249564</v>
      </c>
      <c r="CS32" s="210">
        <f t="shared" si="25"/>
        <v>128081.04832874519</v>
      </c>
      <c r="CT32" s="210">
        <f t="shared" si="25"/>
        <v>139724.77999499475</v>
      </c>
      <c r="CU32" s="210">
        <f t="shared" si="25"/>
        <v>151368.51166124429</v>
      </c>
      <c r="CV32" s="210">
        <f t="shared" si="25"/>
        <v>163012.24332749387</v>
      </c>
      <c r="CW32" s="210">
        <f t="shared" si="25"/>
        <v>174655.97499374344</v>
      </c>
      <c r="CX32" s="210">
        <f t="shared" si="25"/>
        <v>174655.97499374344</v>
      </c>
      <c r="CY32" s="210">
        <f t="shared" si="25"/>
        <v>174655.97499374344</v>
      </c>
      <c r="CZ32" s="210">
        <f t="shared" si="25"/>
        <v>174655.97499374344</v>
      </c>
      <c r="DA32" s="210">
        <f t="shared" si="25"/>
        <v>174655.97499374344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30848.328050842993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560.87869183350892</v>
      </c>
      <c r="BH33" s="210">
        <f t="shared" si="21"/>
        <v>1682.6360755005269</v>
      </c>
      <c r="BI33" s="210">
        <f t="shared" si="21"/>
        <v>2804.3934591675447</v>
      </c>
      <c r="BJ33" s="210">
        <f t="shared" si="21"/>
        <v>3926.1508428345624</v>
      </c>
      <c r="BK33" s="210">
        <f t="shared" si="21"/>
        <v>5047.9082265015804</v>
      </c>
      <c r="BL33" s="210">
        <f t="shared" si="21"/>
        <v>6169.6656101685976</v>
      </c>
      <c r="BM33" s="210">
        <f t="shared" si="21"/>
        <v>7291.4229938356166</v>
      </c>
      <c r="BN33" s="210">
        <f t="shared" si="22"/>
        <v>8413.1803775026347</v>
      </c>
      <c r="BO33" s="210">
        <f t="shared" si="22"/>
        <v>9534.9377611696527</v>
      </c>
      <c r="BP33" s="210">
        <f t="shared" si="22"/>
        <v>10656.695144836671</v>
      </c>
      <c r="BQ33" s="210">
        <f t="shared" si="22"/>
        <v>11778.452528503687</v>
      </c>
      <c r="BR33" s="210">
        <f t="shared" si="22"/>
        <v>12900.209912170707</v>
      </c>
      <c r="BS33" s="210">
        <f t="shared" si="22"/>
        <v>14021.967295837723</v>
      </c>
      <c r="BT33" s="210">
        <f t="shared" si="22"/>
        <v>15143.724679504741</v>
      </c>
      <c r="BU33" s="210">
        <f t="shared" si="22"/>
        <v>16265.482063171761</v>
      </c>
      <c r="BV33" s="210">
        <f t="shared" si="22"/>
        <v>17387.239446838779</v>
      </c>
      <c r="BW33" s="210">
        <f t="shared" si="22"/>
        <v>18508.996830505796</v>
      </c>
      <c r="BX33" s="210">
        <f t="shared" si="23"/>
        <v>19630.754214172815</v>
      </c>
      <c r="BY33" s="210">
        <f t="shared" si="23"/>
        <v>20752.511597839832</v>
      </c>
      <c r="BZ33" s="210">
        <f t="shared" si="23"/>
        <v>21874.268981506848</v>
      </c>
      <c r="CA33" s="210">
        <f t="shared" si="23"/>
        <v>22996.026365173868</v>
      </c>
      <c r="CB33" s="210">
        <f t="shared" si="23"/>
        <v>24117.783748840884</v>
      </c>
      <c r="CC33" s="210">
        <f t="shared" si="23"/>
        <v>25239.541132507904</v>
      </c>
      <c r="CD33" s="210">
        <f t="shared" si="23"/>
        <v>26361.298516174924</v>
      </c>
      <c r="CE33" s="210">
        <f t="shared" si="23"/>
        <v>27483.05589984194</v>
      </c>
      <c r="CF33" s="210">
        <f t="shared" si="23"/>
        <v>28604.813283508956</v>
      </c>
      <c r="CG33" s="210">
        <f t="shared" si="23"/>
        <v>29726.570667175973</v>
      </c>
      <c r="CH33" s="210">
        <f t="shared" si="24"/>
        <v>30848.328050842993</v>
      </c>
      <c r="CI33" s="210">
        <f t="shared" si="24"/>
        <v>28791.77284745346</v>
      </c>
      <c r="CJ33" s="210">
        <f t="shared" si="24"/>
        <v>26735.217644063927</v>
      </c>
      <c r="CK33" s="210">
        <f t="shared" si="24"/>
        <v>24678.662440674394</v>
      </c>
      <c r="CL33" s="210">
        <f t="shared" si="24"/>
        <v>22622.107237284861</v>
      </c>
      <c r="CM33" s="210">
        <f t="shared" si="24"/>
        <v>20565.552033895328</v>
      </c>
      <c r="CN33" s="210">
        <f t="shared" si="24"/>
        <v>18508.996830505796</v>
      </c>
      <c r="CO33" s="210">
        <f t="shared" si="24"/>
        <v>16452.441627116263</v>
      </c>
      <c r="CP33" s="210">
        <f t="shared" si="24"/>
        <v>14395.88642372673</v>
      </c>
      <c r="CQ33" s="210">
        <f t="shared" si="24"/>
        <v>12339.331220337197</v>
      </c>
      <c r="CR33" s="210">
        <f t="shared" si="25"/>
        <v>10282.776016947664</v>
      </c>
      <c r="CS33" s="210">
        <f t="shared" si="25"/>
        <v>8226.2208135581313</v>
      </c>
      <c r="CT33" s="210">
        <f t="shared" si="25"/>
        <v>6169.6656101685985</v>
      </c>
      <c r="CU33" s="210">
        <f t="shared" si="25"/>
        <v>4113.1104067790657</v>
      </c>
      <c r="CV33" s="210">
        <f t="shared" si="25"/>
        <v>2056.5552033895328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12702.252726817702</v>
      </c>
      <c r="E34" s="203">
        <f>Income!E82</f>
        <v>267654.61102937302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230.95004957850367</v>
      </c>
      <c r="BH34" s="210">
        <f t="shared" si="21"/>
        <v>692.85014873551108</v>
      </c>
      <c r="BI34" s="210">
        <f t="shared" si="21"/>
        <v>1154.7502478925182</v>
      </c>
      <c r="BJ34" s="210">
        <f t="shared" si="21"/>
        <v>1616.6503470495256</v>
      </c>
      <c r="BK34" s="210">
        <f t="shared" si="21"/>
        <v>2078.5504462065333</v>
      </c>
      <c r="BL34" s="210">
        <f t="shared" si="21"/>
        <v>2540.4505453635402</v>
      </c>
      <c r="BM34" s="210">
        <f t="shared" si="21"/>
        <v>3002.350644520548</v>
      </c>
      <c r="BN34" s="210">
        <f t="shared" si="22"/>
        <v>3464.250743677555</v>
      </c>
      <c r="BO34" s="210">
        <f t="shared" si="22"/>
        <v>3926.1508428345624</v>
      </c>
      <c r="BP34" s="210">
        <f t="shared" si="22"/>
        <v>4388.0509419915697</v>
      </c>
      <c r="BQ34" s="210">
        <f t="shared" si="22"/>
        <v>4849.9510411485771</v>
      </c>
      <c r="BR34" s="210">
        <f t="shared" si="22"/>
        <v>5311.8511403055836</v>
      </c>
      <c r="BS34" s="210">
        <f t="shared" si="22"/>
        <v>5773.7512394625919</v>
      </c>
      <c r="BT34" s="210">
        <f t="shared" si="22"/>
        <v>6235.6513386195993</v>
      </c>
      <c r="BU34" s="210">
        <f t="shared" si="22"/>
        <v>6697.5514377766067</v>
      </c>
      <c r="BV34" s="210">
        <f t="shared" si="22"/>
        <v>7159.4515369336141</v>
      </c>
      <c r="BW34" s="210">
        <f t="shared" si="22"/>
        <v>7621.3516360906206</v>
      </c>
      <c r="BX34" s="210">
        <f t="shared" si="23"/>
        <v>8083.2517352476279</v>
      </c>
      <c r="BY34" s="210">
        <f t="shared" si="23"/>
        <v>8545.1518344046362</v>
      </c>
      <c r="BZ34" s="210">
        <f t="shared" si="23"/>
        <v>9007.0519335616427</v>
      </c>
      <c r="CA34" s="210">
        <f t="shared" si="23"/>
        <v>9468.952032718651</v>
      </c>
      <c r="CB34" s="210">
        <f t="shared" si="23"/>
        <v>9930.8521318756575</v>
      </c>
      <c r="CC34" s="210">
        <f t="shared" si="23"/>
        <v>10392.752231032666</v>
      </c>
      <c r="CD34" s="210">
        <f t="shared" si="23"/>
        <v>10854.652330189672</v>
      </c>
      <c r="CE34" s="210">
        <f t="shared" si="23"/>
        <v>11316.552429346679</v>
      </c>
      <c r="CF34" s="210">
        <f t="shared" si="23"/>
        <v>11778.452528503687</v>
      </c>
      <c r="CG34" s="210">
        <f t="shared" si="23"/>
        <v>12240.352627660694</v>
      </c>
      <c r="CH34" s="210">
        <f t="shared" si="24"/>
        <v>12702.252726817702</v>
      </c>
      <c r="CI34" s="210">
        <f t="shared" si="24"/>
        <v>29699.076613654724</v>
      </c>
      <c r="CJ34" s="210">
        <f t="shared" si="24"/>
        <v>46695.900500491742</v>
      </c>
      <c r="CK34" s="210">
        <f t="shared" si="24"/>
        <v>63692.724387328766</v>
      </c>
      <c r="CL34" s="210">
        <f t="shared" si="24"/>
        <v>80689.548274165791</v>
      </c>
      <c r="CM34" s="210">
        <f t="shared" si="24"/>
        <v>97686.372161002815</v>
      </c>
      <c r="CN34" s="210">
        <f t="shared" si="24"/>
        <v>114683.19604783984</v>
      </c>
      <c r="CO34" s="210">
        <f t="shared" si="24"/>
        <v>131680.01993467685</v>
      </c>
      <c r="CP34" s="210">
        <f t="shared" si="24"/>
        <v>148676.84382151387</v>
      </c>
      <c r="CQ34" s="210">
        <f t="shared" si="24"/>
        <v>165673.6677083509</v>
      </c>
      <c r="CR34" s="210">
        <f t="shared" si="25"/>
        <v>182670.49159518792</v>
      </c>
      <c r="CS34" s="210">
        <f t="shared" si="25"/>
        <v>199667.31548202492</v>
      </c>
      <c r="CT34" s="210">
        <f t="shared" si="25"/>
        <v>216664.13936886197</v>
      </c>
      <c r="CU34" s="210">
        <f t="shared" si="25"/>
        <v>233660.96325569897</v>
      </c>
      <c r="CV34" s="210">
        <f t="shared" si="25"/>
        <v>250657.78714253599</v>
      </c>
      <c r="CW34" s="210">
        <f t="shared" si="25"/>
        <v>267654.61102937302</v>
      </c>
      <c r="CX34" s="210">
        <f t="shared" si="25"/>
        <v>267654.61102937302</v>
      </c>
      <c r="CY34" s="210">
        <f t="shared" si="25"/>
        <v>267654.61102937302</v>
      </c>
      <c r="CZ34" s="210">
        <f t="shared" si="25"/>
        <v>267654.61102937302</v>
      </c>
      <c r="DA34" s="210">
        <f t="shared" si="25"/>
        <v>267654.61102937302</v>
      </c>
    </row>
    <row r="35" spans="1:105">
      <c r="A35" s="201" t="str">
        <f>Income!A83</f>
        <v>Food transfer - official</v>
      </c>
      <c r="B35" s="203">
        <f>Income!B83</f>
        <v>3705.3892346012062</v>
      </c>
      <c r="C35" s="203">
        <f>Income!C83</f>
        <v>3705.3892346012058</v>
      </c>
      <c r="D35" s="203">
        <f>Income!D83</f>
        <v>3368.5356678192775</v>
      </c>
      <c r="E35" s="203">
        <f>Income!E83</f>
        <v>0</v>
      </c>
      <c r="F35" s="210">
        <f t="shared" si="16"/>
        <v>3705.3892346012062</v>
      </c>
      <c r="G35" s="210">
        <f t="shared" si="16"/>
        <v>3705.3892346012062</v>
      </c>
      <c r="H35" s="210">
        <f t="shared" si="16"/>
        <v>3705.3892346012062</v>
      </c>
      <c r="I35" s="210">
        <f t="shared" si="16"/>
        <v>3705.3892346012062</v>
      </c>
      <c r="J35" s="210">
        <f t="shared" si="16"/>
        <v>3705.3892346012062</v>
      </c>
      <c r="K35" s="210">
        <f t="shared" si="16"/>
        <v>3705.3892346012062</v>
      </c>
      <c r="L35" s="210">
        <f t="shared" si="16"/>
        <v>3705.3892346012062</v>
      </c>
      <c r="M35" s="210">
        <f t="shared" si="16"/>
        <v>3705.3892346012062</v>
      </c>
      <c r="N35" s="210">
        <f t="shared" si="16"/>
        <v>3705.3892346012062</v>
      </c>
      <c r="O35" s="210">
        <f t="shared" si="16"/>
        <v>3705.3892346012062</v>
      </c>
      <c r="P35" s="210">
        <f t="shared" si="17"/>
        <v>3705.3892346012062</v>
      </c>
      <c r="Q35" s="210">
        <f t="shared" si="17"/>
        <v>3705.3892346012062</v>
      </c>
      <c r="R35" s="210">
        <f t="shared" si="17"/>
        <v>3705.3892346012062</v>
      </c>
      <c r="S35" s="210">
        <f t="shared" si="17"/>
        <v>3705.3892346012062</v>
      </c>
      <c r="T35" s="210">
        <f t="shared" si="17"/>
        <v>3705.3892346012062</v>
      </c>
      <c r="U35" s="210">
        <f t="shared" si="17"/>
        <v>3705.3892346012062</v>
      </c>
      <c r="V35" s="210">
        <f t="shared" si="17"/>
        <v>3705.3892346012062</v>
      </c>
      <c r="W35" s="210">
        <f t="shared" si="17"/>
        <v>3705.3892346012062</v>
      </c>
      <c r="X35" s="210">
        <f t="shared" si="17"/>
        <v>3705.3892346012062</v>
      </c>
      <c r="Y35" s="210">
        <f t="shared" si="17"/>
        <v>3705.3892346012062</v>
      </c>
      <c r="Z35" s="210">
        <f t="shared" si="18"/>
        <v>3705.3892346012062</v>
      </c>
      <c r="AA35" s="210">
        <f t="shared" si="18"/>
        <v>3705.3892346012062</v>
      </c>
      <c r="AB35" s="210">
        <f t="shared" si="18"/>
        <v>3705.3892346012062</v>
      </c>
      <c r="AC35" s="210">
        <f t="shared" si="18"/>
        <v>3705.3892346012062</v>
      </c>
      <c r="AD35" s="210">
        <f t="shared" si="18"/>
        <v>3705.3892346012062</v>
      </c>
      <c r="AE35" s="210">
        <f t="shared" si="18"/>
        <v>3705.3892346012062</v>
      </c>
      <c r="AF35" s="210">
        <f t="shared" si="18"/>
        <v>3705.3892346012062</v>
      </c>
      <c r="AG35" s="210">
        <f t="shared" si="18"/>
        <v>3705.3892346012062</v>
      </c>
      <c r="AH35" s="210">
        <f t="shared" si="18"/>
        <v>3705.3892346012062</v>
      </c>
      <c r="AI35" s="210">
        <f t="shared" si="18"/>
        <v>3705.3892346012062</v>
      </c>
      <c r="AJ35" s="210">
        <f t="shared" si="19"/>
        <v>3705.3892346012062</v>
      </c>
      <c r="AK35" s="210">
        <f t="shared" si="19"/>
        <v>3705.3892346012062</v>
      </c>
      <c r="AL35" s="210">
        <f t="shared" si="19"/>
        <v>3705.3892346012062</v>
      </c>
      <c r="AM35" s="210">
        <f t="shared" si="19"/>
        <v>3705.3892346012062</v>
      </c>
      <c r="AN35" s="210">
        <f t="shared" si="19"/>
        <v>3705.3892346012062</v>
      </c>
      <c r="AO35" s="210">
        <f t="shared" si="19"/>
        <v>3705.3892346012062</v>
      </c>
      <c r="AP35" s="210">
        <f t="shared" si="19"/>
        <v>3705.3892346012058</v>
      </c>
      <c r="AQ35" s="210">
        <f t="shared" si="19"/>
        <v>3705.3892346012058</v>
      </c>
      <c r="AR35" s="210">
        <f t="shared" si="19"/>
        <v>3705.3892346012058</v>
      </c>
      <c r="AS35" s="210">
        <f t="shared" si="19"/>
        <v>3705.3892346012058</v>
      </c>
      <c r="AT35" s="210">
        <f t="shared" si="20"/>
        <v>3705.3892346012058</v>
      </c>
      <c r="AU35" s="210">
        <f t="shared" si="20"/>
        <v>3705.3892346012058</v>
      </c>
      <c r="AV35" s="210">
        <f t="shared" si="20"/>
        <v>3705.3892346012058</v>
      </c>
      <c r="AW35" s="210">
        <f t="shared" si="20"/>
        <v>3705.3892346012058</v>
      </c>
      <c r="AX35" s="210">
        <f t="shared" si="20"/>
        <v>3705.3892346012058</v>
      </c>
      <c r="AY35" s="210">
        <f t="shared" si="20"/>
        <v>3705.3892346012058</v>
      </c>
      <c r="AZ35" s="210">
        <f t="shared" si="20"/>
        <v>3705.3892346012058</v>
      </c>
      <c r="BA35" s="210">
        <f t="shared" si="20"/>
        <v>3705.3892346012058</v>
      </c>
      <c r="BB35" s="210">
        <f t="shared" si="20"/>
        <v>3705.3892346012058</v>
      </c>
      <c r="BC35" s="210">
        <f t="shared" si="20"/>
        <v>3705.3892346012058</v>
      </c>
      <c r="BD35" s="210">
        <f t="shared" si="21"/>
        <v>3705.3892346012058</v>
      </c>
      <c r="BE35" s="210">
        <f t="shared" si="21"/>
        <v>3705.3892346012058</v>
      </c>
      <c r="BF35" s="210">
        <f t="shared" si="21"/>
        <v>3705.3892346012058</v>
      </c>
      <c r="BG35" s="210">
        <f t="shared" si="21"/>
        <v>3699.26462429608</v>
      </c>
      <c r="BH35" s="210">
        <f t="shared" si="21"/>
        <v>3687.015403685828</v>
      </c>
      <c r="BI35" s="210">
        <f t="shared" si="21"/>
        <v>3674.766183075576</v>
      </c>
      <c r="BJ35" s="210">
        <f t="shared" si="21"/>
        <v>3662.516962465324</v>
      </c>
      <c r="BK35" s="210">
        <f t="shared" si="21"/>
        <v>3650.267741855072</v>
      </c>
      <c r="BL35" s="210">
        <f t="shared" si="21"/>
        <v>3638.01852124482</v>
      </c>
      <c r="BM35" s="210">
        <f t="shared" si="21"/>
        <v>3625.769300634568</v>
      </c>
      <c r="BN35" s="210">
        <f t="shared" si="22"/>
        <v>3613.520080024316</v>
      </c>
      <c r="BO35" s="210">
        <f t="shared" si="22"/>
        <v>3601.2708594140645</v>
      </c>
      <c r="BP35" s="210">
        <f t="shared" si="22"/>
        <v>3589.0216388038125</v>
      </c>
      <c r="BQ35" s="210">
        <f t="shared" si="22"/>
        <v>3576.7724181935605</v>
      </c>
      <c r="BR35" s="210">
        <f t="shared" si="22"/>
        <v>3564.5231975833085</v>
      </c>
      <c r="BS35" s="210">
        <f t="shared" si="22"/>
        <v>3552.2739769730565</v>
      </c>
      <c r="BT35" s="210">
        <f t="shared" si="22"/>
        <v>3540.0247563628045</v>
      </c>
      <c r="BU35" s="210">
        <f t="shared" si="22"/>
        <v>3527.7755357525525</v>
      </c>
      <c r="BV35" s="210">
        <f t="shared" si="22"/>
        <v>3515.5263151423005</v>
      </c>
      <c r="BW35" s="210">
        <f t="shared" si="22"/>
        <v>3503.277094532049</v>
      </c>
      <c r="BX35" s="210">
        <f t="shared" si="23"/>
        <v>3491.027873921797</v>
      </c>
      <c r="BY35" s="210">
        <f t="shared" si="23"/>
        <v>3478.778653311545</v>
      </c>
      <c r="BZ35" s="210">
        <f t="shared" si="23"/>
        <v>3466.529432701293</v>
      </c>
      <c r="CA35" s="210">
        <f t="shared" si="23"/>
        <v>3454.280212091041</v>
      </c>
      <c r="CB35" s="210">
        <f t="shared" si="23"/>
        <v>3442.030991480789</v>
      </c>
      <c r="CC35" s="210">
        <f t="shared" si="23"/>
        <v>3429.781770870537</v>
      </c>
      <c r="CD35" s="210">
        <f t="shared" si="23"/>
        <v>3417.5325502602855</v>
      </c>
      <c r="CE35" s="210">
        <f t="shared" si="23"/>
        <v>3405.2833296500335</v>
      </c>
      <c r="CF35" s="210">
        <f t="shared" si="23"/>
        <v>3393.0341090397815</v>
      </c>
      <c r="CG35" s="210">
        <f t="shared" si="23"/>
        <v>3380.7848884295295</v>
      </c>
      <c r="CH35" s="210">
        <f t="shared" si="24"/>
        <v>3368.5356678192775</v>
      </c>
      <c r="CI35" s="210">
        <f t="shared" si="24"/>
        <v>3143.9666232979921</v>
      </c>
      <c r="CJ35" s="210">
        <f t="shared" si="24"/>
        <v>2919.3975787767072</v>
      </c>
      <c r="CK35" s="210">
        <f t="shared" si="24"/>
        <v>2694.8285342554218</v>
      </c>
      <c r="CL35" s="210">
        <f t="shared" si="24"/>
        <v>2470.2594897341369</v>
      </c>
      <c r="CM35" s="210">
        <f t="shared" si="24"/>
        <v>2245.690445212852</v>
      </c>
      <c r="CN35" s="210">
        <f t="shared" si="24"/>
        <v>2021.1214006915664</v>
      </c>
      <c r="CO35" s="210">
        <f t="shared" si="24"/>
        <v>1796.5523561702812</v>
      </c>
      <c r="CP35" s="210">
        <f t="shared" si="24"/>
        <v>1571.9833116489961</v>
      </c>
      <c r="CQ35" s="210">
        <f t="shared" si="24"/>
        <v>1347.4142671277111</v>
      </c>
      <c r="CR35" s="210">
        <f t="shared" si="25"/>
        <v>1122.845222606426</v>
      </c>
      <c r="CS35" s="210">
        <f t="shared" si="25"/>
        <v>898.27617808514105</v>
      </c>
      <c r="CT35" s="210">
        <f t="shared" si="25"/>
        <v>673.70713356385522</v>
      </c>
      <c r="CU35" s="210">
        <f t="shared" si="25"/>
        <v>449.1380890425703</v>
      </c>
      <c r="CV35" s="210">
        <f t="shared" si="25"/>
        <v>224.56904452128492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42824.737764699697</v>
      </c>
      <c r="C36" s="203">
        <f>Income!C85</f>
        <v>42824.737764699683</v>
      </c>
      <c r="D36" s="203">
        <f>Income!D85</f>
        <v>12883.713480057955</v>
      </c>
      <c r="E36" s="203">
        <f>Income!E85</f>
        <v>16104.641850072447</v>
      </c>
      <c r="F36" s="210">
        <f t="shared" si="16"/>
        <v>42824.737764699697</v>
      </c>
      <c r="G36" s="210">
        <f t="shared" si="16"/>
        <v>42824.737764699697</v>
      </c>
      <c r="H36" s="210">
        <f t="shared" si="16"/>
        <v>42824.737764699697</v>
      </c>
      <c r="I36" s="210">
        <f t="shared" si="16"/>
        <v>42824.737764699697</v>
      </c>
      <c r="J36" s="210">
        <f t="shared" si="16"/>
        <v>42824.737764699697</v>
      </c>
      <c r="K36" s="210">
        <f t="shared" si="16"/>
        <v>42824.737764699697</v>
      </c>
      <c r="L36" s="210">
        <f t="shared" si="16"/>
        <v>42824.737764699697</v>
      </c>
      <c r="M36" s="210">
        <f t="shared" si="16"/>
        <v>42824.737764699697</v>
      </c>
      <c r="N36" s="210">
        <f t="shared" si="16"/>
        <v>42824.737764699697</v>
      </c>
      <c r="O36" s="210">
        <f t="shared" si="16"/>
        <v>42824.737764699697</v>
      </c>
      <c r="P36" s="210">
        <f t="shared" si="16"/>
        <v>42824.737764699697</v>
      </c>
      <c r="Q36" s="210">
        <f t="shared" si="16"/>
        <v>42824.737764699697</v>
      </c>
      <c r="R36" s="210">
        <f t="shared" si="16"/>
        <v>42824.737764699697</v>
      </c>
      <c r="S36" s="210">
        <f t="shared" si="16"/>
        <v>42824.737764699697</v>
      </c>
      <c r="T36" s="210">
        <f t="shared" si="16"/>
        <v>42824.737764699697</v>
      </c>
      <c r="U36" s="210">
        <f t="shared" si="16"/>
        <v>42824.737764699697</v>
      </c>
      <c r="V36" s="210">
        <f t="shared" si="17"/>
        <v>42824.737764699697</v>
      </c>
      <c r="W36" s="210">
        <f t="shared" si="17"/>
        <v>42824.737764699697</v>
      </c>
      <c r="X36" s="210">
        <f t="shared" si="17"/>
        <v>42824.737764699697</v>
      </c>
      <c r="Y36" s="210">
        <f t="shared" si="17"/>
        <v>42824.737764699697</v>
      </c>
      <c r="Z36" s="210">
        <f t="shared" si="17"/>
        <v>42824.737764699697</v>
      </c>
      <c r="AA36" s="210">
        <f t="shared" si="17"/>
        <v>42824.737764699697</v>
      </c>
      <c r="AB36" s="210">
        <f t="shared" si="17"/>
        <v>42824.737764699697</v>
      </c>
      <c r="AC36" s="210">
        <f t="shared" si="17"/>
        <v>42824.737764699697</v>
      </c>
      <c r="AD36" s="210">
        <f t="shared" si="17"/>
        <v>42824.737764699697</v>
      </c>
      <c r="AE36" s="210">
        <f t="shared" si="17"/>
        <v>42824.737764699697</v>
      </c>
      <c r="AF36" s="210">
        <f t="shared" si="18"/>
        <v>42824.737764699697</v>
      </c>
      <c r="AG36" s="210">
        <f t="shared" si="18"/>
        <v>42824.73776469969</v>
      </c>
      <c r="AH36" s="210">
        <f t="shared" si="18"/>
        <v>42824.73776469969</v>
      </c>
      <c r="AI36" s="210">
        <f t="shared" si="18"/>
        <v>42824.73776469969</v>
      </c>
      <c r="AJ36" s="210">
        <f t="shared" si="18"/>
        <v>42824.73776469969</v>
      </c>
      <c r="AK36" s="210">
        <f t="shared" si="18"/>
        <v>42824.73776469969</v>
      </c>
      <c r="AL36" s="210">
        <f t="shared" si="18"/>
        <v>42824.73776469969</v>
      </c>
      <c r="AM36" s="210">
        <f t="shared" si="18"/>
        <v>42824.73776469969</v>
      </c>
      <c r="AN36" s="210">
        <f t="shared" si="18"/>
        <v>42824.73776469969</v>
      </c>
      <c r="AO36" s="210">
        <f t="shared" si="18"/>
        <v>42824.73776469969</v>
      </c>
      <c r="AP36" s="210">
        <f t="shared" si="19"/>
        <v>42824.73776469969</v>
      </c>
      <c r="AQ36" s="210">
        <f t="shared" si="19"/>
        <v>42824.73776469969</v>
      </c>
      <c r="AR36" s="210">
        <f t="shared" si="19"/>
        <v>42824.73776469969</v>
      </c>
      <c r="AS36" s="210">
        <f t="shared" si="19"/>
        <v>42824.73776469969</v>
      </c>
      <c r="AT36" s="210">
        <f t="shared" si="19"/>
        <v>42824.73776469969</v>
      </c>
      <c r="AU36" s="210">
        <f t="shared" si="19"/>
        <v>42824.73776469969</v>
      </c>
      <c r="AV36" s="210">
        <f t="shared" si="19"/>
        <v>42824.73776469969</v>
      </c>
      <c r="AW36" s="210">
        <f t="shared" si="19"/>
        <v>42824.73776469969</v>
      </c>
      <c r="AX36" s="210">
        <f t="shared" si="19"/>
        <v>42824.737764699683</v>
      </c>
      <c r="AY36" s="210">
        <f t="shared" si="19"/>
        <v>42824.737764699683</v>
      </c>
      <c r="AZ36" s="210">
        <f t="shared" si="20"/>
        <v>42824.737764699683</v>
      </c>
      <c r="BA36" s="210">
        <f t="shared" si="20"/>
        <v>42824.737764699683</v>
      </c>
      <c r="BB36" s="210">
        <f t="shared" si="20"/>
        <v>42824.737764699683</v>
      </c>
      <c r="BC36" s="210">
        <f t="shared" si="20"/>
        <v>42824.737764699683</v>
      </c>
      <c r="BD36" s="210">
        <f t="shared" si="20"/>
        <v>42824.737764699683</v>
      </c>
      <c r="BE36" s="210">
        <f t="shared" si="20"/>
        <v>42824.737764699683</v>
      </c>
      <c r="BF36" s="210">
        <f t="shared" si="20"/>
        <v>42824.737764699683</v>
      </c>
      <c r="BG36" s="210">
        <f t="shared" si="20"/>
        <v>42280.355504978921</v>
      </c>
      <c r="BH36" s="210">
        <f t="shared" si="20"/>
        <v>41191.590985537405</v>
      </c>
      <c r="BI36" s="210">
        <f t="shared" si="20"/>
        <v>40102.826466095888</v>
      </c>
      <c r="BJ36" s="210">
        <f t="shared" si="21"/>
        <v>39014.061946654372</v>
      </c>
      <c r="BK36" s="210">
        <f t="shared" si="21"/>
        <v>37925.297427212856</v>
      </c>
      <c r="BL36" s="210">
        <f t="shared" si="21"/>
        <v>36836.53290777134</v>
      </c>
      <c r="BM36" s="210">
        <f t="shared" si="21"/>
        <v>35747.768388329816</v>
      </c>
      <c r="BN36" s="210">
        <f t="shared" si="21"/>
        <v>34659.0038688883</v>
      </c>
      <c r="BO36" s="210">
        <f t="shared" si="21"/>
        <v>33570.239349446783</v>
      </c>
      <c r="BP36" s="210">
        <f t="shared" si="21"/>
        <v>32481.474830005267</v>
      </c>
      <c r="BQ36" s="210">
        <f t="shared" si="21"/>
        <v>31392.710310563751</v>
      </c>
      <c r="BR36" s="210">
        <f t="shared" si="21"/>
        <v>30303.945791122234</v>
      </c>
      <c r="BS36" s="210">
        <f t="shared" si="21"/>
        <v>29215.181271680714</v>
      </c>
      <c r="BT36" s="210">
        <f t="shared" si="22"/>
        <v>28126.416752239198</v>
      </c>
      <c r="BU36" s="210">
        <f t="shared" si="22"/>
        <v>27037.652232797678</v>
      </c>
      <c r="BV36" s="210">
        <f t="shared" si="22"/>
        <v>25948.887713356162</v>
      </c>
      <c r="BW36" s="210">
        <f t="shared" si="22"/>
        <v>24860.123193914646</v>
      </c>
      <c r="BX36" s="210">
        <f t="shared" si="22"/>
        <v>23771.358674473129</v>
      </c>
      <c r="BY36" s="210">
        <f t="shared" si="22"/>
        <v>22682.594155031609</v>
      </c>
      <c r="BZ36" s="210">
        <f t="shared" si="22"/>
        <v>21593.829635590093</v>
      </c>
      <c r="CA36" s="210">
        <f t="shared" si="22"/>
        <v>20505.065116148577</v>
      </c>
      <c r="CB36" s="210">
        <f t="shared" si="22"/>
        <v>19416.300596707057</v>
      </c>
      <c r="CC36" s="210">
        <f t="shared" si="22"/>
        <v>18327.53607726554</v>
      </c>
      <c r="CD36" s="210">
        <f t="shared" si="23"/>
        <v>17238.771557824024</v>
      </c>
      <c r="CE36" s="210">
        <f t="shared" si="23"/>
        <v>16150.007038382508</v>
      </c>
      <c r="CF36" s="210">
        <f t="shared" si="23"/>
        <v>15061.242518940988</v>
      </c>
      <c r="CG36" s="210">
        <f t="shared" si="23"/>
        <v>13972.477999499471</v>
      </c>
      <c r="CH36" s="210">
        <f t="shared" si="23"/>
        <v>12883.713480057955</v>
      </c>
      <c r="CI36" s="210">
        <f t="shared" si="23"/>
        <v>13098.442038058922</v>
      </c>
      <c r="CJ36" s="210">
        <f t="shared" si="23"/>
        <v>13313.170596059887</v>
      </c>
      <c r="CK36" s="210">
        <f t="shared" si="23"/>
        <v>13527.899154060853</v>
      </c>
      <c r="CL36" s="210">
        <f t="shared" si="23"/>
        <v>13742.62771206182</v>
      </c>
      <c r="CM36" s="210">
        <f t="shared" si="23"/>
        <v>13957.356270062786</v>
      </c>
      <c r="CN36" s="210">
        <f t="shared" si="24"/>
        <v>14172.084828063751</v>
      </c>
      <c r="CO36" s="210">
        <f t="shared" si="24"/>
        <v>14386.813386064718</v>
      </c>
      <c r="CP36" s="210">
        <f t="shared" si="24"/>
        <v>14601.541944065684</v>
      </c>
      <c r="CQ36" s="210">
        <f t="shared" si="24"/>
        <v>14816.270502066651</v>
      </c>
      <c r="CR36" s="210">
        <f t="shared" si="24"/>
        <v>15030.999060067616</v>
      </c>
      <c r="CS36" s="210">
        <f t="shared" si="24"/>
        <v>15245.727618068582</v>
      </c>
      <c r="CT36" s="210">
        <f t="shared" si="24"/>
        <v>15460.456176069549</v>
      </c>
      <c r="CU36" s="210">
        <f t="shared" si="24"/>
        <v>15675.184734070514</v>
      </c>
      <c r="CV36" s="210">
        <f t="shared" si="24"/>
        <v>15889.91329207148</v>
      </c>
      <c r="CW36" s="210">
        <f t="shared" si="24"/>
        <v>16104.641850072447</v>
      </c>
      <c r="CX36" s="210">
        <f t="shared" si="25"/>
        <v>16104.641850072447</v>
      </c>
      <c r="CY36" s="210">
        <f t="shared" si="25"/>
        <v>16104.641850072447</v>
      </c>
      <c r="CZ36" s="210">
        <f t="shared" si="25"/>
        <v>16104.641850072447</v>
      </c>
      <c r="DA36" s="210">
        <f t="shared" si="25"/>
        <v>16104.641850072447</v>
      </c>
    </row>
    <row r="37" spans="1:105">
      <c r="A37" s="201" t="str">
        <f>Income!A86</f>
        <v>Cash transfer - gifts</v>
      </c>
      <c r="B37" s="203">
        <f>Income!B86</f>
        <v>1512.1729436687742</v>
      </c>
      <c r="C37" s="203">
        <f>Income!C86</f>
        <v>0</v>
      </c>
      <c r="D37" s="203">
        <f>Income!D86</f>
        <v>1512.172943668774</v>
      </c>
      <c r="E37" s="203">
        <f>Income!E86</f>
        <v>2835.3242693789521</v>
      </c>
      <c r="F37" s="210">
        <f t="shared" si="16"/>
        <v>1512.1729436687742</v>
      </c>
      <c r="G37" s="210">
        <f t="shared" si="16"/>
        <v>1512.1729436687742</v>
      </c>
      <c r="H37" s="210">
        <f t="shared" si="16"/>
        <v>1512.1729436687742</v>
      </c>
      <c r="I37" s="210">
        <f t="shared" si="16"/>
        <v>1512.1729436687742</v>
      </c>
      <c r="J37" s="210">
        <f t="shared" si="16"/>
        <v>1512.1729436687742</v>
      </c>
      <c r="K37" s="210">
        <f t="shared" si="16"/>
        <v>1512.1729436687742</v>
      </c>
      <c r="L37" s="210">
        <f t="shared" si="16"/>
        <v>1512.1729436687742</v>
      </c>
      <c r="M37" s="210">
        <f t="shared" si="16"/>
        <v>1512.1729436687742</v>
      </c>
      <c r="N37" s="210">
        <f t="shared" si="16"/>
        <v>1512.1729436687742</v>
      </c>
      <c r="O37" s="210">
        <f t="shared" si="16"/>
        <v>1512.1729436687742</v>
      </c>
      <c r="P37" s="210">
        <f t="shared" si="17"/>
        <v>1512.1729436687742</v>
      </c>
      <c r="Q37" s="210">
        <f t="shared" si="17"/>
        <v>1512.1729436687742</v>
      </c>
      <c r="R37" s="210">
        <f t="shared" si="17"/>
        <v>1512.1729436687742</v>
      </c>
      <c r="S37" s="210">
        <f t="shared" si="17"/>
        <v>1512.1729436687742</v>
      </c>
      <c r="T37" s="210">
        <f t="shared" si="17"/>
        <v>1512.1729436687742</v>
      </c>
      <c r="U37" s="210">
        <f t="shared" si="17"/>
        <v>1512.1729436687742</v>
      </c>
      <c r="V37" s="210">
        <f t="shared" si="17"/>
        <v>1512.1729436687742</v>
      </c>
      <c r="W37" s="210">
        <f t="shared" si="17"/>
        <v>1512.1729436687742</v>
      </c>
      <c r="X37" s="210">
        <f t="shared" si="17"/>
        <v>1490.5704730449345</v>
      </c>
      <c r="Y37" s="210">
        <f t="shared" si="17"/>
        <v>1447.3655317972552</v>
      </c>
      <c r="Z37" s="210">
        <f t="shared" si="18"/>
        <v>1404.160590549576</v>
      </c>
      <c r="AA37" s="210">
        <f t="shared" si="18"/>
        <v>1360.9556493018968</v>
      </c>
      <c r="AB37" s="210">
        <f t="shared" si="18"/>
        <v>1317.7507080542175</v>
      </c>
      <c r="AC37" s="210">
        <f t="shared" si="18"/>
        <v>1274.5457668065383</v>
      </c>
      <c r="AD37" s="210">
        <f t="shared" si="18"/>
        <v>1231.340825558859</v>
      </c>
      <c r="AE37" s="210">
        <f t="shared" si="18"/>
        <v>1188.1358843111798</v>
      </c>
      <c r="AF37" s="210">
        <f t="shared" si="18"/>
        <v>1144.9309430635005</v>
      </c>
      <c r="AG37" s="210">
        <f t="shared" si="18"/>
        <v>1101.7260018158213</v>
      </c>
      <c r="AH37" s="210">
        <f t="shared" si="18"/>
        <v>1058.521060568142</v>
      </c>
      <c r="AI37" s="210">
        <f t="shared" si="18"/>
        <v>1015.3161193204626</v>
      </c>
      <c r="AJ37" s="210">
        <f t="shared" si="19"/>
        <v>972.11117807278345</v>
      </c>
      <c r="AK37" s="210">
        <f t="shared" si="19"/>
        <v>928.9062368251042</v>
      </c>
      <c r="AL37" s="210">
        <f t="shared" si="19"/>
        <v>885.70129557742496</v>
      </c>
      <c r="AM37" s="210">
        <f t="shared" si="19"/>
        <v>842.4963543297456</v>
      </c>
      <c r="AN37" s="210">
        <f t="shared" si="19"/>
        <v>799.29141308206636</v>
      </c>
      <c r="AO37" s="210">
        <f t="shared" si="19"/>
        <v>756.08647183438711</v>
      </c>
      <c r="AP37" s="210">
        <f t="shared" si="19"/>
        <v>712.88153058670787</v>
      </c>
      <c r="AQ37" s="210">
        <f t="shared" si="19"/>
        <v>669.67658933902851</v>
      </c>
      <c r="AR37" s="210">
        <f t="shared" si="19"/>
        <v>626.47164809134938</v>
      </c>
      <c r="AS37" s="210">
        <f t="shared" si="19"/>
        <v>583.26670684367014</v>
      </c>
      <c r="AT37" s="210">
        <f t="shared" si="20"/>
        <v>540.06176559599066</v>
      </c>
      <c r="AU37" s="210">
        <f t="shared" si="20"/>
        <v>496.85682434831142</v>
      </c>
      <c r="AV37" s="210">
        <f t="shared" si="20"/>
        <v>453.6518831006324</v>
      </c>
      <c r="AW37" s="210">
        <f t="shared" si="20"/>
        <v>410.44694185295316</v>
      </c>
      <c r="AX37" s="210">
        <f t="shared" si="20"/>
        <v>367.24200060527392</v>
      </c>
      <c r="AY37" s="210">
        <f t="shared" si="20"/>
        <v>324.03705935759444</v>
      </c>
      <c r="AZ37" s="210">
        <f t="shared" si="20"/>
        <v>280.8321181099152</v>
      </c>
      <c r="BA37" s="210">
        <f t="shared" si="20"/>
        <v>237.62717686223596</v>
      </c>
      <c r="BB37" s="210">
        <f t="shared" si="20"/>
        <v>194.42223561455671</v>
      </c>
      <c r="BC37" s="210">
        <f t="shared" si="20"/>
        <v>151.21729436687747</v>
      </c>
      <c r="BD37" s="210">
        <f t="shared" si="21"/>
        <v>108.01235311919822</v>
      </c>
      <c r="BE37" s="210">
        <f t="shared" si="21"/>
        <v>64.80741187151898</v>
      </c>
      <c r="BF37" s="210">
        <f t="shared" si="21"/>
        <v>21.602470623839508</v>
      </c>
      <c r="BG37" s="210">
        <f t="shared" si="21"/>
        <v>27.494053521250436</v>
      </c>
      <c r="BH37" s="210">
        <f t="shared" si="21"/>
        <v>82.482160563751307</v>
      </c>
      <c r="BI37" s="210">
        <f t="shared" si="21"/>
        <v>137.47026760625218</v>
      </c>
      <c r="BJ37" s="210">
        <f t="shared" si="21"/>
        <v>192.45837464875305</v>
      </c>
      <c r="BK37" s="210">
        <f t="shared" si="21"/>
        <v>247.44648169125395</v>
      </c>
      <c r="BL37" s="210">
        <f t="shared" si="21"/>
        <v>302.43458873375482</v>
      </c>
      <c r="BM37" s="210">
        <f t="shared" si="21"/>
        <v>357.42269577625569</v>
      </c>
      <c r="BN37" s="210">
        <f t="shared" si="22"/>
        <v>412.41080281875651</v>
      </c>
      <c r="BO37" s="210">
        <f t="shared" si="22"/>
        <v>467.39890986125744</v>
      </c>
      <c r="BP37" s="210">
        <f t="shared" si="22"/>
        <v>522.38701690375831</v>
      </c>
      <c r="BQ37" s="210">
        <f t="shared" si="22"/>
        <v>577.37512394625912</v>
      </c>
      <c r="BR37" s="210">
        <f t="shared" si="22"/>
        <v>632.36323098876005</v>
      </c>
      <c r="BS37" s="210">
        <f t="shared" si="22"/>
        <v>687.35133803126098</v>
      </c>
      <c r="BT37" s="210">
        <f t="shared" si="22"/>
        <v>742.33944507376168</v>
      </c>
      <c r="BU37" s="210">
        <f t="shared" si="22"/>
        <v>797.32755211626261</v>
      </c>
      <c r="BV37" s="210">
        <f t="shared" si="22"/>
        <v>852.31565915876354</v>
      </c>
      <c r="BW37" s="210">
        <f t="shared" si="22"/>
        <v>907.30376620126447</v>
      </c>
      <c r="BX37" s="210">
        <f t="shared" si="23"/>
        <v>962.29187324376528</v>
      </c>
      <c r="BY37" s="210">
        <f t="shared" si="23"/>
        <v>1017.2799802862662</v>
      </c>
      <c r="BZ37" s="210">
        <f t="shared" si="23"/>
        <v>1072.268087328767</v>
      </c>
      <c r="CA37" s="210">
        <f t="shared" si="23"/>
        <v>1127.2561943712678</v>
      </c>
      <c r="CB37" s="210">
        <f t="shared" si="23"/>
        <v>1182.2443014137687</v>
      </c>
      <c r="CC37" s="210">
        <f t="shared" si="23"/>
        <v>1237.2324084562697</v>
      </c>
      <c r="CD37" s="210">
        <f t="shared" si="23"/>
        <v>1292.2205154987705</v>
      </c>
      <c r="CE37" s="210">
        <f t="shared" si="23"/>
        <v>1347.2086225412716</v>
      </c>
      <c r="CF37" s="210">
        <f t="shared" si="23"/>
        <v>1402.1967295837724</v>
      </c>
      <c r="CG37" s="210">
        <f t="shared" si="23"/>
        <v>1457.1848366262732</v>
      </c>
      <c r="CH37" s="210">
        <f t="shared" si="24"/>
        <v>1512.172943668774</v>
      </c>
      <c r="CI37" s="210">
        <f t="shared" si="24"/>
        <v>1600.3830320494526</v>
      </c>
      <c r="CJ37" s="210">
        <f t="shared" si="24"/>
        <v>1688.593120430131</v>
      </c>
      <c r="CK37" s="210">
        <f t="shared" si="24"/>
        <v>1776.8032088108096</v>
      </c>
      <c r="CL37" s="210">
        <f t="shared" si="24"/>
        <v>1865.0132971914882</v>
      </c>
      <c r="CM37" s="210">
        <f t="shared" si="24"/>
        <v>1953.2233855721665</v>
      </c>
      <c r="CN37" s="210">
        <f t="shared" si="24"/>
        <v>2041.4334739528454</v>
      </c>
      <c r="CO37" s="210">
        <f t="shared" si="24"/>
        <v>2129.6435623335237</v>
      </c>
      <c r="CP37" s="210">
        <f t="shared" si="24"/>
        <v>2217.8536507142026</v>
      </c>
      <c r="CQ37" s="210">
        <f t="shared" si="24"/>
        <v>2306.0637390948809</v>
      </c>
      <c r="CR37" s="210">
        <f t="shared" si="25"/>
        <v>2394.2738274755593</v>
      </c>
      <c r="CS37" s="210">
        <f t="shared" si="25"/>
        <v>2482.4839158562381</v>
      </c>
      <c r="CT37" s="210">
        <f t="shared" si="25"/>
        <v>2570.6940042369165</v>
      </c>
      <c r="CU37" s="210">
        <f t="shared" si="25"/>
        <v>2658.9040926175949</v>
      </c>
      <c r="CV37" s="210">
        <f t="shared" si="25"/>
        <v>2747.1141809982737</v>
      </c>
      <c r="CW37" s="210">
        <f t="shared" si="25"/>
        <v>2835.3242693789521</v>
      </c>
      <c r="CX37" s="210">
        <f t="shared" si="25"/>
        <v>2835.3242693789521</v>
      </c>
      <c r="CY37" s="210">
        <f t="shared" si="25"/>
        <v>2835.3242693789521</v>
      </c>
      <c r="CZ37" s="210">
        <f t="shared" si="25"/>
        <v>2835.3242693789521</v>
      </c>
      <c r="DA37" s="210">
        <f t="shared" si="25"/>
        <v>2835.3242693789521</v>
      </c>
    </row>
    <row r="38" spans="1:105">
      <c r="A38" s="201" t="str">
        <f>Income!A88</f>
        <v>TOTAL</v>
      </c>
      <c r="B38" s="203">
        <f>Income!B88</f>
        <v>85638.064978168986</v>
      </c>
      <c r="C38" s="203">
        <f>Income!C88</f>
        <v>87018.748592605494</v>
      </c>
      <c r="D38" s="203">
        <f>Income!D88</f>
        <v>172461.14243344529</v>
      </c>
      <c r="E38" s="203">
        <f>Income!E88</f>
        <v>586193.49865875475</v>
      </c>
      <c r="F38" s="204">
        <f t="shared" ref="F38:AK38" si="26">SUM(F25:F37)</f>
        <v>66766.146641182684</v>
      </c>
      <c r="G38" s="204">
        <f t="shared" si="26"/>
        <v>66766.146641182684</v>
      </c>
      <c r="H38" s="204">
        <f t="shared" si="26"/>
        <v>66766.146641182684</v>
      </c>
      <c r="I38" s="204">
        <f t="shared" si="26"/>
        <v>66766.146641182684</v>
      </c>
      <c r="J38" s="204">
        <f t="shared" si="26"/>
        <v>66766.146641182684</v>
      </c>
      <c r="K38" s="204">
        <f t="shared" si="26"/>
        <v>66766.146641182684</v>
      </c>
      <c r="L38" s="204">
        <f t="shared" si="26"/>
        <v>66766.146641182684</v>
      </c>
      <c r="M38" s="204">
        <f t="shared" si="26"/>
        <v>66766.146641182684</v>
      </c>
      <c r="N38" s="204">
        <f t="shared" si="26"/>
        <v>66766.146641182684</v>
      </c>
      <c r="O38" s="204">
        <f t="shared" si="26"/>
        <v>66766.146641182684</v>
      </c>
      <c r="P38" s="204">
        <f t="shared" si="26"/>
        <v>66766.146641182684</v>
      </c>
      <c r="Q38" s="204">
        <f t="shared" si="26"/>
        <v>66766.146641182684</v>
      </c>
      <c r="R38" s="204">
        <f t="shared" si="26"/>
        <v>66766.146641182684</v>
      </c>
      <c r="S38" s="204">
        <f t="shared" si="26"/>
        <v>66766.146641182684</v>
      </c>
      <c r="T38" s="204">
        <f t="shared" si="26"/>
        <v>66766.146641182684</v>
      </c>
      <c r="U38" s="204">
        <f t="shared" si="26"/>
        <v>66766.146641182684</v>
      </c>
      <c r="V38" s="204">
        <f t="shared" si="26"/>
        <v>66766.146641182684</v>
      </c>
      <c r="W38" s="204">
        <f t="shared" si="26"/>
        <v>66766.146641182684</v>
      </c>
      <c r="X38" s="204">
        <f t="shared" si="26"/>
        <v>67055.469526203015</v>
      </c>
      <c r="Y38" s="204">
        <f t="shared" si="26"/>
        <v>67634.115296243661</v>
      </c>
      <c r="Z38" s="204">
        <f t="shared" si="26"/>
        <v>68212.761066284322</v>
      </c>
      <c r="AA38" s="204">
        <f t="shared" si="26"/>
        <v>68791.406836324968</v>
      </c>
      <c r="AB38" s="204">
        <f t="shared" si="26"/>
        <v>69370.052606365614</v>
      </c>
      <c r="AC38" s="204">
        <f t="shared" si="26"/>
        <v>69948.698376406261</v>
      </c>
      <c r="AD38" s="204">
        <f t="shared" si="26"/>
        <v>70527.344146446922</v>
      </c>
      <c r="AE38" s="204">
        <f t="shared" si="26"/>
        <v>71105.989916487582</v>
      </c>
      <c r="AF38" s="204">
        <f t="shared" si="26"/>
        <v>71684.635686528229</v>
      </c>
      <c r="AG38" s="204">
        <f t="shared" si="26"/>
        <v>72263.281456568875</v>
      </c>
      <c r="AH38" s="204">
        <f t="shared" si="26"/>
        <v>72841.927226609521</v>
      </c>
      <c r="AI38" s="204">
        <f t="shared" si="26"/>
        <v>73420.572996650182</v>
      </c>
      <c r="AJ38" s="204">
        <f t="shared" si="26"/>
        <v>73999.218766690828</v>
      </c>
      <c r="AK38" s="204">
        <f t="shared" si="26"/>
        <v>74577.864536731475</v>
      </c>
      <c r="AL38" s="204">
        <f t="shared" ref="AL38:BQ38" si="27">SUM(AL25:AL37)</f>
        <v>75156.510306772136</v>
      </c>
      <c r="AM38" s="204">
        <f t="shared" si="27"/>
        <v>75735.156076812797</v>
      </c>
      <c r="AN38" s="204">
        <f t="shared" si="27"/>
        <v>76313.801846853443</v>
      </c>
      <c r="AO38" s="204">
        <f t="shared" si="27"/>
        <v>76892.447616894075</v>
      </c>
      <c r="AP38" s="204">
        <f t="shared" si="27"/>
        <v>77471.093386934735</v>
      </c>
      <c r="AQ38" s="204">
        <f t="shared" si="27"/>
        <v>78049.739156975396</v>
      </c>
      <c r="AR38" s="204">
        <f t="shared" si="27"/>
        <v>78628.384927016057</v>
      </c>
      <c r="AS38" s="204">
        <f t="shared" si="27"/>
        <v>79207.030697056704</v>
      </c>
      <c r="AT38" s="204">
        <f t="shared" si="27"/>
        <v>79785.67646709735</v>
      </c>
      <c r="AU38" s="204">
        <f t="shared" si="27"/>
        <v>80364.322237138011</v>
      </c>
      <c r="AV38" s="204">
        <f t="shared" si="27"/>
        <v>80942.968007178657</v>
      </c>
      <c r="AW38" s="204">
        <f t="shared" si="27"/>
        <v>81521.613777219318</v>
      </c>
      <c r="AX38" s="204">
        <f t="shared" si="27"/>
        <v>82100.25954725995</v>
      </c>
      <c r="AY38" s="204">
        <f t="shared" si="27"/>
        <v>82678.90531730061</v>
      </c>
      <c r="AZ38" s="204">
        <f t="shared" si="27"/>
        <v>83257.551087341257</v>
      </c>
      <c r="BA38" s="204">
        <f t="shared" si="27"/>
        <v>83836.196857381918</v>
      </c>
      <c r="BB38" s="204">
        <f t="shared" si="27"/>
        <v>84414.842627422579</v>
      </c>
      <c r="BC38" s="204">
        <f t="shared" si="27"/>
        <v>84993.488397463225</v>
      </c>
      <c r="BD38" s="204">
        <f t="shared" si="27"/>
        <v>85572.134167503871</v>
      </c>
      <c r="BE38" s="204">
        <f t="shared" si="27"/>
        <v>86150.779937544517</v>
      </c>
      <c r="BF38" s="204">
        <f t="shared" si="27"/>
        <v>86729.425707585164</v>
      </c>
      <c r="BG38" s="204">
        <f t="shared" si="27"/>
        <v>88572.246662438964</v>
      </c>
      <c r="BH38" s="204">
        <f t="shared" si="27"/>
        <v>91679.242802105859</v>
      </c>
      <c r="BI38" s="204">
        <f t="shared" si="27"/>
        <v>94786.238941772754</v>
      </c>
      <c r="BJ38" s="204">
        <f t="shared" si="27"/>
        <v>97893.235081439649</v>
      </c>
      <c r="BK38" s="204">
        <f t="shared" si="27"/>
        <v>101000.23122110656</v>
      </c>
      <c r="BL38" s="204">
        <f t="shared" si="27"/>
        <v>104107.22736077345</v>
      </c>
      <c r="BM38" s="204">
        <f t="shared" si="27"/>
        <v>107214.22350044035</v>
      </c>
      <c r="BN38" s="204">
        <f t="shared" si="27"/>
        <v>110321.21964010726</v>
      </c>
      <c r="BO38" s="204">
        <f t="shared" si="27"/>
        <v>113428.21577977415</v>
      </c>
      <c r="BP38" s="204">
        <f t="shared" si="27"/>
        <v>116535.21191944106</v>
      </c>
      <c r="BQ38" s="204">
        <f t="shared" si="27"/>
        <v>119642.20805910796</v>
      </c>
      <c r="BR38" s="204">
        <f t="shared" ref="BR38:CW38" si="28">SUM(BR25:BR37)</f>
        <v>122749.20419877488</v>
      </c>
      <c r="BS38" s="204">
        <f t="shared" si="28"/>
        <v>125856.20033844176</v>
      </c>
      <c r="BT38" s="204">
        <f t="shared" si="28"/>
        <v>128963.19647810867</v>
      </c>
      <c r="BU38" s="204">
        <f t="shared" si="28"/>
        <v>132070.19261777555</v>
      </c>
      <c r="BV38" s="204">
        <f t="shared" si="28"/>
        <v>135177.18875744246</v>
      </c>
      <c r="BW38" s="204">
        <f t="shared" si="28"/>
        <v>138284.18489710934</v>
      </c>
      <c r="BX38" s="204">
        <f t="shared" si="28"/>
        <v>141391.18103677625</v>
      </c>
      <c r="BY38" s="204">
        <f t="shared" si="28"/>
        <v>144498.17717644316</v>
      </c>
      <c r="BZ38" s="204">
        <f t="shared" si="28"/>
        <v>147605.17331611004</v>
      </c>
      <c r="CA38" s="204">
        <f t="shared" si="28"/>
        <v>150712.16945577695</v>
      </c>
      <c r="CB38" s="204">
        <f t="shared" si="28"/>
        <v>153819.16559544386</v>
      </c>
      <c r="CC38" s="204">
        <f t="shared" si="28"/>
        <v>156926.16173511077</v>
      </c>
      <c r="CD38" s="204">
        <f t="shared" si="28"/>
        <v>160033.15787477768</v>
      </c>
      <c r="CE38" s="204">
        <f t="shared" si="28"/>
        <v>163140.15401444456</v>
      </c>
      <c r="CF38" s="204">
        <f t="shared" si="28"/>
        <v>166247.1501541115</v>
      </c>
      <c r="CG38" s="204">
        <f t="shared" si="28"/>
        <v>169354.14629377841</v>
      </c>
      <c r="CH38" s="204">
        <f t="shared" si="28"/>
        <v>172461.14243344526</v>
      </c>
      <c r="CI38" s="204">
        <f t="shared" si="28"/>
        <v>200043.29951513256</v>
      </c>
      <c r="CJ38" s="204">
        <f t="shared" si="28"/>
        <v>227625.45659681986</v>
      </c>
      <c r="CK38" s="204">
        <f t="shared" si="28"/>
        <v>255207.61367850716</v>
      </c>
      <c r="CL38" s="204">
        <f t="shared" si="28"/>
        <v>282789.7707601944</v>
      </c>
      <c r="CM38" s="204">
        <f t="shared" si="28"/>
        <v>310371.92784188181</v>
      </c>
      <c r="CN38" s="204">
        <f t="shared" si="28"/>
        <v>337954.08492356905</v>
      </c>
      <c r="CO38" s="204">
        <f t="shared" si="28"/>
        <v>365536.24200525635</v>
      </c>
      <c r="CP38" s="204">
        <f t="shared" si="28"/>
        <v>393118.39908694365</v>
      </c>
      <c r="CQ38" s="204">
        <f t="shared" si="28"/>
        <v>420700.55616863095</v>
      </c>
      <c r="CR38" s="204">
        <f t="shared" si="28"/>
        <v>448282.71325031831</v>
      </c>
      <c r="CS38" s="204">
        <f t="shared" si="28"/>
        <v>475864.87033200555</v>
      </c>
      <c r="CT38" s="204">
        <f t="shared" si="28"/>
        <v>503447.02741369291</v>
      </c>
      <c r="CU38" s="204">
        <f t="shared" si="28"/>
        <v>531029.18449538003</v>
      </c>
      <c r="CV38" s="204">
        <f t="shared" si="28"/>
        <v>558611.34157706751</v>
      </c>
      <c r="CW38" s="204">
        <f t="shared" si="28"/>
        <v>586193.49865875475</v>
      </c>
      <c r="CX38" s="204">
        <f>SUM(CX25:CX37)</f>
        <v>586193.49865875475</v>
      </c>
      <c r="CY38" s="204">
        <f>SUM(CY25:CY37)</f>
        <v>586193.49865875475</v>
      </c>
      <c r="CZ38" s="204">
        <f>SUM(CZ25:CZ37)</f>
        <v>586193.49865875475</v>
      </c>
      <c r="DA38" s="204">
        <f>SUM(DA25:DA37)</f>
        <v>586193.49865875475</v>
      </c>
    </row>
    <row r="39" spans="1:105">
      <c r="A39" s="201" t="str">
        <f>Income!A89</f>
        <v>Food Poverty line</v>
      </c>
      <c r="B39" s="203">
        <f>Income!B89</f>
        <v>48896.472302880473</v>
      </c>
      <c r="C39" s="203">
        <f>Income!C89</f>
        <v>48896.472302880473</v>
      </c>
      <c r="D39" s="203">
        <f>Income!D89</f>
        <v>48896.472302880473</v>
      </c>
      <c r="E39" s="203">
        <f>Income!E89</f>
        <v>48896.472302880487</v>
      </c>
      <c r="F39" s="204">
        <f t="shared" ref="F39:U39" si="29">IF(F$2&lt;=($B$2+$C$2+$D$2),IF(F$2&lt;=($B$2+$C$2),IF(F$2&lt;=$B$2,$B39,$C39),$D39),$E39)</f>
        <v>48896.472302880473</v>
      </c>
      <c r="G39" s="204">
        <f t="shared" si="29"/>
        <v>48896.472302880473</v>
      </c>
      <c r="H39" s="204">
        <f t="shared" si="29"/>
        <v>48896.472302880473</v>
      </c>
      <c r="I39" s="204">
        <f t="shared" si="29"/>
        <v>48896.472302880473</v>
      </c>
      <c r="J39" s="204">
        <f t="shared" si="29"/>
        <v>48896.472302880473</v>
      </c>
      <c r="K39" s="204">
        <f t="shared" si="29"/>
        <v>48896.472302880473</v>
      </c>
      <c r="L39" s="204">
        <f t="shared" si="29"/>
        <v>48896.472302880473</v>
      </c>
      <c r="M39" s="204">
        <f t="shared" si="29"/>
        <v>48896.472302880473</v>
      </c>
      <c r="N39" s="204">
        <f t="shared" si="29"/>
        <v>48896.472302880473</v>
      </c>
      <c r="O39" s="204">
        <f t="shared" si="29"/>
        <v>48896.472302880473</v>
      </c>
      <c r="P39" s="204">
        <f t="shared" si="29"/>
        <v>48896.472302880473</v>
      </c>
      <c r="Q39" s="204">
        <f t="shared" si="29"/>
        <v>48896.472302880473</v>
      </c>
      <c r="R39" s="204">
        <f t="shared" si="29"/>
        <v>48896.472302880473</v>
      </c>
      <c r="S39" s="204">
        <f t="shared" si="29"/>
        <v>48896.472302880473</v>
      </c>
      <c r="T39" s="204">
        <f t="shared" si="29"/>
        <v>48896.472302880473</v>
      </c>
      <c r="U39" s="204">
        <f t="shared" si="29"/>
        <v>48896.472302880473</v>
      </c>
      <c r="V39" s="204">
        <f t="shared" ref="V39:AK40" si="30">IF(V$2&lt;=($B$2+$C$2+$D$2),IF(V$2&lt;=($B$2+$C$2),IF(V$2&lt;=$B$2,$B39,$C39),$D39),$E39)</f>
        <v>48896.472302880473</v>
      </c>
      <c r="W39" s="204">
        <f t="shared" si="30"/>
        <v>48896.472302880473</v>
      </c>
      <c r="X39" s="204">
        <f t="shared" si="30"/>
        <v>48896.472302880473</v>
      </c>
      <c r="Y39" s="204">
        <f t="shared" si="30"/>
        <v>48896.472302880473</v>
      </c>
      <c r="Z39" s="204">
        <f t="shared" si="30"/>
        <v>48896.472302880473</v>
      </c>
      <c r="AA39" s="204">
        <f t="shared" si="30"/>
        <v>48896.472302880473</v>
      </c>
      <c r="AB39" s="204">
        <f t="shared" si="30"/>
        <v>48896.472302880473</v>
      </c>
      <c r="AC39" s="204">
        <f t="shared" si="30"/>
        <v>48896.472302880473</v>
      </c>
      <c r="AD39" s="204">
        <f t="shared" si="30"/>
        <v>48896.472302880473</v>
      </c>
      <c r="AE39" s="204">
        <f t="shared" si="30"/>
        <v>48896.472302880473</v>
      </c>
      <c r="AF39" s="204">
        <f t="shared" si="30"/>
        <v>48896.472302880473</v>
      </c>
      <c r="AG39" s="204">
        <f t="shared" si="30"/>
        <v>48896.472302880473</v>
      </c>
      <c r="AH39" s="204">
        <f t="shared" si="30"/>
        <v>48896.472302880473</v>
      </c>
      <c r="AI39" s="204">
        <f t="shared" si="30"/>
        <v>48896.472302880473</v>
      </c>
      <c r="AJ39" s="204">
        <f t="shared" si="30"/>
        <v>48896.472302880473</v>
      </c>
      <c r="AK39" s="204">
        <f t="shared" si="30"/>
        <v>48896.472302880473</v>
      </c>
      <c r="AL39" s="204">
        <f t="shared" ref="AL39:BA40" si="31">IF(AL$2&lt;=($B$2+$C$2+$D$2),IF(AL$2&lt;=($B$2+$C$2),IF(AL$2&lt;=$B$2,$B39,$C39),$D39),$E39)</f>
        <v>48896.472302880473</v>
      </c>
      <c r="AM39" s="204">
        <f t="shared" si="31"/>
        <v>48896.472302880473</v>
      </c>
      <c r="AN39" s="204">
        <f t="shared" si="31"/>
        <v>48896.472302880473</v>
      </c>
      <c r="AO39" s="204">
        <f t="shared" si="31"/>
        <v>48896.472302880473</v>
      </c>
      <c r="AP39" s="204">
        <f t="shared" si="31"/>
        <v>48896.472302880473</v>
      </c>
      <c r="AQ39" s="204">
        <f t="shared" si="31"/>
        <v>48896.472302880473</v>
      </c>
      <c r="AR39" s="204">
        <f t="shared" si="31"/>
        <v>48896.472302880473</v>
      </c>
      <c r="AS39" s="204">
        <f t="shared" si="31"/>
        <v>48896.472302880473</v>
      </c>
      <c r="AT39" s="204">
        <f t="shared" si="31"/>
        <v>48896.472302880473</v>
      </c>
      <c r="AU39" s="204">
        <f t="shared" si="31"/>
        <v>48896.472302880473</v>
      </c>
      <c r="AV39" s="204">
        <f t="shared" si="31"/>
        <v>48896.472302880473</v>
      </c>
      <c r="AW39" s="204">
        <f t="shared" si="31"/>
        <v>48896.472302880473</v>
      </c>
      <c r="AX39" s="204">
        <f t="shared" si="31"/>
        <v>48896.472302880473</v>
      </c>
      <c r="AY39" s="204">
        <f t="shared" si="31"/>
        <v>48896.472302880473</v>
      </c>
      <c r="AZ39" s="204">
        <f t="shared" si="31"/>
        <v>48896.472302880473</v>
      </c>
      <c r="BA39" s="204">
        <f t="shared" si="31"/>
        <v>48896.472302880473</v>
      </c>
      <c r="BB39" s="204">
        <f t="shared" ref="BB39:CD40" si="32">IF(BB$2&lt;=($B$2+$C$2+$D$2),IF(BB$2&lt;=($B$2+$C$2),IF(BB$2&lt;=$B$2,$B39,$C39),$D39),$E39)</f>
        <v>48896.472302880473</v>
      </c>
      <c r="BC39" s="204">
        <f t="shared" si="32"/>
        <v>48896.472302880473</v>
      </c>
      <c r="BD39" s="204">
        <f t="shared" si="32"/>
        <v>48896.472302880473</v>
      </c>
      <c r="BE39" s="204">
        <f t="shared" si="32"/>
        <v>48896.472302880473</v>
      </c>
      <c r="BF39" s="204">
        <f t="shared" si="32"/>
        <v>48896.472302880473</v>
      </c>
      <c r="BG39" s="204">
        <f t="shared" si="32"/>
        <v>48896.472302880473</v>
      </c>
      <c r="BH39" s="204">
        <f t="shared" si="32"/>
        <v>48896.472302880473</v>
      </c>
      <c r="BI39" s="204">
        <f t="shared" si="32"/>
        <v>48896.472302880473</v>
      </c>
      <c r="BJ39" s="204">
        <f t="shared" si="32"/>
        <v>48896.472302880473</v>
      </c>
      <c r="BK39" s="204">
        <f t="shared" si="32"/>
        <v>48896.472302880473</v>
      </c>
      <c r="BL39" s="204">
        <f t="shared" si="32"/>
        <v>48896.472302880473</v>
      </c>
      <c r="BM39" s="204">
        <f t="shared" si="32"/>
        <v>48896.472302880473</v>
      </c>
      <c r="BN39" s="204">
        <f t="shared" si="32"/>
        <v>48896.472302880473</v>
      </c>
      <c r="BO39" s="204">
        <f t="shared" si="32"/>
        <v>48896.472302880473</v>
      </c>
      <c r="BP39" s="204">
        <f t="shared" si="32"/>
        <v>48896.472302880473</v>
      </c>
      <c r="BQ39" s="204">
        <f t="shared" si="32"/>
        <v>48896.472302880473</v>
      </c>
      <c r="BR39" s="204">
        <f t="shared" si="32"/>
        <v>48896.472302880473</v>
      </c>
      <c r="BS39" s="204">
        <f t="shared" si="32"/>
        <v>48896.472302880473</v>
      </c>
      <c r="BT39" s="204">
        <f t="shared" si="32"/>
        <v>48896.472302880473</v>
      </c>
      <c r="BU39" s="204">
        <f t="shared" si="32"/>
        <v>48896.472302880473</v>
      </c>
      <c r="BV39" s="204">
        <f t="shared" si="32"/>
        <v>48896.472302880473</v>
      </c>
      <c r="BW39" s="204">
        <f t="shared" si="32"/>
        <v>48896.472302880473</v>
      </c>
      <c r="BX39" s="204">
        <f t="shared" si="32"/>
        <v>48896.472302880473</v>
      </c>
      <c r="BY39" s="204">
        <f t="shared" si="32"/>
        <v>48896.472302880473</v>
      </c>
      <c r="BZ39" s="204">
        <f t="shared" si="32"/>
        <v>48896.472302880473</v>
      </c>
      <c r="CA39" s="204">
        <f t="shared" si="32"/>
        <v>48896.472302880473</v>
      </c>
      <c r="CB39" s="204">
        <f t="shared" si="32"/>
        <v>48896.472302880473</v>
      </c>
      <c r="CC39" s="204">
        <f t="shared" si="32"/>
        <v>48896.472302880473</v>
      </c>
      <c r="CD39" s="204">
        <f t="shared" si="32"/>
        <v>48896.472302880473</v>
      </c>
      <c r="CE39" s="204">
        <f t="shared" ref="CE39:CR40" si="33">IF(CE$2&lt;=($B$2+$C$2+$D$2),IF(CE$2&lt;=($B$2+$C$2),IF(CE$2&lt;=$B$2,$B39,$C39),$D39),$E39)</f>
        <v>48896.472302880473</v>
      </c>
      <c r="CF39" s="204">
        <f t="shared" si="33"/>
        <v>48896.472302880473</v>
      </c>
      <c r="CG39" s="204">
        <f t="shared" si="33"/>
        <v>48896.472302880473</v>
      </c>
      <c r="CH39" s="204">
        <f t="shared" si="33"/>
        <v>48896.472302880473</v>
      </c>
      <c r="CI39" s="204">
        <f t="shared" si="33"/>
        <v>48896.472302880473</v>
      </c>
      <c r="CJ39" s="204">
        <f t="shared" si="33"/>
        <v>48896.472302880473</v>
      </c>
      <c r="CK39" s="204">
        <f t="shared" si="33"/>
        <v>48896.472302880473</v>
      </c>
      <c r="CL39" s="204">
        <f t="shared" si="33"/>
        <v>48896.472302880473</v>
      </c>
      <c r="CM39" s="204">
        <f t="shared" si="33"/>
        <v>48896.472302880473</v>
      </c>
      <c r="CN39" s="204">
        <f t="shared" si="33"/>
        <v>48896.472302880473</v>
      </c>
      <c r="CO39" s="204">
        <f t="shared" si="33"/>
        <v>48896.472302880473</v>
      </c>
      <c r="CP39" s="204">
        <f t="shared" si="33"/>
        <v>48896.472302880473</v>
      </c>
      <c r="CQ39" s="204">
        <f t="shared" si="33"/>
        <v>48896.472302880473</v>
      </c>
      <c r="CR39" s="204">
        <f t="shared" si="33"/>
        <v>48896.472302880487</v>
      </c>
      <c r="CS39" s="204">
        <f t="shared" ref="CS39:DA40" si="34">IF(CS$2&lt;=($B$2+$C$2+$D$2),IF(CS$2&lt;=($B$2+$C$2),IF(CS$2&lt;=$B$2,$B39,$C39),$D39),$E39)</f>
        <v>48896.472302880487</v>
      </c>
      <c r="CT39" s="204">
        <f t="shared" si="34"/>
        <v>48896.472302880487</v>
      </c>
      <c r="CU39" s="204">
        <f t="shared" si="34"/>
        <v>48896.472302880487</v>
      </c>
      <c r="CV39" s="204">
        <f t="shared" si="34"/>
        <v>48896.472302880487</v>
      </c>
      <c r="CW39" s="204">
        <f t="shared" si="34"/>
        <v>48896.472302880487</v>
      </c>
      <c r="CX39" s="204">
        <f t="shared" si="34"/>
        <v>48896.472302880487</v>
      </c>
      <c r="CY39" s="204">
        <f t="shared" si="34"/>
        <v>48896.472302880487</v>
      </c>
      <c r="CZ39" s="204">
        <f t="shared" si="34"/>
        <v>48896.472302880487</v>
      </c>
      <c r="DA39" s="204">
        <f t="shared" si="34"/>
        <v>48896.472302880487</v>
      </c>
    </row>
    <row r="40" spans="1:105">
      <c r="A40" s="201" t="str">
        <f>Income!A90</f>
        <v>Lower Bound Poverty line</v>
      </c>
      <c r="B40" s="203">
        <f>Income!B90</f>
        <v>71875.005636213813</v>
      </c>
      <c r="C40" s="203">
        <f>Income!C90</f>
        <v>71875.005636213813</v>
      </c>
      <c r="D40" s="203">
        <f>Income!D90</f>
        <v>71875.005636213813</v>
      </c>
      <c r="E40" s="203">
        <f>Income!E90</f>
        <v>71875.005636213813</v>
      </c>
      <c r="F40" s="204">
        <f t="shared" ref="F40:U40" si="35">IF(F$2&lt;=($B$2+$C$2+$D$2),IF(F$2&lt;=($B$2+$C$2),IF(F$2&lt;=$B$2,$B40,$C40),$D40),$E40)</f>
        <v>71875.005636213813</v>
      </c>
      <c r="G40" s="204">
        <f t="shared" si="35"/>
        <v>71875.005636213813</v>
      </c>
      <c r="H40" s="204">
        <f t="shared" si="35"/>
        <v>71875.005636213813</v>
      </c>
      <c r="I40" s="204">
        <f t="shared" si="35"/>
        <v>71875.005636213813</v>
      </c>
      <c r="J40" s="204">
        <f t="shared" si="35"/>
        <v>71875.005636213813</v>
      </c>
      <c r="K40" s="204">
        <f t="shared" si="35"/>
        <v>71875.005636213813</v>
      </c>
      <c r="L40" s="204">
        <f t="shared" si="35"/>
        <v>71875.005636213813</v>
      </c>
      <c r="M40" s="204">
        <f t="shared" si="35"/>
        <v>71875.005636213813</v>
      </c>
      <c r="N40" s="204">
        <f t="shared" si="35"/>
        <v>71875.005636213813</v>
      </c>
      <c r="O40" s="204">
        <f t="shared" si="35"/>
        <v>71875.005636213813</v>
      </c>
      <c r="P40" s="204">
        <f t="shared" si="35"/>
        <v>71875.005636213813</v>
      </c>
      <c r="Q40" s="204">
        <f t="shared" si="35"/>
        <v>71875.005636213813</v>
      </c>
      <c r="R40" s="204">
        <f t="shared" si="35"/>
        <v>71875.005636213813</v>
      </c>
      <c r="S40" s="204">
        <f t="shared" si="35"/>
        <v>71875.005636213813</v>
      </c>
      <c r="T40" s="204">
        <f t="shared" si="35"/>
        <v>71875.005636213813</v>
      </c>
      <c r="U40" s="204">
        <f t="shared" si="35"/>
        <v>71875.005636213813</v>
      </c>
      <c r="V40" s="204">
        <f t="shared" si="30"/>
        <v>71875.005636213813</v>
      </c>
      <c r="W40" s="204">
        <f t="shared" si="30"/>
        <v>71875.005636213813</v>
      </c>
      <c r="X40" s="204">
        <f t="shared" si="30"/>
        <v>71875.005636213813</v>
      </c>
      <c r="Y40" s="204">
        <f t="shared" si="30"/>
        <v>71875.005636213813</v>
      </c>
      <c r="Z40" s="204">
        <f t="shared" si="30"/>
        <v>71875.005636213813</v>
      </c>
      <c r="AA40" s="204">
        <f t="shared" si="30"/>
        <v>71875.005636213813</v>
      </c>
      <c r="AB40" s="204">
        <f t="shared" si="30"/>
        <v>71875.005636213813</v>
      </c>
      <c r="AC40" s="204">
        <f t="shared" si="30"/>
        <v>71875.005636213813</v>
      </c>
      <c r="AD40" s="204">
        <f t="shared" si="30"/>
        <v>71875.005636213813</v>
      </c>
      <c r="AE40" s="204">
        <f t="shared" si="30"/>
        <v>71875.005636213813</v>
      </c>
      <c r="AF40" s="204">
        <f t="shared" si="30"/>
        <v>71875.005636213813</v>
      </c>
      <c r="AG40" s="204">
        <f t="shared" si="30"/>
        <v>71875.005636213813</v>
      </c>
      <c r="AH40" s="204">
        <f t="shared" si="30"/>
        <v>71875.005636213813</v>
      </c>
      <c r="AI40" s="204">
        <f t="shared" si="30"/>
        <v>71875.005636213813</v>
      </c>
      <c r="AJ40" s="204">
        <f t="shared" si="30"/>
        <v>71875.005636213813</v>
      </c>
      <c r="AK40" s="204">
        <f t="shared" si="30"/>
        <v>71875.005636213813</v>
      </c>
      <c r="AL40" s="204">
        <f t="shared" si="31"/>
        <v>71875.005636213813</v>
      </c>
      <c r="AM40" s="204">
        <f t="shared" si="31"/>
        <v>71875.005636213813</v>
      </c>
      <c r="AN40" s="204">
        <f t="shared" si="31"/>
        <v>71875.005636213813</v>
      </c>
      <c r="AO40" s="204">
        <f t="shared" si="31"/>
        <v>71875.005636213813</v>
      </c>
      <c r="AP40" s="204">
        <f t="shared" si="31"/>
        <v>71875.005636213813</v>
      </c>
      <c r="AQ40" s="204">
        <f t="shared" si="31"/>
        <v>71875.005636213813</v>
      </c>
      <c r="AR40" s="204">
        <f t="shared" si="31"/>
        <v>71875.005636213813</v>
      </c>
      <c r="AS40" s="204">
        <f t="shared" si="31"/>
        <v>71875.005636213813</v>
      </c>
      <c r="AT40" s="204">
        <f t="shared" si="31"/>
        <v>71875.005636213813</v>
      </c>
      <c r="AU40" s="204">
        <f t="shared" si="31"/>
        <v>71875.005636213813</v>
      </c>
      <c r="AV40" s="204">
        <f t="shared" si="31"/>
        <v>71875.005636213813</v>
      </c>
      <c r="AW40" s="204">
        <f t="shared" si="31"/>
        <v>71875.005636213813</v>
      </c>
      <c r="AX40" s="204">
        <f t="shared" si="31"/>
        <v>71875.005636213813</v>
      </c>
      <c r="AY40" s="204">
        <f t="shared" si="31"/>
        <v>71875.005636213813</v>
      </c>
      <c r="AZ40" s="204">
        <f t="shared" si="31"/>
        <v>71875.005636213813</v>
      </c>
      <c r="BA40" s="204">
        <f t="shared" si="31"/>
        <v>71875.005636213813</v>
      </c>
      <c r="BB40" s="204">
        <f t="shared" si="32"/>
        <v>71875.005636213813</v>
      </c>
      <c r="BC40" s="204">
        <f t="shared" si="32"/>
        <v>71875.005636213813</v>
      </c>
      <c r="BD40" s="204">
        <f t="shared" si="32"/>
        <v>71875.005636213813</v>
      </c>
      <c r="BE40" s="204">
        <f t="shared" si="32"/>
        <v>71875.005636213813</v>
      </c>
      <c r="BF40" s="204">
        <f t="shared" si="32"/>
        <v>71875.005636213813</v>
      </c>
      <c r="BG40" s="204">
        <f t="shared" si="32"/>
        <v>71875.005636213813</v>
      </c>
      <c r="BH40" s="204">
        <f t="shared" si="32"/>
        <v>71875.005636213813</v>
      </c>
      <c r="BI40" s="204">
        <f t="shared" si="32"/>
        <v>71875.005636213813</v>
      </c>
      <c r="BJ40" s="204">
        <f t="shared" si="32"/>
        <v>71875.005636213813</v>
      </c>
      <c r="BK40" s="204">
        <f t="shared" si="32"/>
        <v>71875.005636213813</v>
      </c>
      <c r="BL40" s="204">
        <f t="shared" si="32"/>
        <v>71875.005636213813</v>
      </c>
      <c r="BM40" s="204">
        <f t="shared" si="32"/>
        <v>71875.005636213813</v>
      </c>
      <c r="BN40" s="204">
        <f t="shared" si="32"/>
        <v>71875.005636213813</v>
      </c>
      <c r="BO40" s="204">
        <f t="shared" si="32"/>
        <v>71875.005636213813</v>
      </c>
      <c r="BP40" s="204">
        <f t="shared" si="32"/>
        <v>71875.005636213813</v>
      </c>
      <c r="BQ40" s="204">
        <f t="shared" si="32"/>
        <v>71875.005636213813</v>
      </c>
      <c r="BR40" s="204">
        <f t="shared" si="32"/>
        <v>71875.005636213813</v>
      </c>
      <c r="BS40" s="204">
        <f t="shared" si="32"/>
        <v>71875.005636213813</v>
      </c>
      <c r="BT40" s="204">
        <f t="shared" si="32"/>
        <v>71875.005636213813</v>
      </c>
      <c r="BU40" s="204">
        <f t="shared" si="32"/>
        <v>71875.005636213813</v>
      </c>
      <c r="BV40" s="204">
        <f t="shared" si="32"/>
        <v>71875.005636213813</v>
      </c>
      <c r="BW40" s="204">
        <f t="shared" si="32"/>
        <v>71875.005636213813</v>
      </c>
      <c r="BX40" s="204">
        <f t="shared" si="32"/>
        <v>71875.005636213813</v>
      </c>
      <c r="BY40" s="204">
        <f t="shared" si="32"/>
        <v>71875.005636213813</v>
      </c>
      <c r="BZ40" s="204">
        <f t="shared" si="32"/>
        <v>71875.005636213813</v>
      </c>
      <c r="CA40" s="204">
        <f t="shared" si="32"/>
        <v>71875.005636213813</v>
      </c>
      <c r="CB40" s="204">
        <f t="shared" si="32"/>
        <v>71875.005636213813</v>
      </c>
      <c r="CC40" s="204">
        <f t="shared" si="32"/>
        <v>71875.005636213813</v>
      </c>
      <c r="CD40" s="204">
        <f t="shared" si="32"/>
        <v>71875.005636213813</v>
      </c>
      <c r="CE40" s="204">
        <f t="shared" si="33"/>
        <v>71875.005636213813</v>
      </c>
      <c r="CF40" s="204">
        <f t="shared" si="33"/>
        <v>71875.005636213813</v>
      </c>
      <c r="CG40" s="204">
        <f t="shared" si="33"/>
        <v>71875.005636213813</v>
      </c>
      <c r="CH40" s="204">
        <f t="shared" si="33"/>
        <v>71875.005636213813</v>
      </c>
      <c r="CI40" s="204">
        <f t="shared" si="33"/>
        <v>71875.005636213813</v>
      </c>
      <c r="CJ40" s="204">
        <f t="shared" si="33"/>
        <v>71875.005636213813</v>
      </c>
      <c r="CK40" s="204">
        <f t="shared" si="33"/>
        <v>71875.005636213813</v>
      </c>
      <c r="CL40" s="204">
        <f t="shared" si="33"/>
        <v>71875.005636213813</v>
      </c>
      <c r="CM40" s="204">
        <f t="shared" si="33"/>
        <v>71875.005636213813</v>
      </c>
      <c r="CN40" s="204">
        <f t="shared" si="33"/>
        <v>71875.005636213813</v>
      </c>
      <c r="CO40" s="204">
        <f t="shared" si="33"/>
        <v>71875.005636213813</v>
      </c>
      <c r="CP40" s="204">
        <f t="shared" si="33"/>
        <v>71875.005636213813</v>
      </c>
      <c r="CQ40" s="204">
        <f t="shared" si="33"/>
        <v>71875.005636213813</v>
      </c>
      <c r="CR40" s="204">
        <f t="shared" si="33"/>
        <v>71875.005636213813</v>
      </c>
      <c r="CS40" s="204">
        <f t="shared" si="34"/>
        <v>71875.005636213813</v>
      </c>
      <c r="CT40" s="204">
        <f t="shared" si="34"/>
        <v>71875.005636213813</v>
      </c>
      <c r="CU40" s="204">
        <f t="shared" si="34"/>
        <v>71875.005636213813</v>
      </c>
      <c r="CV40" s="204">
        <f t="shared" si="34"/>
        <v>71875.005636213813</v>
      </c>
      <c r="CW40" s="204">
        <f t="shared" si="34"/>
        <v>71875.005636213813</v>
      </c>
      <c r="CX40" s="204">
        <f t="shared" si="34"/>
        <v>71875.005636213813</v>
      </c>
      <c r="CY40" s="204">
        <f t="shared" si="34"/>
        <v>71875.005636213813</v>
      </c>
      <c r="CZ40" s="204">
        <f t="shared" si="34"/>
        <v>71875.005636213813</v>
      </c>
      <c r="DA40" s="204">
        <f t="shared" si="34"/>
        <v>71875.005636213813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8.3835164288619382</v>
      </c>
      <c r="Y42" s="210">
        <f t="shared" si="36"/>
        <v>8.3835164288619382</v>
      </c>
      <c r="Z42" s="210">
        <f t="shared" si="36"/>
        <v>8.3835164288619382</v>
      </c>
      <c r="AA42" s="210">
        <f t="shared" si="36"/>
        <v>8.3835164288619382</v>
      </c>
      <c r="AB42" s="210">
        <f t="shared" si="36"/>
        <v>8.3835164288619382</v>
      </c>
      <c r="AC42" s="210">
        <f t="shared" si="36"/>
        <v>8.3835164288619382</v>
      </c>
      <c r="AD42" s="210">
        <f t="shared" si="36"/>
        <v>8.3835164288619382</v>
      </c>
      <c r="AE42" s="210">
        <f t="shared" si="36"/>
        <v>8.3835164288619382</v>
      </c>
      <c r="AF42" s="210">
        <f t="shared" si="36"/>
        <v>8.3835164288619382</v>
      </c>
      <c r="AG42" s="210">
        <f t="shared" si="36"/>
        <v>8.3835164288619382</v>
      </c>
      <c r="AH42" s="210">
        <f t="shared" si="36"/>
        <v>8.3835164288619382</v>
      </c>
      <c r="AI42" s="210">
        <f t="shared" si="36"/>
        <v>8.3835164288619382</v>
      </c>
      <c r="AJ42" s="210">
        <f t="shared" si="36"/>
        <v>8.3835164288619382</v>
      </c>
      <c r="AK42" s="210">
        <f t="shared" si="36"/>
        <v>8.3835164288619382</v>
      </c>
      <c r="AL42" s="210">
        <f t="shared" ref="AL42:BQ42" si="37">IF(AL$22&lt;=$E$24,IF(AL$22&lt;=$D$24,IF(AL$22&lt;=$C$24,IF(AL$22&lt;=$B$24,$B108,($C25-$B25)/($C$24-$B$24)),($D25-$C25)/($D$24-$C$24)),($E25-$D25)/($E$24-$D$24)),$F108)</f>
        <v>8.3835164288619382</v>
      </c>
      <c r="AM42" s="210">
        <f t="shared" si="37"/>
        <v>8.3835164288619382</v>
      </c>
      <c r="AN42" s="210">
        <f t="shared" si="37"/>
        <v>8.3835164288619382</v>
      </c>
      <c r="AO42" s="210">
        <f t="shared" si="37"/>
        <v>8.3835164288619382</v>
      </c>
      <c r="AP42" s="210">
        <f t="shared" si="37"/>
        <v>8.3835164288619382</v>
      </c>
      <c r="AQ42" s="210">
        <f t="shared" si="37"/>
        <v>8.3835164288619382</v>
      </c>
      <c r="AR42" s="210">
        <f t="shared" si="37"/>
        <v>8.3835164288619382</v>
      </c>
      <c r="AS42" s="210">
        <f t="shared" si="37"/>
        <v>8.3835164288619382</v>
      </c>
      <c r="AT42" s="210">
        <f t="shared" si="37"/>
        <v>8.3835164288619382</v>
      </c>
      <c r="AU42" s="210">
        <f t="shared" si="37"/>
        <v>8.3835164288619382</v>
      </c>
      <c r="AV42" s="210">
        <f t="shared" si="37"/>
        <v>8.3835164288619382</v>
      </c>
      <c r="AW42" s="210">
        <f t="shared" si="37"/>
        <v>8.3835164288619382</v>
      </c>
      <c r="AX42" s="210">
        <f t="shared" si="37"/>
        <v>8.3835164288619382</v>
      </c>
      <c r="AY42" s="210">
        <f t="shared" si="37"/>
        <v>8.3835164288619382</v>
      </c>
      <c r="AZ42" s="210">
        <f t="shared" si="37"/>
        <v>8.3835164288619382</v>
      </c>
      <c r="BA42" s="210">
        <f t="shared" si="37"/>
        <v>8.3835164288619382</v>
      </c>
      <c r="BB42" s="210">
        <f t="shared" si="37"/>
        <v>8.3835164288619382</v>
      </c>
      <c r="BC42" s="210">
        <f t="shared" si="37"/>
        <v>8.3835164288619382</v>
      </c>
      <c r="BD42" s="210">
        <f t="shared" si="37"/>
        <v>8.3835164288619382</v>
      </c>
      <c r="BE42" s="210">
        <f t="shared" si="37"/>
        <v>8.3835164288619382</v>
      </c>
      <c r="BF42" s="210">
        <f t="shared" si="37"/>
        <v>8.3835164288619382</v>
      </c>
      <c r="BG42" s="210">
        <f t="shared" si="37"/>
        <v>95.041981747003675</v>
      </c>
      <c r="BH42" s="210">
        <f t="shared" si="37"/>
        <v>95.041981747003675</v>
      </c>
      <c r="BI42" s="210">
        <f t="shared" si="37"/>
        <v>95.041981747003675</v>
      </c>
      <c r="BJ42" s="210">
        <f t="shared" si="37"/>
        <v>95.041981747003675</v>
      </c>
      <c r="BK42" s="210">
        <f t="shared" si="37"/>
        <v>95.041981747003675</v>
      </c>
      <c r="BL42" s="210">
        <f t="shared" si="37"/>
        <v>95.041981747003675</v>
      </c>
      <c r="BM42" s="210">
        <f t="shared" si="37"/>
        <v>95.041981747003675</v>
      </c>
      <c r="BN42" s="210">
        <f t="shared" si="37"/>
        <v>95.041981747003675</v>
      </c>
      <c r="BO42" s="210">
        <f t="shared" si="37"/>
        <v>95.041981747003675</v>
      </c>
      <c r="BP42" s="210">
        <f t="shared" si="37"/>
        <v>95.041981747003675</v>
      </c>
      <c r="BQ42" s="210">
        <f t="shared" si="37"/>
        <v>95.041981747003675</v>
      </c>
      <c r="BR42" s="210">
        <f t="shared" ref="BR42:DA42" si="38">IF(BR$22&lt;=$E$24,IF(BR$22&lt;=$D$24,IF(BR$22&lt;=$C$24,IF(BR$22&lt;=$B$24,$B108,($C25-$B25)/($C$24-$B$24)),($D25-$C25)/($D$24-$C$24)),($E25-$D25)/($E$24-$D$24)),$F108)</f>
        <v>95.041981747003675</v>
      </c>
      <c r="BS42" s="210">
        <f t="shared" si="38"/>
        <v>95.041981747003675</v>
      </c>
      <c r="BT42" s="210">
        <f t="shared" si="38"/>
        <v>95.041981747003675</v>
      </c>
      <c r="BU42" s="210">
        <f t="shared" si="38"/>
        <v>95.041981747003675</v>
      </c>
      <c r="BV42" s="210">
        <f t="shared" si="38"/>
        <v>95.041981747003675</v>
      </c>
      <c r="BW42" s="210">
        <f t="shared" si="38"/>
        <v>95.041981747003675</v>
      </c>
      <c r="BX42" s="210">
        <f t="shared" si="38"/>
        <v>95.041981747003675</v>
      </c>
      <c r="BY42" s="210">
        <f t="shared" si="38"/>
        <v>95.041981747003675</v>
      </c>
      <c r="BZ42" s="210">
        <f t="shared" si="38"/>
        <v>95.041981747003675</v>
      </c>
      <c r="CA42" s="210">
        <f t="shared" si="38"/>
        <v>95.041981747003675</v>
      </c>
      <c r="CB42" s="210">
        <f t="shared" si="38"/>
        <v>95.041981747003675</v>
      </c>
      <c r="CC42" s="210">
        <f t="shared" si="38"/>
        <v>95.041981747003675</v>
      </c>
      <c r="CD42" s="210">
        <f t="shared" si="38"/>
        <v>95.041981747003675</v>
      </c>
      <c r="CE42" s="210">
        <f t="shared" si="38"/>
        <v>95.041981747003675</v>
      </c>
      <c r="CF42" s="210">
        <f t="shared" si="38"/>
        <v>95.041981747003675</v>
      </c>
      <c r="CG42" s="210">
        <f t="shared" si="38"/>
        <v>95.041981747003675</v>
      </c>
      <c r="CH42" s="210">
        <f t="shared" si="38"/>
        <v>95.041981747003675</v>
      </c>
      <c r="CI42" s="210">
        <f t="shared" si="38"/>
        <v>699.91536454060065</v>
      </c>
      <c r="CJ42" s="210">
        <f t="shared" si="38"/>
        <v>699.91536454060065</v>
      </c>
      <c r="CK42" s="210">
        <f t="shared" si="38"/>
        <v>699.91536454060065</v>
      </c>
      <c r="CL42" s="210">
        <f t="shared" si="38"/>
        <v>699.91536454060065</v>
      </c>
      <c r="CM42" s="210">
        <f t="shared" si="38"/>
        <v>699.91536454060065</v>
      </c>
      <c r="CN42" s="210">
        <f t="shared" si="38"/>
        <v>699.91536454060065</v>
      </c>
      <c r="CO42" s="210">
        <f t="shared" si="38"/>
        <v>699.91536454060065</v>
      </c>
      <c r="CP42" s="210">
        <f t="shared" si="38"/>
        <v>699.91536454060065</v>
      </c>
      <c r="CQ42" s="210">
        <f t="shared" si="38"/>
        <v>699.91536454060065</v>
      </c>
      <c r="CR42" s="210">
        <f t="shared" si="38"/>
        <v>699.91536454060065</v>
      </c>
      <c r="CS42" s="210">
        <f t="shared" si="38"/>
        <v>699.91536454060065</v>
      </c>
      <c r="CT42" s="210">
        <f t="shared" si="38"/>
        <v>699.91536454060065</v>
      </c>
      <c r="CU42" s="210">
        <f t="shared" si="38"/>
        <v>699.91536454060065</v>
      </c>
      <c r="CV42" s="210">
        <f t="shared" si="38"/>
        <v>699.91536454060065</v>
      </c>
      <c r="CW42" s="210">
        <f t="shared" si="38"/>
        <v>699.91536454060065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58.369875625614654</v>
      </c>
      <c r="Y43" s="210">
        <f t="shared" si="39"/>
        <v>58.369875625614654</v>
      </c>
      <c r="Z43" s="210">
        <f t="shared" si="39"/>
        <v>58.369875625614654</v>
      </c>
      <c r="AA43" s="210">
        <f t="shared" si="39"/>
        <v>58.369875625614654</v>
      </c>
      <c r="AB43" s="210">
        <f t="shared" si="39"/>
        <v>58.369875625614654</v>
      </c>
      <c r="AC43" s="210">
        <f t="shared" si="39"/>
        <v>58.369875625614654</v>
      </c>
      <c r="AD43" s="210">
        <f t="shared" si="39"/>
        <v>58.369875625614654</v>
      </c>
      <c r="AE43" s="210">
        <f t="shared" si="39"/>
        <v>58.369875625614654</v>
      </c>
      <c r="AF43" s="210">
        <f t="shared" si="39"/>
        <v>58.369875625614654</v>
      </c>
      <c r="AG43" s="210">
        <f t="shared" si="39"/>
        <v>58.369875625614654</v>
      </c>
      <c r="AH43" s="210">
        <f t="shared" si="39"/>
        <v>58.369875625614654</v>
      </c>
      <c r="AI43" s="210">
        <f t="shared" si="39"/>
        <v>58.369875625614654</v>
      </c>
      <c r="AJ43" s="210">
        <f t="shared" si="39"/>
        <v>58.369875625614654</v>
      </c>
      <c r="AK43" s="210">
        <f t="shared" si="39"/>
        <v>58.369875625614654</v>
      </c>
      <c r="AL43" s="210">
        <f t="shared" ref="AL43:BQ43" si="40">IF(AL$22&lt;=$E$24,IF(AL$22&lt;=$D$24,IF(AL$22&lt;=$C$24,IF(AL$22&lt;=$B$24,$B109,($C26-$B26)/($C$24-$B$24)),($D26-$C26)/($D$24-$C$24)),($E26-$D26)/($E$24-$D$24)),$F109)</f>
        <v>58.369875625614654</v>
      </c>
      <c r="AM43" s="210">
        <f t="shared" si="40"/>
        <v>58.369875625614654</v>
      </c>
      <c r="AN43" s="210">
        <f t="shared" si="40"/>
        <v>58.369875625614654</v>
      </c>
      <c r="AO43" s="210">
        <f t="shared" si="40"/>
        <v>58.369875625614654</v>
      </c>
      <c r="AP43" s="210">
        <f t="shared" si="40"/>
        <v>58.369875625614654</v>
      </c>
      <c r="AQ43" s="210">
        <f t="shared" si="40"/>
        <v>58.369875625614654</v>
      </c>
      <c r="AR43" s="210">
        <f t="shared" si="40"/>
        <v>58.369875625614654</v>
      </c>
      <c r="AS43" s="210">
        <f t="shared" si="40"/>
        <v>58.369875625614654</v>
      </c>
      <c r="AT43" s="210">
        <f t="shared" si="40"/>
        <v>58.369875625614654</v>
      </c>
      <c r="AU43" s="210">
        <f t="shared" si="40"/>
        <v>58.369875625614654</v>
      </c>
      <c r="AV43" s="210">
        <f t="shared" si="40"/>
        <v>58.369875625614654</v>
      </c>
      <c r="AW43" s="210">
        <f t="shared" si="40"/>
        <v>58.369875625614654</v>
      </c>
      <c r="AX43" s="210">
        <f t="shared" si="40"/>
        <v>58.369875625614654</v>
      </c>
      <c r="AY43" s="210">
        <f t="shared" si="40"/>
        <v>58.369875625614654</v>
      </c>
      <c r="AZ43" s="210">
        <f t="shared" si="40"/>
        <v>58.369875625614654</v>
      </c>
      <c r="BA43" s="210">
        <f t="shared" si="40"/>
        <v>58.369875625614654</v>
      </c>
      <c r="BB43" s="210">
        <f t="shared" si="40"/>
        <v>58.369875625614654</v>
      </c>
      <c r="BC43" s="210">
        <f t="shared" si="40"/>
        <v>58.369875625614654</v>
      </c>
      <c r="BD43" s="210">
        <f t="shared" si="40"/>
        <v>58.369875625614654</v>
      </c>
      <c r="BE43" s="210">
        <f t="shared" si="40"/>
        <v>58.369875625614654</v>
      </c>
      <c r="BF43" s="210">
        <f t="shared" si="40"/>
        <v>58.369875625614654</v>
      </c>
      <c r="BG43" s="210">
        <f t="shared" si="40"/>
        <v>736.45571762021416</v>
      </c>
      <c r="BH43" s="210">
        <f t="shared" si="40"/>
        <v>736.45571762021416</v>
      </c>
      <c r="BI43" s="210">
        <f t="shared" si="40"/>
        <v>736.45571762021416</v>
      </c>
      <c r="BJ43" s="210">
        <f t="shared" si="40"/>
        <v>736.45571762021416</v>
      </c>
      <c r="BK43" s="210">
        <f t="shared" si="40"/>
        <v>736.45571762021416</v>
      </c>
      <c r="BL43" s="210">
        <f t="shared" si="40"/>
        <v>736.45571762021416</v>
      </c>
      <c r="BM43" s="210">
        <f t="shared" si="40"/>
        <v>736.45571762021416</v>
      </c>
      <c r="BN43" s="210">
        <f t="shared" si="40"/>
        <v>736.45571762021416</v>
      </c>
      <c r="BO43" s="210">
        <f t="shared" si="40"/>
        <v>736.45571762021416</v>
      </c>
      <c r="BP43" s="210">
        <f t="shared" si="40"/>
        <v>736.45571762021416</v>
      </c>
      <c r="BQ43" s="210">
        <f t="shared" si="40"/>
        <v>736.45571762021416</v>
      </c>
      <c r="BR43" s="210">
        <f t="shared" ref="BR43:DA43" si="41">IF(BR$22&lt;=$E$24,IF(BR$22&lt;=$D$24,IF(BR$22&lt;=$C$24,IF(BR$22&lt;=$B$24,$B109,($C26-$B26)/($C$24-$B$24)),($D26-$C26)/($D$24-$C$24)),($E26-$D26)/($E$24-$D$24)),$F109)</f>
        <v>736.45571762021416</v>
      </c>
      <c r="BS43" s="210">
        <f t="shared" si="41"/>
        <v>736.45571762021416</v>
      </c>
      <c r="BT43" s="210">
        <f t="shared" si="41"/>
        <v>736.45571762021416</v>
      </c>
      <c r="BU43" s="210">
        <f t="shared" si="41"/>
        <v>736.45571762021416</v>
      </c>
      <c r="BV43" s="210">
        <f t="shared" si="41"/>
        <v>736.45571762021416</v>
      </c>
      <c r="BW43" s="210">
        <f t="shared" si="41"/>
        <v>736.45571762021416</v>
      </c>
      <c r="BX43" s="210">
        <f t="shared" si="41"/>
        <v>736.45571762021416</v>
      </c>
      <c r="BY43" s="210">
        <f t="shared" si="41"/>
        <v>736.45571762021416</v>
      </c>
      <c r="BZ43" s="210">
        <f t="shared" si="41"/>
        <v>736.45571762021416</v>
      </c>
      <c r="CA43" s="210">
        <f t="shared" si="41"/>
        <v>736.45571762021416</v>
      </c>
      <c r="CB43" s="210">
        <f t="shared" si="41"/>
        <v>736.45571762021416</v>
      </c>
      <c r="CC43" s="210">
        <f t="shared" si="41"/>
        <v>736.45571762021416</v>
      </c>
      <c r="CD43" s="210">
        <f t="shared" si="41"/>
        <v>736.45571762021416</v>
      </c>
      <c r="CE43" s="210">
        <f t="shared" si="41"/>
        <v>736.45571762021416</v>
      </c>
      <c r="CF43" s="210">
        <f t="shared" si="41"/>
        <v>736.45571762021416</v>
      </c>
      <c r="CG43" s="210">
        <f t="shared" si="41"/>
        <v>736.45571762021416</v>
      </c>
      <c r="CH43" s="210">
        <f t="shared" si="41"/>
        <v>736.45571762021416</v>
      </c>
      <c r="CI43" s="210">
        <f t="shared" si="41"/>
        <v>1846.2371498076016</v>
      </c>
      <c r="CJ43" s="210">
        <f t="shared" si="41"/>
        <v>1846.2371498076016</v>
      </c>
      <c r="CK43" s="210">
        <f t="shared" si="41"/>
        <v>1846.2371498076016</v>
      </c>
      <c r="CL43" s="210">
        <f t="shared" si="41"/>
        <v>1846.2371498076016</v>
      </c>
      <c r="CM43" s="210">
        <f t="shared" si="41"/>
        <v>1846.2371498076016</v>
      </c>
      <c r="CN43" s="210">
        <f t="shared" si="41"/>
        <v>1846.2371498076016</v>
      </c>
      <c r="CO43" s="210">
        <f t="shared" si="41"/>
        <v>1846.2371498076016</v>
      </c>
      <c r="CP43" s="210">
        <f t="shared" si="41"/>
        <v>1846.2371498076016</v>
      </c>
      <c r="CQ43" s="210">
        <f t="shared" si="41"/>
        <v>1846.2371498076016</v>
      </c>
      <c r="CR43" s="210">
        <f t="shared" si="41"/>
        <v>1846.2371498076016</v>
      </c>
      <c r="CS43" s="210">
        <f t="shared" si="41"/>
        <v>1846.2371498076016</v>
      </c>
      <c r="CT43" s="210">
        <f t="shared" si="41"/>
        <v>1846.2371498076016</v>
      </c>
      <c r="CU43" s="210">
        <f t="shared" si="41"/>
        <v>1846.2371498076016</v>
      </c>
      <c r="CV43" s="210">
        <f t="shared" si="41"/>
        <v>1846.2371498076016</v>
      </c>
      <c r="CW43" s="210">
        <f t="shared" si="41"/>
        <v>1846.2371498076016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28.955866823937797</v>
      </c>
      <c r="Y44" s="210">
        <f t="shared" si="42"/>
        <v>28.955866823937797</v>
      </c>
      <c r="Z44" s="210">
        <f t="shared" si="42"/>
        <v>28.955866823937797</v>
      </c>
      <c r="AA44" s="210">
        <f t="shared" si="42"/>
        <v>28.955866823937797</v>
      </c>
      <c r="AB44" s="210">
        <f t="shared" si="42"/>
        <v>28.955866823937797</v>
      </c>
      <c r="AC44" s="210">
        <f t="shared" si="42"/>
        <v>28.955866823937797</v>
      </c>
      <c r="AD44" s="210">
        <f t="shared" si="42"/>
        <v>28.955866823937797</v>
      </c>
      <c r="AE44" s="210">
        <f t="shared" si="42"/>
        <v>28.955866823937797</v>
      </c>
      <c r="AF44" s="210">
        <f t="shared" si="42"/>
        <v>28.955866823937797</v>
      </c>
      <c r="AG44" s="210">
        <f t="shared" si="42"/>
        <v>28.955866823937797</v>
      </c>
      <c r="AH44" s="210">
        <f t="shared" si="42"/>
        <v>28.955866823937797</v>
      </c>
      <c r="AI44" s="210">
        <f t="shared" si="42"/>
        <v>28.955866823937797</v>
      </c>
      <c r="AJ44" s="210">
        <f t="shared" si="42"/>
        <v>28.955866823937797</v>
      </c>
      <c r="AK44" s="210">
        <f t="shared" si="42"/>
        <v>28.955866823937797</v>
      </c>
      <c r="AL44" s="210">
        <f t="shared" ref="AL44:BQ44" si="43">IF(AL$22&lt;=$E$24,IF(AL$22&lt;=$D$24,IF(AL$22&lt;=$C$24,IF(AL$22&lt;=$B$24,$B110,($C27-$B27)/($C$24-$B$24)),($D27-$C27)/($D$24-$C$24)),($E27-$D27)/($E$24-$D$24)),$F110)</f>
        <v>28.955866823937797</v>
      </c>
      <c r="AM44" s="210">
        <f t="shared" si="43"/>
        <v>28.955866823937797</v>
      </c>
      <c r="AN44" s="210">
        <f t="shared" si="43"/>
        <v>28.955866823937797</v>
      </c>
      <c r="AO44" s="210">
        <f t="shared" si="43"/>
        <v>28.955866823937797</v>
      </c>
      <c r="AP44" s="210">
        <f t="shared" si="43"/>
        <v>28.955866823937797</v>
      </c>
      <c r="AQ44" s="210">
        <f t="shared" si="43"/>
        <v>28.955866823937797</v>
      </c>
      <c r="AR44" s="210">
        <f t="shared" si="43"/>
        <v>28.955866823937797</v>
      </c>
      <c r="AS44" s="210">
        <f t="shared" si="43"/>
        <v>28.955866823937797</v>
      </c>
      <c r="AT44" s="210">
        <f t="shared" si="43"/>
        <v>28.955866823937797</v>
      </c>
      <c r="AU44" s="210">
        <f t="shared" si="43"/>
        <v>28.955866823937797</v>
      </c>
      <c r="AV44" s="210">
        <f t="shared" si="43"/>
        <v>28.955866823937797</v>
      </c>
      <c r="AW44" s="210">
        <f t="shared" si="43"/>
        <v>28.955866823937797</v>
      </c>
      <c r="AX44" s="210">
        <f t="shared" si="43"/>
        <v>28.955866823937797</v>
      </c>
      <c r="AY44" s="210">
        <f t="shared" si="43"/>
        <v>28.955866823937797</v>
      </c>
      <c r="AZ44" s="210">
        <f t="shared" si="43"/>
        <v>28.955866823937797</v>
      </c>
      <c r="BA44" s="210">
        <f t="shared" si="43"/>
        <v>28.955866823937797</v>
      </c>
      <c r="BB44" s="210">
        <f t="shared" si="43"/>
        <v>28.955866823937797</v>
      </c>
      <c r="BC44" s="210">
        <f t="shared" si="43"/>
        <v>28.955866823937797</v>
      </c>
      <c r="BD44" s="210">
        <f t="shared" si="43"/>
        <v>28.955866823937797</v>
      </c>
      <c r="BE44" s="210">
        <f t="shared" si="43"/>
        <v>28.955866823937797</v>
      </c>
      <c r="BF44" s="210">
        <f t="shared" si="43"/>
        <v>28.955866823937797</v>
      </c>
      <c r="BG44" s="210">
        <f t="shared" si="43"/>
        <v>22.599265616098769</v>
      </c>
      <c r="BH44" s="210">
        <f t="shared" si="43"/>
        <v>22.599265616098769</v>
      </c>
      <c r="BI44" s="210">
        <f t="shared" si="43"/>
        <v>22.599265616098769</v>
      </c>
      <c r="BJ44" s="210">
        <f t="shared" si="43"/>
        <v>22.599265616098769</v>
      </c>
      <c r="BK44" s="210">
        <f t="shared" si="43"/>
        <v>22.599265616098769</v>
      </c>
      <c r="BL44" s="210">
        <f t="shared" si="43"/>
        <v>22.599265616098769</v>
      </c>
      <c r="BM44" s="210">
        <f t="shared" si="43"/>
        <v>22.599265616098769</v>
      </c>
      <c r="BN44" s="210">
        <f t="shared" si="43"/>
        <v>22.599265616098769</v>
      </c>
      <c r="BO44" s="210">
        <f t="shared" si="43"/>
        <v>22.599265616098769</v>
      </c>
      <c r="BP44" s="210">
        <f t="shared" si="43"/>
        <v>22.599265616098769</v>
      </c>
      <c r="BQ44" s="210">
        <f t="shared" si="43"/>
        <v>22.599265616098769</v>
      </c>
      <c r="BR44" s="210">
        <f t="shared" ref="BR44:DA44" si="44">IF(BR$22&lt;=$E$24,IF(BR$22&lt;=$D$24,IF(BR$22&lt;=$C$24,IF(BR$22&lt;=$B$24,$B110,($C27-$B27)/($C$24-$B$24)),($D27-$C27)/($D$24-$C$24)),($E27-$D27)/($E$24-$D$24)),$F110)</f>
        <v>22.599265616098769</v>
      </c>
      <c r="BS44" s="210">
        <f t="shared" si="44"/>
        <v>22.599265616098769</v>
      </c>
      <c r="BT44" s="210">
        <f t="shared" si="44"/>
        <v>22.599265616098769</v>
      </c>
      <c r="BU44" s="210">
        <f t="shared" si="44"/>
        <v>22.599265616098769</v>
      </c>
      <c r="BV44" s="210">
        <f t="shared" si="44"/>
        <v>22.599265616098769</v>
      </c>
      <c r="BW44" s="210">
        <f t="shared" si="44"/>
        <v>22.599265616098769</v>
      </c>
      <c r="BX44" s="210">
        <f t="shared" si="44"/>
        <v>22.599265616098769</v>
      </c>
      <c r="BY44" s="210">
        <f t="shared" si="44"/>
        <v>22.599265616098769</v>
      </c>
      <c r="BZ44" s="210">
        <f t="shared" si="44"/>
        <v>22.599265616098769</v>
      </c>
      <c r="CA44" s="210">
        <f t="shared" si="44"/>
        <v>22.599265616098769</v>
      </c>
      <c r="CB44" s="210">
        <f t="shared" si="44"/>
        <v>22.599265616098769</v>
      </c>
      <c r="CC44" s="210">
        <f t="shared" si="44"/>
        <v>22.599265616098769</v>
      </c>
      <c r="CD44" s="210">
        <f t="shared" si="44"/>
        <v>22.599265616098769</v>
      </c>
      <c r="CE44" s="210">
        <f t="shared" si="44"/>
        <v>22.599265616098769</v>
      </c>
      <c r="CF44" s="210">
        <f t="shared" si="44"/>
        <v>22.599265616098769</v>
      </c>
      <c r="CG44" s="210">
        <f t="shared" si="44"/>
        <v>22.599265616098769</v>
      </c>
      <c r="CH44" s="210">
        <f t="shared" si="44"/>
        <v>22.599265616098769</v>
      </c>
      <c r="CI44" s="210">
        <f t="shared" si="44"/>
        <v>44.932937586401025</v>
      </c>
      <c r="CJ44" s="210">
        <f t="shared" si="44"/>
        <v>44.932937586401025</v>
      </c>
      <c r="CK44" s="210">
        <f t="shared" si="44"/>
        <v>44.932937586401025</v>
      </c>
      <c r="CL44" s="210">
        <f t="shared" si="44"/>
        <v>44.932937586401025</v>
      </c>
      <c r="CM44" s="210">
        <f t="shared" si="44"/>
        <v>44.932937586401025</v>
      </c>
      <c r="CN44" s="210">
        <f t="shared" si="44"/>
        <v>44.932937586401025</v>
      </c>
      <c r="CO44" s="210">
        <f t="shared" si="44"/>
        <v>44.932937586401025</v>
      </c>
      <c r="CP44" s="210">
        <f t="shared" si="44"/>
        <v>44.932937586401025</v>
      </c>
      <c r="CQ44" s="210">
        <f t="shared" si="44"/>
        <v>44.932937586401025</v>
      </c>
      <c r="CR44" s="210">
        <f t="shared" si="44"/>
        <v>44.932937586401025</v>
      </c>
      <c r="CS44" s="210">
        <f t="shared" si="44"/>
        <v>44.932937586401025</v>
      </c>
      <c r="CT44" s="210">
        <f t="shared" si="44"/>
        <v>44.932937586401025</v>
      </c>
      <c r="CU44" s="210">
        <f t="shared" si="44"/>
        <v>44.932937586401025</v>
      </c>
      <c r="CV44" s="210">
        <f t="shared" si="44"/>
        <v>44.932937586401025</v>
      </c>
      <c r="CW44" s="210">
        <f t="shared" si="44"/>
        <v>44.932937586401025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302.43458873375482</v>
      </c>
      <c r="BH45" s="210">
        <f t="shared" si="46"/>
        <v>302.43458873375482</v>
      </c>
      <c r="BI45" s="210">
        <f t="shared" si="46"/>
        <v>302.43458873375482</v>
      </c>
      <c r="BJ45" s="210">
        <f t="shared" si="46"/>
        <v>302.43458873375482</v>
      </c>
      <c r="BK45" s="210">
        <f t="shared" si="46"/>
        <v>302.43458873375482</v>
      </c>
      <c r="BL45" s="210">
        <f t="shared" si="46"/>
        <v>302.43458873375482</v>
      </c>
      <c r="BM45" s="210">
        <f t="shared" si="46"/>
        <v>302.43458873375482</v>
      </c>
      <c r="BN45" s="210">
        <f t="shared" si="46"/>
        <v>302.43458873375482</v>
      </c>
      <c r="BO45" s="210">
        <f t="shared" si="46"/>
        <v>302.43458873375482</v>
      </c>
      <c r="BP45" s="210">
        <f t="shared" si="46"/>
        <v>302.43458873375482</v>
      </c>
      <c r="BQ45" s="210">
        <f t="shared" si="46"/>
        <v>302.43458873375482</v>
      </c>
      <c r="BR45" s="210">
        <f t="shared" ref="BR45:DA45" si="47">IF(BR$22&lt;=$E$24,IF(BR$22&lt;=$D$24,IF(BR$22&lt;=$C$24,IF(BR$22&lt;=$B$24,$B111,($C28-$B28)/($C$24-$B$24)),($D28-$C28)/($D$24-$C$24)),($E28-$D28)/($E$24-$D$24)),$F111)</f>
        <v>302.43458873375482</v>
      </c>
      <c r="BS45" s="210">
        <f t="shared" si="47"/>
        <v>302.43458873375482</v>
      </c>
      <c r="BT45" s="210">
        <f t="shared" si="47"/>
        <v>302.43458873375482</v>
      </c>
      <c r="BU45" s="210">
        <f t="shared" si="47"/>
        <v>302.43458873375482</v>
      </c>
      <c r="BV45" s="210">
        <f t="shared" si="47"/>
        <v>302.43458873375482</v>
      </c>
      <c r="BW45" s="210">
        <f t="shared" si="47"/>
        <v>302.43458873375482</v>
      </c>
      <c r="BX45" s="210">
        <f t="shared" si="47"/>
        <v>302.43458873375482</v>
      </c>
      <c r="BY45" s="210">
        <f t="shared" si="47"/>
        <v>302.43458873375482</v>
      </c>
      <c r="BZ45" s="210">
        <f t="shared" si="47"/>
        <v>302.43458873375482</v>
      </c>
      <c r="CA45" s="210">
        <f t="shared" si="47"/>
        <v>302.43458873375482</v>
      </c>
      <c r="CB45" s="210">
        <f t="shared" si="47"/>
        <v>302.43458873375482</v>
      </c>
      <c r="CC45" s="210">
        <f t="shared" si="47"/>
        <v>302.43458873375482</v>
      </c>
      <c r="CD45" s="210">
        <f t="shared" si="47"/>
        <v>302.43458873375482</v>
      </c>
      <c r="CE45" s="210">
        <f t="shared" si="47"/>
        <v>302.43458873375482</v>
      </c>
      <c r="CF45" s="210">
        <f t="shared" si="47"/>
        <v>302.43458873375482</v>
      </c>
      <c r="CG45" s="210">
        <f t="shared" si="47"/>
        <v>302.43458873375482</v>
      </c>
      <c r="CH45" s="210">
        <f t="shared" si="47"/>
        <v>302.43458873375482</v>
      </c>
      <c r="CI45" s="210">
        <f t="shared" si="47"/>
        <v>705.68070704542822</v>
      </c>
      <c r="CJ45" s="210">
        <f t="shared" si="47"/>
        <v>705.68070704542822</v>
      </c>
      <c r="CK45" s="210">
        <f t="shared" si="47"/>
        <v>705.68070704542822</v>
      </c>
      <c r="CL45" s="210">
        <f t="shared" si="47"/>
        <v>705.68070704542822</v>
      </c>
      <c r="CM45" s="210">
        <f t="shared" si="47"/>
        <v>705.68070704542822</v>
      </c>
      <c r="CN45" s="210">
        <f t="shared" si="47"/>
        <v>705.68070704542822</v>
      </c>
      <c r="CO45" s="210">
        <f t="shared" si="47"/>
        <v>705.68070704542822</v>
      </c>
      <c r="CP45" s="210">
        <f t="shared" si="47"/>
        <v>705.68070704542822</v>
      </c>
      <c r="CQ45" s="210">
        <f t="shared" si="47"/>
        <v>705.68070704542822</v>
      </c>
      <c r="CR45" s="210">
        <f t="shared" si="47"/>
        <v>705.68070704542822</v>
      </c>
      <c r="CS45" s="210">
        <f t="shared" si="47"/>
        <v>705.68070704542822</v>
      </c>
      <c r="CT45" s="210">
        <f t="shared" si="47"/>
        <v>705.68070704542822</v>
      </c>
      <c r="CU45" s="210">
        <f t="shared" si="47"/>
        <v>705.68070704542822</v>
      </c>
      <c r="CV45" s="210">
        <f t="shared" si="47"/>
        <v>705.68070704542822</v>
      </c>
      <c r="CW45" s="210">
        <f t="shared" si="47"/>
        <v>705.68070704542822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151.23889683750122</v>
      </c>
      <c r="Y46" s="210">
        <f t="shared" si="48"/>
        <v>151.23889683750122</v>
      </c>
      <c r="Z46" s="210">
        <f t="shared" si="48"/>
        <v>151.23889683750122</v>
      </c>
      <c r="AA46" s="210">
        <f t="shared" si="48"/>
        <v>151.23889683750122</v>
      </c>
      <c r="AB46" s="210">
        <f t="shared" si="48"/>
        <v>151.23889683750122</v>
      </c>
      <c r="AC46" s="210">
        <f t="shared" si="48"/>
        <v>151.23889683750122</v>
      </c>
      <c r="AD46" s="210">
        <f t="shared" si="48"/>
        <v>151.23889683750122</v>
      </c>
      <c r="AE46" s="210">
        <f t="shared" si="48"/>
        <v>151.23889683750122</v>
      </c>
      <c r="AF46" s="210">
        <f t="shared" si="48"/>
        <v>151.23889683750122</v>
      </c>
      <c r="AG46" s="210">
        <f t="shared" si="48"/>
        <v>151.23889683750122</v>
      </c>
      <c r="AH46" s="210">
        <f t="shared" si="48"/>
        <v>151.23889683750122</v>
      </c>
      <c r="AI46" s="210">
        <f t="shared" si="48"/>
        <v>151.23889683750122</v>
      </c>
      <c r="AJ46" s="210">
        <f t="shared" si="48"/>
        <v>151.23889683750122</v>
      </c>
      <c r="AK46" s="210">
        <f t="shared" si="48"/>
        <v>151.23889683750122</v>
      </c>
      <c r="AL46" s="210">
        <f t="shared" ref="AL46:BQ46" si="49">IF(AL$22&lt;=$E$24,IF(AL$22&lt;=$D$24,IF(AL$22&lt;=$C$24,IF(AL$22&lt;=$B$24,$B112,($C29-$B29)/($C$24-$B$24)),($D29-$C29)/($D$24-$C$24)),($E29-$D29)/($E$24-$D$24)),$F112)</f>
        <v>151.23889683750122</v>
      </c>
      <c r="AM46" s="210">
        <f t="shared" si="49"/>
        <v>151.23889683750122</v>
      </c>
      <c r="AN46" s="210">
        <f t="shared" si="49"/>
        <v>151.23889683750122</v>
      </c>
      <c r="AO46" s="210">
        <f t="shared" si="49"/>
        <v>151.23889683750122</v>
      </c>
      <c r="AP46" s="210">
        <f t="shared" si="49"/>
        <v>151.23889683750122</v>
      </c>
      <c r="AQ46" s="210">
        <f t="shared" si="49"/>
        <v>151.23889683750122</v>
      </c>
      <c r="AR46" s="210">
        <f t="shared" si="49"/>
        <v>151.23889683750122</v>
      </c>
      <c r="AS46" s="210">
        <f t="shared" si="49"/>
        <v>151.23889683750122</v>
      </c>
      <c r="AT46" s="210">
        <f t="shared" si="49"/>
        <v>151.23889683750122</v>
      </c>
      <c r="AU46" s="210">
        <f t="shared" si="49"/>
        <v>151.23889683750122</v>
      </c>
      <c r="AV46" s="210">
        <f t="shared" si="49"/>
        <v>151.23889683750122</v>
      </c>
      <c r="AW46" s="210">
        <f t="shared" si="49"/>
        <v>151.23889683750122</v>
      </c>
      <c r="AX46" s="210">
        <f t="shared" si="49"/>
        <v>151.23889683750122</v>
      </c>
      <c r="AY46" s="210">
        <f t="shared" si="49"/>
        <v>151.23889683750122</v>
      </c>
      <c r="AZ46" s="210">
        <f t="shared" si="49"/>
        <v>151.23889683750122</v>
      </c>
      <c r="BA46" s="210">
        <f t="shared" si="49"/>
        <v>151.23889683750122</v>
      </c>
      <c r="BB46" s="210">
        <f t="shared" si="49"/>
        <v>151.23889683750122</v>
      </c>
      <c r="BC46" s="210">
        <f t="shared" si="49"/>
        <v>151.23889683750122</v>
      </c>
      <c r="BD46" s="210">
        <f t="shared" si="49"/>
        <v>151.23889683750122</v>
      </c>
      <c r="BE46" s="210">
        <f t="shared" si="49"/>
        <v>151.23889683750122</v>
      </c>
      <c r="BF46" s="210">
        <f t="shared" si="49"/>
        <v>151.23889683750122</v>
      </c>
      <c r="BG46" s="210">
        <f t="shared" si="49"/>
        <v>574.04834347018789</v>
      </c>
      <c r="BH46" s="210">
        <f t="shared" si="49"/>
        <v>574.04834347018789</v>
      </c>
      <c r="BI46" s="210">
        <f t="shared" si="49"/>
        <v>574.04834347018789</v>
      </c>
      <c r="BJ46" s="210">
        <f t="shared" si="49"/>
        <v>574.04834347018789</v>
      </c>
      <c r="BK46" s="210">
        <f t="shared" si="49"/>
        <v>574.04834347018789</v>
      </c>
      <c r="BL46" s="210">
        <f t="shared" si="49"/>
        <v>574.04834347018789</v>
      </c>
      <c r="BM46" s="210">
        <f t="shared" si="49"/>
        <v>574.04834347018789</v>
      </c>
      <c r="BN46" s="210">
        <f t="shared" si="49"/>
        <v>574.04834347018789</v>
      </c>
      <c r="BO46" s="210">
        <f t="shared" si="49"/>
        <v>574.04834347018789</v>
      </c>
      <c r="BP46" s="210">
        <f t="shared" si="49"/>
        <v>574.04834347018789</v>
      </c>
      <c r="BQ46" s="210">
        <f t="shared" si="49"/>
        <v>574.04834347018789</v>
      </c>
      <c r="BR46" s="210">
        <f t="shared" ref="BR46:DA46" si="50">IF(BR$22&lt;=$E$24,IF(BR$22&lt;=$D$24,IF(BR$22&lt;=$C$24,IF(BR$22&lt;=$B$24,$B112,($C29-$B29)/($C$24-$B$24)),($D29-$C29)/($D$24-$C$24)),($E29-$D29)/($E$24-$D$24)),$F112)</f>
        <v>574.04834347018789</v>
      </c>
      <c r="BS46" s="210">
        <f t="shared" si="50"/>
        <v>574.04834347018789</v>
      </c>
      <c r="BT46" s="210">
        <f t="shared" si="50"/>
        <v>574.04834347018789</v>
      </c>
      <c r="BU46" s="210">
        <f t="shared" si="50"/>
        <v>574.04834347018789</v>
      </c>
      <c r="BV46" s="210">
        <f t="shared" si="50"/>
        <v>574.04834347018789</v>
      </c>
      <c r="BW46" s="210">
        <f t="shared" si="50"/>
        <v>574.04834347018789</v>
      </c>
      <c r="BX46" s="210">
        <f t="shared" si="50"/>
        <v>574.04834347018789</v>
      </c>
      <c r="BY46" s="210">
        <f t="shared" si="50"/>
        <v>574.04834347018789</v>
      </c>
      <c r="BZ46" s="210">
        <f t="shared" si="50"/>
        <v>574.04834347018789</v>
      </c>
      <c r="CA46" s="210">
        <f t="shared" si="50"/>
        <v>574.04834347018789</v>
      </c>
      <c r="CB46" s="210">
        <f t="shared" si="50"/>
        <v>574.04834347018789</v>
      </c>
      <c r="CC46" s="210">
        <f t="shared" si="50"/>
        <v>574.04834347018789</v>
      </c>
      <c r="CD46" s="210">
        <f t="shared" si="50"/>
        <v>574.04834347018789</v>
      </c>
      <c r="CE46" s="210">
        <f t="shared" si="50"/>
        <v>574.04834347018789</v>
      </c>
      <c r="CF46" s="210">
        <f t="shared" si="50"/>
        <v>574.04834347018789</v>
      </c>
      <c r="CG46" s="210">
        <f t="shared" si="50"/>
        <v>574.04834347018789</v>
      </c>
      <c r="CH46" s="210">
        <f t="shared" si="50"/>
        <v>574.04834347018789</v>
      </c>
      <c r="CI46" s="210">
        <f t="shared" si="50"/>
        <v>863.57676524684257</v>
      </c>
      <c r="CJ46" s="210">
        <f t="shared" si="50"/>
        <v>863.57676524684257</v>
      </c>
      <c r="CK46" s="210">
        <f t="shared" si="50"/>
        <v>863.57676524684257</v>
      </c>
      <c r="CL46" s="210">
        <f t="shared" si="50"/>
        <v>863.57676524684257</v>
      </c>
      <c r="CM46" s="210">
        <f t="shared" si="50"/>
        <v>863.57676524684257</v>
      </c>
      <c r="CN46" s="210">
        <f t="shared" si="50"/>
        <v>863.57676524684257</v>
      </c>
      <c r="CO46" s="210">
        <f t="shared" si="50"/>
        <v>863.57676524684257</v>
      </c>
      <c r="CP46" s="210">
        <f t="shared" si="50"/>
        <v>863.57676524684257</v>
      </c>
      <c r="CQ46" s="210">
        <f t="shared" si="50"/>
        <v>863.57676524684257</v>
      </c>
      <c r="CR46" s="210">
        <f t="shared" si="50"/>
        <v>863.57676524684257</v>
      </c>
      <c r="CS46" s="210">
        <f t="shared" si="50"/>
        <v>863.57676524684257</v>
      </c>
      <c r="CT46" s="210">
        <f t="shared" si="50"/>
        <v>863.57676524684257</v>
      </c>
      <c r="CU46" s="210">
        <f t="shared" si="50"/>
        <v>863.57676524684257</v>
      </c>
      <c r="CV46" s="210">
        <f t="shared" si="50"/>
        <v>863.57676524684257</v>
      </c>
      <c r="CW46" s="210">
        <f t="shared" si="50"/>
        <v>863.57676524684257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374.90255557241608</v>
      </c>
      <c r="Y48" s="210">
        <f t="shared" si="54"/>
        <v>374.90255557241608</v>
      </c>
      <c r="Z48" s="210">
        <f t="shared" si="54"/>
        <v>374.90255557241608</v>
      </c>
      <c r="AA48" s="210">
        <f t="shared" si="54"/>
        <v>374.90255557241608</v>
      </c>
      <c r="AB48" s="210">
        <f t="shared" si="54"/>
        <v>374.90255557241608</v>
      </c>
      <c r="AC48" s="210">
        <f t="shared" si="54"/>
        <v>374.90255557241608</v>
      </c>
      <c r="AD48" s="210">
        <f t="shared" si="54"/>
        <v>374.90255557241608</v>
      </c>
      <c r="AE48" s="210">
        <f t="shared" si="54"/>
        <v>374.90255557241608</v>
      </c>
      <c r="AF48" s="210">
        <f t="shared" si="54"/>
        <v>374.90255557241608</v>
      </c>
      <c r="AG48" s="210">
        <f t="shared" si="54"/>
        <v>374.90255557241608</v>
      </c>
      <c r="AH48" s="210">
        <f t="shared" si="54"/>
        <v>374.90255557241608</v>
      </c>
      <c r="AI48" s="210">
        <f t="shared" si="54"/>
        <v>374.90255557241608</v>
      </c>
      <c r="AJ48" s="210">
        <f t="shared" si="54"/>
        <v>374.90255557241608</v>
      </c>
      <c r="AK48" s="210">
        <f t="shared" si="54"/>
        <v>374.90255557241608</v>
      </c>
      <c r="AL48" s="210">
        <f t="shared" ref="AL48:BQ48" si="55">IF(AL$22&lt;=$E$24,IF(AL$22&lt;=$D$24,IF(AL$22&lt;=$C$24,IF(AL$22&lt;=$B$24,$B114,($C31-$B31)/($C$24-$B$24)),($D31-$C31)/($D$24-$C$24)),($E31-$D31)/($E$24-$D$24)),$F114)</f>
        <v>374.90255557241608</v>
      </c>
      <c r="AM48" s="210">
        <f t="shared" si="55"/>
        <v>374.90255557241608</v>
      </c>
      <c r="AN48" s="210">
        <f t="shared" si="55"/>
        <v>374.90255557241608</v>
      </c>
      <c r="AO48" s="210">
        <f t="shared" si="55"/>
        <v>374.90255557241608</v>
      </c>
      <c r="AP48" s="210">
        <f t="shared" si="55"/>
        <v>374.90255557241608</v>
      </c>
      <c r="AQ48" s="210">
        <f t="shared" si="55"/>
        <v>374.90255557241608</v>
      </c>
      <c r="AR48" s="210">
        <f t="shared" si="55"/>
        <v>374.90255557241608</v>
      </c>
      <c r="AS48" s="210">
        <f t="shared" si="55"/>
        <v>374.90255557241608</v>
      </c>
      <c r="AT48" s="210">
        <f t="shared" si="55"/>
        <v>374.90255557241608</v>
      </c>
      <c r="AU48" s="210">
        <f t="shared" si="55"/>
        <v>374.90255557241608</v>
      </c>
      <c r="AV48" s="210">
        <f t="shared" si="55"/>
        <v>374.90255557241608</v>
      </c>
      <c r="AW48" s="210">
        <f t="shared" si="55"/>
        <v>374.90255557241608</v>
      </c>
      <c r="AX48" s="210">
        <f t="shared" si="55"/>
        <v>374.90255557241608</v>
      </c>
      <c r="AY48" s="210">
        <f t="shared" si="55"/>
        <v>374.90255557241608</v>
      </c>
      <c r="AZ48" s="210">
        <f t="shared" si="55"/>
        <v>374.90255557241608</v>
      </c>
      <c r="BA48" s="210">
        <f t="shared" si="55"/>
        <v>374.90255557241608</v>
      </c>
      <c r="BB48" s="210">
        <f t="shared" si="55"/>
        <v>374.90255557241608</v>
      </c>
      <c r="BC48" s="210">
        <f t="shared" si="55"/>
        <v>374.90255557241608</v>
      </c>
      <c r="BD48" s="210">
        <f t="shared" si="55"/>
        <v>374.90255557241608</v>
      </c>
      <c r="BE48" s="210">
        <f t="shared" si="55"/>
        <v>374.90255557241608</v>
      </c>
      <c r="BF48" s="210">
        <f t="shared" si="55"/>
        <v>374.90255557241608</v>
      </c>
      <c r="BG48" s="210">
        <f t="shared" si="55"/>
        <v>838.78439266488454</v>
      </c>
      <c r="BH48" s="210">
        <f t="shared" si="55"/>
        <v>838.78439266488454</v>
      </c>
      <c r="BI48" s="210">
        <f t="shared" si="55"/>
        <v>838.78439266488454</v>
      </c>
      <c r="BJ48" s="210">
        <f t="shared" si="55"/>
        <v>838.78439266488454</v>
      </c>
      <c r="BK48" s="210">
        <f t="shared" si="55"/>
        <v>838.78439266488454</v>
      </c>
      <c r="BL48" s="210">
        <f t="shared" si="55"/>
        <v>838.78439266488454</v>
      </c>
      <c r="BM48" s="210">
        <f t="shared" si="55"/>
        <v>838.78439266488454</v>
      </c>
      <c r="BN48" s="210">
        <f t="shared" si="55"/>
        <v>838.78439266488454</v>
      </c>
      <c r="BO48" s="210">
        <f t="shared" si="55"/>
        <v>838.78439266488454</v>
      </c>
      <c r="BP48" s="210">
        <f t="shared" si="55"/>
        <v>838.78439266488454</v>
      </c>
      <c r="BQ48" s="210">
        <f t="shared" si="55"/>
        <v>838.78439266488454</v>
      </c>
      <c r="BR48" s="210">
        <f t="shared" ref="BR48:DA48" si="56">IF(BR$22&lt;=$E$24,IF(BR$22&lt;=$D$24,IF(BR$22&lt;=$C$24,IF(BR$22&lt;=$B$24,$B114,($C31-$B31)/($C$24-$B$24)),($D31-$C31)/($D$24-$C$24)),($E31-$D31)/($E$24-$D$24)),$F114)</f>
        <v>838.78439266488454</v>
      </c>
      <c r="BS48" s="210">
        <f t="shared" si="56"/>
        <v>838.78439266488454</v>
      </c>
      <c r="BT48" s="210">
        <f t="shared" si="56"/>
        <v>838.78439266488454</v>
      </c>
      <c r="BU48" s="210">
        <f t="shared" si="56"/>
        <v>838.78439266488454</v>
      </c>
      <c r="BV48" s="210">
        <f t="shared" si="56"/>
        <v>838.78439266488454</v>
      </c>
      <c r="BW48" s="210">
        <f t="shared" si="56"/>
        <v>838.78439266488454</v>
      </c>
      <c r="BX48" s="210">
        <f t="shared" si="56"/>
        <v>838.78439266488454</v>
      </c>
      <c r="BY48" s="210">
        <f t="shared" si="56"/>
        <v>838.78439266488454</v>
      </c>
      <c r="BZ48" s="210">
        <f t="shared" si="56"/>
        <v>838.78439266488454</v>
      </c>
      <c r="CA48" s="210">
        <f t="shared" si="56"/>
        <v>838.78439266488454</v>
      </c>
      <c r="CB48" s="210">
        <f t="shared" si="56"/>
        <v>838.78439266488454</v>
      </c>
      <c r="CC48" s="210">
        <f t="shared" si="56"/>
        <v>838.78439266488454</v>
      </c>
      <c r="CD48" s="210">
        <f t="shared" si="56"/>
        <v>838.78439266488454</v>
      </c>
      <c r="CE48" s="210">
        <f t="shared" si="56"/>
        <v>838.78439266488454</v>
      </c>
      <c r="CF48" s="210">
        <f t="shared" si="56"/>
        <v>838.78439266488454</v>
      </c>
      <c r="CG48" s="210">
        <f t="shared" si="56"/>
        <v>838.78439266488454</v>
      </c>
      <c r="CH48" s="210">
        <f t="shared" si="56"/>
        <v>838.78439266488454</v>
      </c>
      <c r="CI48" s="210">
        <f t="shared" si="56"/>
        <v>-3240.5557940969843</v>
      </c>
      <c r="CJ48" s="210">
        <f t="shared" si="56"/>
        <v>-3240.5557940969843</v>
      </c>
      <c r="CK48" s="210">
        <f t="shared" si="56"/>
        <v>-3240.5557940969843</v>
      </c>
      <c r="CL48" s="210">
        <f t="shared" si="56"/>
        <v>-3240.5557940969843</v>
      </c>
      <c r="CM48" s="210">
        <f t="shared" si="56"/>
        <v>-3240.5557940969843</v>
      </c>
      <c r="CN48" s="210">
        <f t="shared" si="56"/>
        <v>-3240.5557940969843</v>
      </c>
      <c r="CO48" s="210">
        <f t="shared" si="56"/>
        <v>-3240.5557940969843</v>
      </c>
      <c r="CP48" s="210">
        <f t="shared" si="56"/>
        <v>-3240.5557940969843</v>
      </c>
      <c r="CQ48" s="210">
        <f t="shared" si="56"/>
        <v>-3240.5557940969843</v>
      </c>
      <c r="CR48" s="210">
        <f t="shared" si="56"/>
        <v>-3240.5557940969843</v>
      </c>
      <c r="CS48" s="210">
        <f t="shared" si="56"/>
        <v>-3240.5557940969843</v>
      </c>
      <c r="CT48" s="210">
        <f t="shared" si="56"/>
        <v>-3240.5557940969843</v>
      </c>
      <c r="CU48" s="210">
        <f t="shared" si="56"/>
        <v>-3240.5557940969843</v>
      </c>
      <c r="CV48" s="210">
        <f t="shared" si="56"/>
        <v>-3240.5557940969843</v>
      </c>
      <c r="CW48" s="210">
        <f t="shared" si="56"/>
        <v>-3240.5557940969843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11643.731666249563</v>
      </c>
      <c r="CJ49" s="210">
        <f t="shared" si="59"/>
        <v>11643.731666249563</v>
      </c>
      <c r="CK49" s="210">
        <f t="shared" si="59"/>
        <v>11643.731666249563</v>
      </c>
      <c r="CL49" s="210">
        <f t="shared" si="59"/>
        <v>11643.731666249563</v>
      </c>
      <c r="CM49" s="210">
        <f t="shared" si="59"/>
        <v>11643.731666249563</v>
      </c>
      <c r="CN49" s="210">
        <f t="shared" si="59"/>
        <v>11643.731666249563</v>
      </c>
      <c r="CO49" s="210">
        <f t="shared" si="59"/>
        <v>11643.731666249563</v>
      </c>
      <c r="CP49" s="210">
        <f t="shared" si="59"/>
        <v>11643.731666249563</v>
      </c>
      <c r="CQ49" s="210">
        <f t="shared" si="59"/>
        <v>11643.731666249563</v>
      </c>
      <c r="CR49" s="210">
        <f t="shared" si="59"/>
        <v>11643.731666249563</v>
      </c>
      <c r="CS49" s="210">
        <f t="shared" si="59"/>
        <v>11643.731666249563</v>
      </c>
      <c r="CT49" s="210">
        <f t="shared" si="59"/>
        <v>11643.731666249563</v>
      </c>
      <c r="CU49" s="210">
        <f t="shared" si="59"/>
        <v>11643.731666249563</v>
      </c>
      <c r="CV49" s="210">
        <f t="shared" si="59"/>
        <v>11643.731666249563</v>
      </c>
      <c r="CW49" s="210">
        <f t="shared" si="59"/>
        <v>11643.731666249563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1121.7573836670178</v>
      </c>
      <c r="BH50" s="210">
        <f t="shared" si="61"/>
        <v>1121.7573836670178</v>
      </c>
      <c r="BI50" s="210">
        <f t="shared" si="61"/>
        <v>1121.7573836670178</v>
      </c>
      <c r="BJ50" s="210">
        <f t="shared" si="61"/>
        <v>1121.7573836670178</v>
      </c>
      <c r="BK50" s="210">
        <f t="shared" si="61"/>
        <v>1121.7573836670178</v>
      </c>
      <c r="BL50" s="210">
        <f t="shared" si="61"/>
        <v>1121.7573836670178</v>
      </c>
      <c r="BM50" s="210">
        <f t="shared" si="61"/>
        <v>1121.7573836670178</v>
      </c>
      <c r="BN50" s="210">
        <f t="shared" si="61"/>
        <v>1121.7573836670178</v>
      </c>
      <c r="BO50" s="210">
        <f t="shared" si="61"/>
        <v>1121.7573836670178</v>
      </c>
      <c r="BP50" s="210">
        <f t="shared" si="61"/>
        <v>1121.7573836670178</v>
      </c>
      <c r="BQ50" s="210">
        <f t="shared" si="61"/>
        <v>1121.7573836670178</v>
      </c>
      <c r="BR50" s="210">
        <f t="shared" ref="BR50:DA50" si="62">IF(BR$22&lt;=$E$24,IF(BR$22&lt;=$D$24,IF(BR$22&lt;=$C$24,IF(BR$22&lt;=$B$24,$B116,($C33-$B33)/($C$24-$B$24)),($D33-$C33)/($D$24-$C$24)),($E33-$D33)/($E$24-$D$24)),$F116)</f>
        <v>1121.7573836670178</v>
      </c>
      <c r="BS50" s="210">
        <f t="shared" si="62"/>
        <v>1121.7573836670178</v>
      </c>
      <c r="BT50" s="210">
        <f t="shared" si="62"/>
        <v>1121.7573836670178</v>
      </c>
      <c r="BU50" s="210">
        <f t="shared" si="62"/>
        <v>1121.7573836670178</v>
      </c>
      <c r="BV50" s="210">
        <f t="shared" si="62"/>
        <v>1121.7573836670178</v>
      </c>
      <c r="BW50" s="210">
        <f t="shared" si="62"/>
        <v>1121.7573836670178</v>
      </c>
      <c r="BX50" s="210">
        <f t="shared" si="62"/>
        <v>1121.7573836670178</v>
      </c>
      <c r="BY50" s="210">
        <f t="shared" si="62"/>
        <v>1121.7573836670178</v>
      </c>
      <c r="BZ50" s="210">
        <f t="shared" si="62"/>
        <v>1121.7573836670178</v>
      </c>
      <c r="CA50" s="210">
        <f t="shared" si="62"/>
        <v>1121.7573836670178</v>
      </c>
      <c r="CB50" s="210">
        <f t="shared" si="62"/>
        <v>1121.7573836670178</v>
      </c>
      <c r="CC50" s="210">
        <f t="shared" si="62"/>
        <v>1121.7573836670178</v>
      </c>
      <c r="CD50" s="210">
        <f t="shared" si="62"/>
        <v>1121.7573836670178</v>
      </c>
      <c r="CE50" s="210">
        <f t="shared" si="62"/>
        <v>1121.7573836670178</v>
      </c>
      <c r="CF50" s="210">
        <f t="shared" si="62"/>
        <v>1121.7573836670178</v>
      </c>
      <c r="CG50" s="210">
        <f t="shared" si="62"/>
        <v>1121.7573836670178</v>
      </c>
      <c r="CH50" s="210">
        <f t="shared" si="62"/>
        <v>1121.7573836670178</v>
      </c>
      <c r="CI50" s="210">
        <f t="shared" si="62"/>
        <v>-2056.5552033895328</v>
      </c>
      <c r="CJ50" s="210">
        <f t="shared" si="62"/>
        <v>-2056.5552033895328</v>
      </c>
      <c r="CK50" s="210">
        <f t="shared" si="62"/>
        <v>-2056.5552033895328</v>
      </c>
      <c r="CL50" s="210">
        <f t="shared" si="62"/>
        <v>-2056.5552033895328</v>
      </c>
      <c r="CM50" s="210">
        <f t="shared" si="62"/>
        <v>-2056.5552033895328</v>
      </c>
      <c r="CN50" s="210">
        <f t="shared" si="62"/>
        <v>-2056.5552033895328</v>
      </c>
      <c r="CO50" s="210">
        <f t="shared" si="62"/>
        <v>-2056.5552033895328</v>
      </c>
      <c r="CP50" s="210">
        <f t="shared" si="62"/>
        <v>-2056.5552033895328</v>
      </c>
      <c r="CQ50" s="210">
        <f t="shared" si="62"/>
        <v>-2056.5552033895328</v>
      </c>
      <c r="CR50" s="210">
        <f t="shared" si="62"/>
        <v>-2056.5552033895328</v>
      </c>
      <c r="CS50" s="210">
        <f t="shared" si="62"/>
        <v>-2056.5552033895328</v>
      </c>
      <c r="CT50" s="210">
        <f t="shared" si="62"/>
        <v>-2056.5552033895328</v>
      </c>
      <c r="CU50" s="210">
        <f t="shared" si="62"/>
        <v>-2056.5552033895328</v>
      </c>
      <c r="CV50" s="210">
        <f t="shared" si="62"/>
        <v>-2056.5552033895328</v>
      </c>
      <c r="CW50" s="210">
        <f t="shared" si="62"/>
        <v>-2056.5552033895328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461.90009915700733</v>
      </c>
      <c r="BH51" s="210">
        <f t="shared" si="64"/>
        <v>461.90009915700733</v>
      </c>
      <c r="BI51" s="210">
        <f t="shared" si="64"/>
        <v>461.90009915700733</v>
      </c>
      <c r="BJ51" s="210">
        <f t="shared" si="64"/>
        <v>461.90009915700733</v>
      </c>
      <c r="BK51" s="210">
        <f t="shared" si="64"/>
        <v>461.90009915700733</v>
      </c>
      <c r="BL51" s="210">
        <f t="shared" si="64"/>
        <v>461.90009915700733</v>
      </c>
      <c r="BM51" s="210">
        <f t="shared" si="64"/>
        <v>461.90009915700733</v>
      </c>
      <c r="BN51" s="210">
        <f t="shared" si="64"/>
        <v>461.90009915700733</v>
      </c>
      <c r="BO51" s="210">
        <f t="shared" si="64"/>
        <v>461.90009915700733</v>
      </c>
      <c r="BP51" s="210">
        <f t="shared" si="64"/>
        <v>461.90009915700733</v>
      </c>
      <c r="BQ51" s="210">
        <f t="shared" si="64"/>
        <v>461.90009915700733</v>
      </c>
      <c r="BR51" s="210">
        <f t="shared" ref="BR51:DA51" si="65">IF(BR$22&lt;=$E$24,IF(BR$22&lt;=$D$24,IF(BR$22&lt;=$C$24,IF(BR$22&lt;=$B$24,$B117,($C34-$B34)/($C$24-$B$24)),($D34-$C34)/($D$24-$C$24)),($E34-$D34)/($E$24-$D$24)),$F117)</f>
        <v>461.90009915700733</v>
      </c>
      <c r="BS51" s="210">
        <f t="shared" si="65"/>
        <v>461.90009915700733</v>
      </c>
      <c r="BT51" s="210">
        <f t="shared" si="65"/>
        <v>461.90009915700733</v>
      </c>
      <c r="BU51" s="210">
        <f t="shared" si="65"/>
        <v>461.90009915700733</v>
      </c>
      <c r="BV51" s="210">
        <f t="shared" si="65"/>
        <v>461.90009915700733</v>
      </c>
      <c r="BW51" s="210">
        <f t="shared" si="65"/>
        <v>461.90009915700733</v>
      </c>
      <c r="BX51" s="210">
        <f t="shared" si="65"/>
        <v>461.90009915700733</v>
      </c>
      <c r="BY51" s="210">
        <f t="shared" si="65"/>
        <v>461.90009915700733</v>
      </c>
      <c r="BZ51" s="210">
        <f t="shared" si="65"/>
        <v>461.90009915700733</v>
      </c>
      <c r="CA51" s="210">
        <f t="shared" si="65"/>
        <v>461.90009915700733</v>
      </c>
      <c r="CB51" s="210">
        <f t="shared" si="65"/>
        <v>461.90009915700733</v>
      </c>
      <c r="CC51" s="210">
        <f t="shared" si="65"/>
        <v>461.90009915700733</v>
      </c>
      <c r="CD51" s="210">
        <f t="shared" si="65"/>
        <v>461.90009915700733</v>
      </c>
      <c r="CE51" s="210">
        <f t="shared" si="65"/>
        <v>461.90009915700733</v>
      </c>
      <c r="CF51" s="210">
        <f t="shared" si="65"/>
        <v>461.90009915700733</v>
      </c>
      <c r="CG51" s="210">
        <f t="shared" si="65"/>
        <v>461.90009915700733</v>
      </c>
      <c r="CH51" s="210">
        <f t="shared" si="65"/>
        <v>461.90009915700733</v>
      </c>
      <c r="CI51" s="210">
        <f t="shared" si="65"/>
        <v>16996.823886837021</v>
      </c>
      <c r="CJ51" s="210">
        <f t="shared" si="65"/>
        <v>16996.823886837021</v>
      </c>
      <c r="CK51" s="210">
        <f t="shared" si="65"/>
        <v>16996.823886837021</v>
      </c>
      <c r="CL51" s="210">
        <f t="shared" si="65"/>
        <v>16996.823886837021</v>
      </c>
      <c r="CM51" s="210">
        <f t="shared" si="65"/>
        <v>16996.823886837021</v>
      </c>
      <c r="CN51" s="210">
        <f t="shared" si="65"/>
        <v>16996.823886837021</v>
      </c>
      <c r="CO51" s="210">
        <f t="shared" si="65"/>
        <v>16996.823886837021</v>
      </c>
      <c r="CP51" s="210">
        <f t="shared" si="65"/>
        <v>16996.823886837021</v>
      </c>
      <c r="CQ51" s="210">
        <f t="shared" si="65"/>
        <v>16996.823886837021</v>
      </c>
      <c r="CR51" s="210">
        <f t="shared" si="65"/>
        <v>16996.823886837021</v>
      </c>
      <c r="CS51" s="210">
        <f t="shared" si="65"/>
        <v>16996.823886837021</v>
      </c>
      <c r="CT51" s="210">
        <f t="shared" si="65"/>
        <v>16996.823886837021</v>
      </c>
      <c r="CU51" s="210">
        <f t="shared" si="65"/>
        <v>16996.823886837021</v>
      </c>
      <c r="CV51" s="210">
        <f t="shared" si="65"/>
        <v>16996.823886837021</v>
      </c>
      <c r="CW51" s="210">
        <f t="shared" si="65"/>
        <v>16996.823886837021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-1.2992781453898974E-14</v>
      </c>
      <c r="Y52" s="210">
        <f t="shared" si="66"/>
        <v>-1.2992781453898974E-14</v>
      </c>
      <c r="Z52" s="210">
        <f t="shared" si="66"/>
        <v>-1.2992781453898974E-14</v>
      </c>
      <c r="AA52" s="210">
        <f t="shared" si="66"/>
        <v>-1.2992781453898974E-14</v>
      </c>
      <c r="AB52" s="210">
        <f t="shared" si="66"/>
        <v>-1.2992781453898974E-14</v>
      </c>
      <c r="AC52" s="210">
        <f t="shared" si="66"/>
        <v>-1.2992781453898974E-14</v>
      </c>
      <c r="AD52" s="210">
        <f t="shared" si="66"/>
        <v>-1.2992781453898974E-14</v>
      </c>
      <c r="AE52" s="210">
        <f t="shared" si="66"/>
        <v>-1.2992781453898974E-14</v>
      </c>
      <c r="AF52" s="210">
        <f t="shared" si="66"/>
        <v>-1.2992781453898974E-14</v>
      </c>
      <c r="AG52" s="210">
        <f t="shared" si="66"/>
        <v>-1.2992781453898974E-14</v>
      </c>
      <c r="AH52" s="210">
        <f t="shared" si="66"/>
        <v>-1.2992781453898974E-14</v>
      </c>
      <c r="AI52" s="210">
        <f t="shared" si="66"/>
        <v>-1.2992781453898974E-14</v>
      </c>
      <c r="AJ52" s="210">
        <f t="shared" si="66"/>
        <v>-1.2992781453898974E-14</v>
      </c>
      <c r="AK52" s="210">
        <f t="shared" si="66"/>
        <v>-1.2992781453898974E-14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-1.2992781453898974E-14</v>
      </c>
      <c r="AM52" s="210">
        <f t="shared" si="67"/>
        <v>-1.2992781453898974E-14</v>
      </c>
      <c r="AN52" s="210">
        <f t="shared" si="67"/>
        <v>-1.2992781453898974E-14</v>
      </c>
      <c r="AO52" s="210">
        <f t="shared" si="67"/>
        <v>-1.2992781453898974E-14</v>
      </c>
      <c r="AP52" s="210">
        <f t="shared" si="67"/>
        <v>-1.2992781453898974E-14</v>
      </c>
      <c r="AQ52" s="210">
        <f t="shared" si="67"/>
        <v>-1.2992781453898974E-14</v>
      </c>
      <c r="AR52" s="210">
        <f t="shared" si="67"/>
        <v>-1.2992781453898974E-14</v>
      </c>
      <c r="AS52" s="210">
        <f t="shared" si="67"/>
        <v>-1.2992781453898974E-14</v>
      </c>
      <c r="AT52" s="210">
        <f t="shared" si="67"/>
        <v>-1.2992781453898974E-14</v>
      </c>
      <c r="AU52" s="210">
        <f t="shared" si="67"/>
        <v>-1.2992781453898974E-14</v>
      </c>
      <c r="AV52" s="210">
        <f t="shared" si="67"/>
        <v>-1.2992781453898974E-14</v>
      </c>
      <c r="AW52" s="210">
        <f t="shared" si="67"/>
        <v>-1.2992781453898974E-14</v>
      </c>
      <c r="AX52" s="210">
        <f t="shared" si="67"/>
        <v>-1.2992781453898974E-14</v>
      </c>
      <c r="AY52" s="210">
        <f t="shared" si="67"/>
        <v>-1.2992781453898974E-14</v>
      </c>
      <c r="AZ52" s="210">
        <f t="shared" si="67"/>
        <v>-1.2992781453898974E-14</v>
      </c>
      <c r="BA52" s="210">
        <f t="shared" si="67"/>
        <v>-1.2992781453898974E-14</v>
      </c>
      <c r="BB52" s="210">
        <f t="shared" si="67"/>
        <v>-1.2992781453898974E-14</v>
      </c>
      <c r="BC52" s="210">
        <f t="shared" si="67"/>
        <v>-1.2992781453898974E-14</v>
      </c>
      <c r="BD52" s="210">
        <f t="shared" si="67"/>
        <v>-1.2992781453898974E-14</v>
      </c>
      <c r="BE52" s="210">
        <f t="shared" si="67"/>
        <v>-1.2992781453898974E-14</v>
      </c>
      <c r="BF52" s="210">
        <f t="shared" si="67"/>
        <v>-1.2992781453898974E-14</v>
      </c>
      <c r="BG52" s="210">
        <f t="shared" si="67"/>
        <v>-12.249220610251937</v>
      </c>
      <c r="BH52" s="210">
        <f t="shared" si="67"/>
        <v>-12.249220610251937</v>
      </c>
      <c r="BI52" s="210">
        <f t="shared" si="67"/>
        <v>-12.249220610251937</v>
      </c>
      <c r="BJ52" s="210">
        <f t="shared" si="67"/>
        <v>-12.249220610251937</v>
      </c>
      <c r="BK52" s="210">
        <f t="shared" si="67"/>
        <v>-12.249220610251937</v>
      </c>
      <c r="BL52" s="210">
        <f t="shared" si="67"/>
        <v>-12.249220610251937</v>
      </c>
      <c r="BM52" s="210">
        <f t="shared" si="67"/>
        <v>-12.249220610251937</v>
      </c>
      <c r="BN52" s="210">
        <f t="shared" si="67"/>
        <v>-12.249220610251937</v>
      </c>
      <c r="BO52" s="210">
        <f t="shared" si="67"/>
        <v>-12.249220610251937</v>
      </c>
      <c r="BP52" s="210">
        <f t="shared" si="67"/>
        <v>-12.249220610251937</v>
      </c>
      <c r="BQ52" s="210">
        <f t="shared" si="67"/>
        <v>-12.249220610251937</v>
      </c>
      <c r="BR52" s="210">
        <f t="shared" ref="BR52:DA52" si="68">IF(BR$22&lt;=$E$24,IF(BR$22&lt;=$D$24,IF(BR$22&lt;=$C$24,IF(BR$22&lt;=$B$24,$B118,($C35-$B35)/($C$24-$B$24)),($D35-$C35)/($D$24-$C$24)),($E35-$D35)/($E$24-$D$24)),$F118)</f>
        <v>-12.249220610251937</v>
      </c>
      <c r="BS52" s="210">
        <f t="shared" si="68"/>
        <v>-12.249220610251937</v>
      </c>
      <c r="BT52" s="210">
        <f t="shared" si="68"/>
        <v>-12.249220610251937</v>
      </c>
      <c r="BU52" s="210">
        <f t="shared" si="68"/>
        <v>-12.249220610251937</v>
      </c>
      <c r="BV52" s="210">
        <f t="shared" si="68"/>
        <v>-12.249220610251937</v>
      </c>
      <c r="BW52" s="210">
        <f t="shared" si="68"/>
        <v>-12.249220610251937</v>
      </c>
      <c r="BX52" s="210">
        <f t="shared" si="68"/>
        <v>-12.249220610251937</v>
      </c>
      <c r="BY52" s="210">
        <f t="shared" si="68"/>
        <v>-12.249220610251937</v>
      </c>
      <c r="BZ52" s="210">
        <f t="shared" si="68"/>
        <v>-12.249220610251937</v>
      </c>
      <c r="CA52" s="210">
        <f t="shared" si="68"/>
        <v>-12.249220610251937</v>
      </c>
      <c r="CB52" s="210">
        <f t="shared" si="68"/>
        <v>-12.249220610251937</v>
      </c>
      <c r="CC52" s="210">
        <f t="shared" si="68"/>
        <v>-12.249220610251937</v>
      </c>
      <c r="CD52" s="210">
        <f t="shared" si="68"/>
        <v>-12.249220610251937</v>
      </c>
      <c r="CE52" s="210">
        <f t="shared" si="68"/>
        <v>-12.249220610251937</v>
      </c>
      <c r="CF52" s="210">
        <f t="shared" si="68"/>
        <v>-12.249220610251937</v>
      </c>
      <c r="CG52" s="210">
        <f t="shared" si="68"/>
        <v>-12.249220610251937</v>
      </c>
      <c r="CH52" s="210">
        <f t="shared" si="68"/>
        <v>-12.249220610251937</v>
      </c>
      <c r="CI52" s="210">
        <f t="shared" si="68"/>
        <v>-224.56904452128518</v>
      </c>
      <c r="CJ52" s="210">
        <f t="shared" si="68"/>
        <v>-224.56904452128518</v>
      </c>
      <c r="CK52" s="210">
        <f t="shared" si="68"/>
        <v>-224.56904452128518</v>
      </c>
      <c r="CL52" s="210">
        <f t="shared" si="68"/>
        <v>-224.56904452128518</v>
      </c>
      <c r="CM52" s="210">
        <f t="shared" si="68"/>
        <v>-224.56904452128518</v>
      </c>
      <c r="CN52" s="210">
        <f t="shared" si="68"/>
        <v>-224.56904452128518</v>
      </c>
      <c r="CO52" s="210">
        <f t="shared" si="68"/>
        <v>-224.56904452128518</v>
      </c>
      <c r="CP52" s="210">
        <f t="shared" si="68"/>
        <v>-224.56904452128518</v>
      </c>
      <c r="CQ52" s="210">
        <f t="shared" si="68"/>
        <v>-224.56904452128518</v>
      </c>
      <c r="CR52" s="210">
        <f t="shared" si="68"/>
        <v>-224.56904452128518</v>
      </c>
      <c r="CS52" s="210">
        <f t="shared" si="68"/>
        <v>-224.56904452128518</v>
      </c>
      <c r="CT52" s="210">
        <f t="shared" si="68"/>
        <v>-224.56904452128518</v>
      </c>
      <c r="CU52" s="210">
        <f t="shared" si="68"/>
        <v>-224.56904452128518</v>
      </c>
      <c r="CV52" s="210">
        <f t="shared" si="68"/>
        <v>-224.56904452128518</v>
      </c>
      <c r="CW52" s="210">
        <f t="shared" si="68"/>
        <v>-224.56904452128518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-4.1576900652476718E-13</v>
      </c>
      <c r="Y53" s="210">
        <f t="shared" si="69"/>
        <v>-4.1576900652476718E-13</v>
      </c>
      <c r="Z53" s="210">
        <f t="shared" si="69"/>
        <v>-4.1576900652476718E-13</v>
      </c>
      <c r="AA53" s="210">
        <f t="shared" si="69"/>
        <v>-4.1576900652476718E-13</v>
      </c>
      <c r="AB53" s="210">
        <f t="shared" si="69"/>
        <v>-4.1576900652476718E-13</v>
      </c>
      <c r="AC53" s="210">
        <f t="shared" si="69"/>
        <v>-4.1576900652476718E-13</v>
      </c>
      <c r="AD53" s="210">
        <f t="shared" si="69"/>
        <v>-4.1576900652476718E-13</v>
      </c>
      <c r="AE53" s="210">
        <f t="shared" si="69"/>
        <v>-4.1576900652476718E-13</v>
      </c>
      <c r="AF53" s="210">
        <f t="shared" si="69"/>
        <v>-4.1576900652476718E-13</v>
      </c>
      <c r="AG53" s="210">
        <f t="shared" si="69"/>
        <v>-4.1576900652476718E-13</v>
      </c>
      <c r="AH53" s="210">
        <f t="shared" si="69"/>
        <v>-4.1576900652476718E-13</v>
      </c>
      <c r="AI53" s="210">
        <f t="shared" si="69"/>
        <v>-4.1576900652476718E-13</v>
      </c>
      <c r="AJ53" s="210">
        <f t="shared" si="69"/>
        <v>-4.1576900652476718E-13</v>
      </c>
      <c r="AK53" s="210">
        <f t="shared" si="69"/>
        <v>-4.1576900652476718E-13</v>
      </c>
      <c r="AL53" s="210">
        <f t="shared" ref="AL53:BQ53" si="70">IF(AL$22&lt;=$E$24,IF(AL$22&lt;=$D$24,IF(AL$22&lt;=$C$24,IF(AL$22&lt;=$B$24,$B119,($C36-$B36)/($C$24-$B$24)),($D36-$C36)/($D$24-$C$24)),($E36-$D36)/($E$24-$D$24)),$F119)</f>
        <v>-4.1576900652476718E-13</v>
      </c>
      <c r="AM53" s="210">
        <f t="shared" si="70"/>
        <v>-4.1576900652476718E-13</v>
      </c>
      <c r="AN53" s="210">
        <f t="shared" si="70"/>
        <v>-4.1576900652476718E-13</v>
      </c>
      <c r="AO53" s="210">
        <f t="shared" si="70"/>
        <v>-4.1576900652476718E-13</v>
      </c>
      <c r="AP53" s="210">
        <f t="shared" si="70"/>
        <v>-4.1576900652476718E-13</v>
      </c>
      <c r="AQ53" s="210">
        <f t="shared" si="70"/>
        <v>-4.1576900652476718E-13</v>
      </c>
      <c r="AR53" s="210">
        <f t="shared" si="70"/>
        <v>-4.1576900652476718E-13</v>
      </c>
      <c r="AS53" s="210">
        <f t="shared" si="70"/>
        <v>-4.1576900652476718E-13</v>
      </c>
      <c r="AT53" s="210">
        <f t="shared" si="70"/>
        <v>-4.1576900652476718E-13</v>
      </c>
      <c r="AU53" s="210">
        <f t="shared" si="70"/>
        <v>-4.1576900652476718E-13</v>
      </c>
      <c r="AV53" s="210">
        <f t="shared" si="70"/>
        <v>-4.1576900652476718E-13</v>
      </c>
      <c r="AW53" s="210">
        <f t="shared" si="70"/>
        <v>-4.1576900652476718E-13</v>
      </c>
      <c r="AX53" s="210">
        <f t="shared" si="70"/>
        <v>-4.1576900652476718E-13</v>
      </c>
      <c r="AY53" s="210">
        <f t="shared" si="70"/>
        <v>-4.1576900652476718E-13</v>
      </c>
      <c r="AZ53" s="210">
        <f t="shared" si="70"/>
        <v>-4.1576900652476718E-13</v>
      </c>
      <c r="BA53" s="210">
        <f t="shared" si="70"/>
        <v>-4.1576900652476718E-13</v>
      </c>
      <c r="BB53" s="210">
        <f t="shared" si="70"/>
        <v>-4.1576900652476718E-13</v>
      </c>
      <c r="BC53" s="210">
        <f t="shared" si="70"/>
        <v>-4.1576900652476718E-13</v>
      </c>
      <c r="BD53" s="210">
        <f t="shared" si="70"/>
        <v>-4.1576900652476718E-13</v>
      </c>
      <c r="BE53" s="210">
        <f t="shared" si="70"/>
        <v>-4.1576900652476718E-13</v>
      </c>
      <c r="BF53" s="210">
        <f t="shared" si="70"/>
        <v>-4.1576900652476718E-13</v>
      </c>
      <c r="BG53" s="210">
        <f t="shared" si="70"/>
        <v>-1088.7645194415175</v>
      </c>
      <c r="BH53" s="210">
        <f t="shared" si="70"/>
        <v>-1088.7645194415175</v>
      </c>
      <c r="BI53" s="210">
        <f t="shared" si="70"/>
        <v>-1088.7645194415175</v>
      </c>
      <c r="BJ53" s="210">
        <f t="shared" si="70"/>
        <v>-1088.7645194415175</v>
      </c>
      <c r="BK53" s="210">
        <f t="shared" si="70"/>
        <v>-1088.7645194415175</v>
      </c>
      <c r="BL53" s="210">
        <f t="shared" si="70"/>
        <v>-1088.7645194415175</v>
      </c>
      <c r="BM53" s="210">
        <f t="shared" si="70"/>
        <v>-1088.7645194415175</v>
      </c>
      <c r="BN53" s="210">
        <f t="shared" si="70"/>
        <v>-1088.7645194415175</v>
      </c>
      <c r="BO53" s="210">
        <f t="shared" si="70"/>
        <v>-1088.7645194415175</v>
      </c>
      <c r="BP53" s="210">
        <f t="shared" si="70"/>
        <v>-1088.7645194415175</v>
      </c>
      <c r="BQ53" s="210">
        <f t="shared" si="70"/>
        <v>-1088.7645194415175</v>
      </c>
      <c r="BR53" s="210">
        <f t="shared" ref="BR53:DA53" si="71">IF(BR$22&lt;=$E$24,IF(BR$22&lt;=$D$24,IF(BR$22&lt;=$C$24,IF(BR$22&lt;=$B$24,$B119,($C36-$B36)/($C$24-$B$24)),($D36-$C36)/($D$24-$C$24)),($E36-$D36)/($E$24-$D$24)),$F119)</f>
        <v>-1088.7645194415175</v>
      </c>
      <c r="BS53" s="210">
        <f t="shared" si="71"/>
        <v>-1088.7645194415175</v>
      </c>
      <c r="BT53" s="210">
        <f t="shared" si="71"/>
        <v>-1088.7645194415175</v>
      </c>
      <c r="BU53" s="210">
        <f t="shared" si="71"/>
        <v>-1088.7645194415175</v>
      </c>
      <c r="BV53" s="210">
        <f t="shared" si="71"/>
        <v>-1088.7645194415175</v>
      </c>
      <c r="BW53" s="210">
        <f t="shared" si="71"/>
        <v>-1088.7645194415175</v>
      </c>
      <c r="BX53" s="210">
        <f t="shared" si="71"/>
        <v>-1088.7645194415175</v>
      </c>
      <c r="BY53" s="210">
        <f t="shared" si="71"/>
        <v>-1088.7645194415175</v>
      </c>
      <c r="BZ53" s="210">
        <f t="shared" si="71"/>
        <v>-1088.7645194415175</v>
      </c>
      <c r="CA53" s="210">
        <f t="shared" si="71"/>
        <v>-1088.7645194415175</v>
      </c>
      <c r="CB53" s="210">
        <f t="shared" si="71"/>
        <v>-1088.7645194415175</v>
      </c>
      <c r="CC53" s="210">
        <f t="shared" si="71"/>
        <v>-1088.7645194415175</v>
      </c>
      <c r="CD53" s="210">
        <f t="shared" si="71"/>
        <v>-1088.7645194415175</v>
      </c>
      <c r="CE53" s="210">
        <f t="shared" si="71"/>
        <v>-1088.7645194415175</v>
      </c>
      <c r="CF53" s="210">
        <f t="shared" si="71"/>
        <v>-1088.7645194415175</v>
      </c>
      <c r="CG53" s="210">
        <f t="shared" si="71"/>
        <v>-1088.7645194415175</v>
      </c>
      <c r="CH53" s="210">
        <f t="shared" si="71"/>
        <v>-1088.7645194415175</v>
      </c>
      <c r="CI53" s="210">
        <f t="shared" si="71"/>
        <v>214.7285580009661</v>
      </c>
      <c r="CJ53" s="210">
        <f t="shared" si="71"/>
        <v>214.7285580009661</v>
      </c>
      <c r="CK53" s="210">
        <f t="shared" si="71"/>
        <v>214.7285580009661</v>
      </c>
      <c r="CL53" s="210">
        <f t="shared" si="71"/>
        <v>214.7285580009661</v>
      </c>
      <c r="CM53" s="210">
        <f t="shared" si="71"/>
        <v>214.7285580009661</v>
      </c>
      <c r="CN53" s="210">
        <f t="shared" si="71"/>
        <v>214.7285580009661</v>
      </c>
      <c r="CO53" s="210">
        <f t="shared" si="71"/>
        <v>214.7285580009661</v>
      </c>
      <c r="CP53" s="210">
        <f t="shared" si="71"/>
        <v>214.7285580009661</v>
      </c>
      <c r="CQ53" s="210">
        <f t="shared" si="71"/>
        <v>214.7285580009661</v>
      </c>
      <c r="CR53" s="210">
        <f t="shared" si="71"/>
        <v>214.7285580009661</v>
      </c>
      <c r="CS53" s="210">
        <f t="shared" si="71"/>
        <v>214.7285580009661</v>
      </c>
      <c r="CT53" s="210">
        <f t="shared" si="71"/>
        <v>214.7285580009661</v>
      </c>
      <c r="CU53" s="210">
        <f t="shared" si="71"/>
        <v>214.7285580009661</v>
      </c>
      <c r="CV53" s="210">
        <f t="shared" si="71"/>
        <v>214.7285580009661</v>
      </c>
      <c r="CW53" s="210">
        <f t="shared" si="71"/>
        <v>214.7285580009661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-43.204941247679265</v>
      </c>
      <c r="Y54" s="210">
        <f t="shared" si="72"/>
        <v>-43.204941247679265</v>
      </c>
      <c r="Z54" s="210">
        <f t="shared" si="72"/>
        <v>-43.204941247679265</v>
      </c>
      <c r="AA54" s="210">
        <f t="shared" si="72"/>
        <v>-43.204941247679265</v>
      </c>
      <c r="AB54" s="210">
        <f t="shared" si="72"/>
        <v>-43.204941247679265</v>
      </c>
      <c r="AC54" s="210">
        <f t="shared" si="72"/>
        <v>-43.204941247679265</v>
      </c>
      <c r="AD54" s="210">
        <f t="shared" si="72"/>
        <v>-43.204941247679265</v>
      </c>
      <c r="AE54" s="210">
        <f t="shared" si="72"/>
        <v>-43.204941247679265</v>
      </c>
      <c r="AF54" s="210">
        <f t="shared" si="72"/>
        <v>-43.204941247679265</v>
      </c>
      <c r="AG54" s="210">
        <f t="shared" si="72"/>
        <v>-43.204941247679265</v>
      </c>
      <c r="AH54" s="210">
        <f t="shared" si="72"/>
        <v>-43.204941247679265</v>
      </c>
      <c r="AI54" s="210">
        <f t="shared" si="72"/>
        <v>-43.204941247679265</v>
      </c>
      <c r="AJ54" s="210">
        <f t="shared" si="72"/>
        <v>-43.204941247679265</v>
      </c>
      <c r="AK54" s="210">
        <f t="shared" si="72"/>
        <v>-43.204941247679265</v>
      </c>
      <c r="AL54" s="210">
        <f t="shared" ref="AL54:BQ54" si="73">IF(AL$22&lt;=$E$24,IF(AL$22&lt;=$D$24,IF(AL$22&lt;=$C$24,IF(AL$22&lt;=$B$24,$B120,($C37-$B37)/($C$24-$B$24)),($D37-$C37)/($D$24-$C$24)),($E37-$D37)/($E$24-$D$24)),$F120)</f>
        <v>-43.204941247679265</v>
      </c>
      <c r="AM54" s="210">
        <f t="shared" si="73"/>
        <v>-43.204941247679265</v>
      </c>
      <c r="AN54" s="210">
        <f t="shared" si="73"/>
        <v>-43.204941247679265</v>
      </c>
      <c r="AO54" s="210">
        <f t="shared" si="73"/>
        <v>-43.204941247679265</v>
      </c>
      <c r="AP54" s="210">
        <f t="shared" si="73"/>
        <v>-43.204941247679265</v>
      </c>
      <c r="AQ54" s="210">
        <f t="shared" si="73"/>
        <v>-43.204941247679265</v>
      </c>
      <c r="AR54" s="210">
        <f t="shared" si="73"/>
        <v>-43.204941247679265</v>
      </c>
      <c r="AS54" s="210">
        <f t="shared" si="73"/>
        <v>-43.204941247679265</v>
      </c>
      <c r="AT54" s="210">
        <f t="shared" si="73"/>
        <v>-43.204941247679265</v>
      </c>
      <c r="AU54" s="210">
        <f t="shared" si="73"/>
        <v>-43.204941247679265</v>
      </c>
      <c r="AV54" s="210">
        <f t="shared" si="73"/>
        <v>-43.204941247679265</v>
      </c>
      <c r="AW54" s="210">
        <f t="shared" si="73"/>
        <v>-43.204941247679265</v>
      </c>
      <c r="AX54" s="210">
        <f t="shared" si="73"/>
        <v>-43.204941247679265</v>
      </c>
      <c r="AY54" s="210">
        <f t="shared" si="73"/>
        <v>-43.204941247679265</v>
      </c>
      <c r="AZ54" s="210">
        <f t="shared" si="73"/>
        <v>-43.204941247679265</v>
      </c>
      <c r="BA54" s="210">
        <f t="shared" si="73"/>
        <v>-43.204941247679265</v>
      </c>
      <c r="BB54" s="210">
        <f t="shared" si="73"/>
        <v>-43.204941247679265</v>
      </c>
      <c r="BC54" s="210">
        <f t="shared" si="73"/>
        <v>-43.204941247679265</v>
      </c>
      <c r="BD54" s="210">
        <f t="shared" si="73"/>
        <v>-43.204941247679265</v>
      </c>
      <c r="BE54" s="210">
        <f t="shared" si="73"/>
        <v>-43.204941247679265</v>
      </c>
      <c r="BF54" s="210">
        <f t="shared" si="73"/>
        <v>-43.204941247679265</v>
      </c>
      <c r="BG54" s="210">
        <f t="shared" si="73"/>
        <v>54.988107042500872</v>
      </c>
      <c r="BH54" s="210">
        <f t="shared" si="73"/>
        <v>54.988107042500872</v>
      </c>
      <c r="BI54" s="210">
        <f t="shared" si="73"/>
        <v>54.988107042500872</v>
      </c>
      <c r="BJ54" s="210">
        <f t="shared" si="73"/>
        <v>54.988107042500872</v>
      </c>
      <c r="BK54" s="210">
        <f t="shared" si="73"/>
        <v>54.988107042500872</v>
      </c>
      <c r="BL54" s="210">
        <f t="shared" si="73"/>
        <v>54.988107042500872</v>
      </c>
      <c r="BM54" s="210">
        <f t="shared" si="73"/>
        <v>54.988107042500872</v>
      </c>
      <c r="BN54" s="210">
        <f t="shared" si="73"/>
        <v>54.988107042500872</v>
      </c>
      <c r="BO54" s="210">
        <f t="shared" si="73"/>
        <v>54.988107042500872</v>
      </c>
      <c r="BP54" s="210">
        <f t="shared" si="73"/>
        <v>54.988107042500872</v>
      </c>
      <c r="BQ54" s="210">
        <f t="shared" si="73"/>
        <v>54.988107042500872</v>
      </c>
      <c r="BR54" s="210">
        <f t="shared" ref="BR54:DA54" si="74">IF(BR$22&lt;=$E$24,IF(BR$22&lt;=$D$24,IF(BR$22&lt;=$C$24,IF(BR$22&lt;=$B$24,$B120,($C37-$B37)/($C$24-$B$24)),($D37-$C37)/($D$24-$C$24)),($E37-$D37)/($E$24-$D$24)),$F120)</f>
        <v>54.988107042500872</v>
      </c>
      <c r="BS54" s="210">
        <f t="shared" si="74"/>
        <v>54.988107042500872</v>
      </c>
      <c r="BT54" s="210">
        <f t="shared" si="74"/>
        <v>54.988107042500872</v>
      </c>
      <c r="BU54" s="210">
        <f t="shared" si="74"/>
        <v>54.988107042500872</v>
      </c>
      <c r="BV54" s="210">
        <f t="shared" si="74"/>
        <v>54.988107042500872</v>
      </c>
      <c r="BW54" s="210">
        <f t="shared" si="74"/>
        <v>54.988107042500872</v>
      </c>
      <c r="BX54" s="210">
        <f t="shared" si="74"/>
        <v>54.988107042500872</v>
      </c>
      <c r="BY54" s="210">
        <f t="shared" si="74"/>
        <v>54.988107042500872</v>
      </c>
      <c r="BZ54" s="210">
        <f t="shared" si="74"/>
        <v>54.988107042500872</v>
      </c>
      <c r="CA54" s="210">
        <f t="shared" si="74"/>
        <v>54.988107042500872</v>
      </c>
      <c r="CB54" s="210">
        <f t="shared" si="74"/>
        <v>54.988107042500872</v>
      </c>
      <c r="CC54" s="210">
        <f t="shared" si="74"/>
        <v>54.988107042500872</v>
      </c>
      <c r="CD54" s="210">
        <f t="shared" si="74"/>
        <v>54.988107042500872</v>
      </c>
      <c r="CE54" s="210">
        <f t="shared" si="74"/>
        <v>54.988107042500872</v>
      </c>
      <c r="CF54" s="210">
        <f t="shared" si="74"/>
        <v>54.988107042500872</v>
      </c>
      <c r="CG54" s="210">
        <f t="shared" si="74"/>
        <v>54.988107042500872</v>
      </c>
      <c r="CH54" s="210">
        <f t="shared" si="74"/>
        <v>54.988107042500872</v>
      </c>
      <c r="CI54" s="210">
        <f t="shared" si="74"/>
        <v>88.210088380678542</v>
      </c>
      <c r="CJ54" s="210">
        <f t="shared" si="74"/>
        <v>88.210088380678542</v>
      </c>
      <c r="CK54" s="210">
        <f t="shared" si="74"/>
        <v>88.210088380678542</v>
      </c>
      <c r="CL54" s="210">
        <f t="shared" si="74"/>
        <v>88.210088380678542</v>
      </c>
      <c r="CM54" s="210">
        <f t="shared" si="74"/>
        <v>88.210088380678542</v>
      </c>
      <c r="CN54" s="210">
        <f t="shared" si="74"/>
        <v>88.210088380678542</v>
      </c>
      <c r="CO54" s="210">
        <f t="shared" si="74"/>
        <v>88.210088380678542</v>
      </c>
      <c r="CP54" s="210">
        <f t="shared" si="74"/>
        <v>88.210088380678542</v>
      </c>
      <c r="CQ54" s="210">
        <f t="shared" si="74"/>
        <v>88.210088380678542</v>
      </c>
      <c r="CR54" s="210">
        <f t="shared" si="74"/>
        <v>88.210088380678542</v>
      </c>
      <c r="CS54" s="210">
        <f t="shared" si="74"/>
        <v>88.210088380678542</v>
      </c>
      <c r="CT54" s="210">
        <f t="shared" si="74"/>
        <v>88.210088380678542</v>
      </c>
      <c r="CU54" s="210">
        <f t="shared" si="74"/>
        <v>88.210088380678542</v>
      </c>
      <c r="CV54" s="210">
        <f t="shared" si="74"/>
        <v>88.210088380678542</v>
      </c>
      <c r="CW54" s="210">
        <f t="shared" si="74"/>
        <v>88.210088380678542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2845.6206407791028</v>
      </c>
      <c r="G59" s="204">
        <f t="shared" si="75"/>
        <v>2845.6206407791028</v>
      </c>
      <c r="H59" s="204">
        <f t="shared" si="75"/>
        <v>2845.6206407791028</v>
      </c>
      <c r="I59" s="204">
        <f t="shared" si="75"/>
        <v>2845.6206407791028</v>
      </c>
      <c r="J59" s="204">
        <f t="shared" si="75"/>
        <v>2845.6206407791028</v>
      </c>
      <c r="K59" s="204">
        <f t="shared" si="75"/>
        <v>2845.6206407791028</v>
      </c>
      <c r="L59" s="204">
        <f t="shared" si="75"/>
        <v>2845.6206407791028</v>
      </c>
      <c r="M59" s="204">
        <f t="shared" si="75"/>
        <v>2845.6206407791028</v>
      </c>
      <c r="N59" s="204">
        <f t="shared" si="75"/>
        <v>2845.6206407791028</v>
      </c>
      <c r="O59" s="204">
        <f t="shared" si="75"/>
        <v>2845.6206407791028</v>
      </c>
      <c r="P59" s="204">
        <f t="shared" si="75"/>
        <v>2845.6206407791028</v>
      </c>
      <c r="Q59" s="204">
        <f t="shared" si="75"/>
        <v>2845.6206407791028</v>
      </c>
      <c r="R59" s="204">
        <f t="shared" si="75"/>
        <v>2845.6206407791028</v>
      </c>
      <c r="S59" s="204">
        <f t="shared" si="75"/>
        <v>2845.6206407791028</v>
      </c>
      <c r="T59" s="204">
        <f t="shared" si="75"/>
        <v>2845.6206407791028</v>
      </c>
      <c r="U59" s="204">
        <f t="shared" si="75"/>
        <v>2845.6206407791028</v>
      </c>
      <c r="V59" s="204">
        <f t="shared" si="75"/>
        <v>2845.6206407791028</v>
      </c>
      <c r="W59" s="204">
        <f t="shared" si="75"/>
        <v>2845.6206407791028</v>
      </c>
      <c r="X59" s="204">
        <f t="shared" si="75"/>
        <v>2849.8123989935339</v>
      </c>
      <c r="Y59" s="204">
        <f t="shared" si="75"/>
        <v>2858.1959154223955</v>
      </c>
      <c r="Z59" s="204">
        <f t="shared" si="75"/>
        <v>2866.5794318512576</v>
      </c>
      <c r="AA59" s="204">
        <f t="shared" si="75"/>
        <v>2874.9629482801197</v>
      </c>
      <c r="AB59" s="204">
        <f t="shared" si="75"/>
        <v>2883.3464647089813</v>
      </c>
      <c r="AC59" s="204">
        <f t="shared" si="75"/>
        <v>2891.7299811378434</v>
      </c>
      <c r="AD59" s="204">
        <f t="shared" si="75"/>
        <v>2900.1134975667055</v>
      </c>
      <c r="AE59" s="204">
        <f t="shared" si="75"/>
        <v>2908.4970139955672</v>
      </c>
      <c r="AF59" s="204">
        <f t="shared" si="75"/>
        <v>2916.8805304244293</v>
      </c>
      <c r="AG59" s="204">
        <f t="shared" si="75"/>
        <v>2925.2640468532913</v>
      </c>
      <c r="AH59" s="204">
        <f t="shared" si="75"/>
        <v>2933.647563282153</v>
      </c>
      <c r="AI59" s="204">
        <f t="shared" si="75"/>
        <v>2942.0310797110151</v>
      </c>
      <c r="AJ59" s="204">
        <f t="shared" si="75"/>
        <v>2950.4145961398772</v>
      </c>
      <c r="AK59" s="204">
        <f t="shared" si="75"/>
        <v>2958.7981125687388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2967.1816289976009</v>
      </c>
      <c r="AM59" s="204">
        <f t="shared" si="76"/>
        <v>2975.565145426463</v>
      </c>
      <c r="AN59" s="204">
        <f t="shared" si="76"/>
        <v>2983.9486618553246</v>
      </c>
      <c r="AO59" s="204">
        <f t="shared" si="76"/>
        <v>2992.3321782841867</v>
      </c>
      <c r="AP59" s="204">
        <f t="shared" si="76"/>
        <v>3000.7156947130488</v>
      </c>
      <c r="AQ59" s="204">
        <f t="shared" si="76"/>
        <v>3009.0992111419105</v>
      </c>
      <c r="AR59" s="204">
        <f t="shared" si="76"/>
        <v>3017.4827275707726</v>
      </c>
      <c r="AS59" s="204">
        <f t="shared" si="76"/>
        <v>3025.8662439996347</v>
      </c>
      <c r="AT59" s="204">
        <f t="shared" si="76"/>
        <v>3034.2497604284963</v>
      </c>
      <c r="AU59" s="204">
        <f t="shared" si="76"/>
        <v>3042.6332768573584</v>
      </c>
      <c r="AV59" s="204">
        <f t="shared" si="76"/>
        <v>3051.0167932862205</v>
      </c>
      <c r="AW59" s="204">
        <f t="shared" si="76"/>
        <v>3059.4003097150821</v>
      </c>
      <c r="AX59" s="204">
        <f t="shared" si="76"/>
        <v>3067.7838261439442</v>
      </c>
      <c r="AY59" s="204">
        <f t="shared" si="76"/>
        <v>3076.1673425728063</v>
      </c>
      <c r="AZ59" s="204">
        <f t="shared" si="76"/>
        <v>3084.550859001668</v>
      </c>
      <c r="BA59" s="204">
        <f t="shared" si="76"/>
        <v>3092.9343754305301</v>
      </c>
      <c r="BB59" s="204">
        <f t="shared" si="76"/>
        <v>3101.3178918593921</v>
      </c>
      <c r="BC59" s="204">
        <f t="shared" si="76"/>
        <v>3109.7014082882538</v>
      </c>
      <c r="BD59" s="204">
        <f t="shared" si="76"/>
        <v>3118.0849247171159</v>
      </c>
      <c r="BE59" s="204">
        <f t="shared" si="76"/>
        <v>3126.4684411459775</v>
      </c>
      <c r="BF59" s="204">
        <f t="shared" si="76"/>
        <v>3134.8519575748396</v>
      </c>
      <c r="BG59" s="204">
        <f t="shared" si="76"/>
        <v>3186.5647066627726</v>
      </c>
      <c r="BH59" s="204">
        <f t="shared" si="76"/>
        <v>3281.6066884097763</v>
      </c>
      <c r="BI59" s="204">
        <f t="shared" si="76"/>
        <v>3376.6486701567796</v>
      </c>
      <c r="BJ59" s="204">
        <f t="shared" si="76"/>
        <v>3471.6906519037834</v>
      </c>
      <c r="BK59" s="204">
        <f t="shared" si="76"/>
        <v>3566.7326336507872</v>
      </c>
      <c r="BL59" s="204">
        <f t="shared" si="76"/>
        <v>3661.774615397791</v>
      </c>
      <c r="BM59" s="204">
        <f t="shared" si="76"/>
        <v>3756.8165971447943</v>
      </c>
      <c r="BN59" s="204">
        <f t="shared" si="76"/>
        <v>3851.8585788917981</v>
      </c>
      <c r="BO59" s="204">
        <f t="shared" si="76"/>
        <v>3946.9005606388018</v>
      </c>
      <c r="BP59" s="204">
        <f t="shared" si="76"/>
        <v>4041.9425423858056</v>
      </c>
      <c r="BQ59" s="204">
        <f t="shared" si="76"/>
        <v>4136.9845241328094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4232.0265058798132</v>
      </c>
      <c r="BS59" s="204">
        <f t="shared" si="77"/>
        <v>4327.0684876268169</v>
      </c>
      <c r="BT59" s="204">
        <f t="shared" si="77"/>
        <v>4422.1104693738198</v>
      </c>
      <c r="BU59" s="204">
        <f t="shared" si="77"/>
        <v>4517.1524511208245</v>
      </c>
      <c r="BV59" s="204">
        <f t="shared" si="77"/>
        <v>4612.1944328678273</v>
      </c>
      <c r="BW59" s="204">
        <f t="shared" si="77"/>
        <v>4707.2364146148311</v>
      </c>
      <c r="BX59" s="204">
        <f t="shared" si="77"/>
        <v>4802.2783963618349</v>
      </c>
      <c r="BY59" s="204">
        <f t="shared" si="77"/>
        <v>4897.3203781088387</v>
      </c>
      <c r="BZ59" s="204">
        <f t="shared" si="77"/>
        <v>4992.3623598558424</v>
      </c>
      <c r="CA59" s="204">
        <f t="shared" si="77"/>
        <v>5087.4043416028462</v>
      </c>
      <c r="CB59" s="204">
        <f t="shared" si="77"/>
        <v>5182.44632334985</v>
      </c>
      <c r="CC59" s="204">
        <f t="shared" si="77"/>
        <v>5277.4883050968529</v>
      </c>
      <c r="CD59" s="204">
        <f t="shared" si="77"/>
        <v>5372.5302868438575</v>
      </c>
      <c r="CE59" s="204">
        <f t="shared" si="77"/>
        <v>5467.5722685908604</v>
      </c>
      <c r="CF59" s="204">
        <f t="shared" si="77"/>
        <v>5562.6142503378642</v>
      </c>
      <c r="CG59" s="204">
        <f t="shared" si="77"/>
        <v>5657.656232084868</v>
      </c>
      <c r="CH59" s="204">
        <f t="shared" si="77"/>
        <v>5752.6982138318717</v>
      </c>
      <c r="CI59" s="204">
        <f t="shared" si="77"/>
        <v>6452.6135783724721</v>
      </c>
      <c r="CJ59" s="204">
        <f t="shared" si="77"/>
        <v>7152.5289429130735</v>
      </c>
      <c r="CK59" s="204">
        <f t="shared" si="77"/>
        <v>7852.4443074536739</v>
      </c>
      <c r="CL59" s="204">
        <f t="shared" si="77"/>
        <v>8552.3596719942743</v>
      </c>
      <c r="CM59" s="204">
        <f t="shared" si="77"/>
        <v>9252.2750365348747</v>
      </c>
      <c r="CN59" s="204">
        <f t="shared" si="77"/>
        <v>9952.190401075477</v>
      </c>
      <c r="CO59" s="204">
        <f t="shared" si="77"/>
        <v>10652.105765616077</v>
      </c>
      <c r="CP59" s="204">
        <f t="shared" si="77"/>
        <v>11352.021130156678</v>
      </c>
      <c r="CQ59" s="204">
        <f t="shared" si="77"/>
        <v>12051.936494697278</v>
      </c>
      <c r="CR59" s="204">
        <f t="shared" si="77"/>
        <v>12751.851859237879</v>
      </c>
      <c r="CS59" s="204">
        <f t="shared" si="77"/>
        <v>13451.767223778479</v>
      </c>
      <c r="CT59" s="204">
        <f t="shared" si="77"/>
        <v>14151.68258831908</v>
      </c>
      <c r="CU59" s="204">
        <f t="shared" si="77"/>
        <v>14851.59795285968</v>
      </c>
      <c r="CV59" s="204">
        <f t="shared" si="77"/>
        <v>15551.51331740028</v>
      </c>
      <c r="CW59" s="204">
        <f t="shared" si="77"/>
        <v>16251.428681940881</v>
      </c>
      <c r="CX59" s="204">
        <f t="shared" si="77"/>
        <v>16357.788681940881</v>
      </c>
      <c r="CY59" s="204">
        <f t="shared" si="77"/>
        <v>16464.148681940882</v>
      </c>
      <c r="CZ59" s="204">
        <f t="shared" si="77"/>
        <v>16570.508681940883</v>
      </c>
      <c r="DA59" s="204">
        <f t="shared" si="77"/>
        <v>16676.868681940879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7165.8005278786886</v>
      </c>
      <c r="G60" s="204">
        <f t="shared" si="78"/>
        <v>6825.5405278786884</v>
      </c>
      <c r="H60" s="204">
        <f t="shared" si="78"/>
        <v>6485.2805278786882</v>
      </c>
      <c r="I60" s="204">
        <f t="shared" si="78"/>
        <v>6145.020527878688</v>
      </c>
      <c r="J60" s="204">
        <f t="shared" si="78"/>
        <v>5804.7605278786887</v>
      </c>
      <c r="K60" s="204">
        <f t="shared" si="78"/>
        <v>5464.5005278786884</v>
      </c>
      <c r="L60" s="204">
        <f t="shared" si="78"/>
        <v>5124.2405278786882</v>
      </c>
      <c r="M60" s="204">
        <f t="shared" si="78"/>
        <v>4783.980527878688</v>
      </c>
      <c r="N60" s="204">
        <f t="shared" si="78"/>
        <v>4443.7205278786878</v>
      </c>
      <c r="O60" s="204">
        <f t="shared" si="78"/>
        <v>4103.4605278786885</v>
      </c>
      <c r="P60" s="204">
        <f t="shared" si="78"/>
        <v>3763.2005278786883</v>
      </c>
      <c r="Q60" s="204">
        <f t="shared" si="78"/>
        <v>3422.940527878688</v>
      </c>
      <c r="R60" s="204">
        <f t="shared" si="78"/>
        <v>3082.6805278786878</v>
      </c>
      <c r="S60" s="204">
        <f t="shared" si="78"/>
        <v>2742.4205278786885</v>
      </c>
      <c r="T60" s="204">
        <f t="shared" si="78"/>
        <v>2402.1605278786883</v>
      </c>
      <c r="U60" s="204">
        <f t="shared" si="78"/>
        <v>2061.9005278786881</v>
      </c>
      <c r="V60" s="204">
        <f t="shared" si="78"/>
        <v>1721.6405278786883</v>
      </c>
      <c r="W60" s="204">
        <f t="shared" si="78"/>
        <v>1381.3805278786881</v>
      </c>
      <c r="X60" s="204">
        <f t="shared" si="78"/>
        <v>1240.4354656914954</v>
      </c>
      <c r="Y60" s="204">
        <f t="shared" si="78"/>
        <v>1298.8053413171101</v>
      </c>
      <c r="Z60" s="204">
        <f t="shared" si="78"/>
        <v>1357.1752169427248</v>
      </c>
      <c r="AA60" s="204">
        <f t="shared" si="78"/>
        <v>1415.5450925683394</v>
      </c>
      <c r="AB60" s="204">
        <f t="shared" si="78"/>
        <v>1473.9149681939541</v>
      </c>
      <c r="AC60" s="204">
        <f t="shared" si="78"/>
        <v>1532.2848438195688</v>
      </c>
      <c r="AD60" s="204">
        <f t="shared" si="78"/>
        <v>1590.6547194451834</v>
      </c>
      <c r="AE60" s="204">
        <f t="shared" si="78"/>
        <v>1649.0245950707981</v>
      </c>
      <c r="AF60" s="204">
        <f t="shared" si="78"/>
        <v>1707.3944706964128</v>
      </c>
      <c r="AG60" s="204">
        <f t="shared" si="78"/>
        <v>1765.7643463220274</v>
      </c>
      <c r="AH60" s="204">
        <f t="shared" si="78"/>
        <v>1824.1342219476421</v>
      </c>
      <c r="AI60" s="204">
        <f t="shared" si="78"/>
        <v>1882.5040975732568</v>
      </c>
      <c r="AJ60" s="204">
        <f t="shared" si="78"/>
        <v>1940.8739731988712</v>
      </c>
      <c r="AK60" s="204">
        <f t="shared" si="78"/>
        <v>1999.2438488244861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2057.6137244501006</v>
      </c>
      <c r="AM60" s="204">
        <f t="shared" si="79"/>
        <v>2115.9836000757155</v>
      </c>
      <c r="AN60" s="204">
        <f t="shared" si="79"/>
        <v>2174.3534757013299</v>
      </c>
      <c r="AO60" s="204">
        <f t="shared" si="79"/>
        <v>2232.7233513269448</v>
      </c>
      <c r="AP60" s="204">
        <f t="shared" si="79"/>
        <v>2291.0932269525592</v>
      </c>
      <c r="AQ60" s="204">
        <f t="shared" si="79"/>
        <v>2349.4631025781737</v>
      </c>
      <c r="AR60" s="204">
        <f t="shared" si="79"/>
        <v>2407.8329782037886</v>
      </c>
      <c r="AS60" s="204">
        <f t="shared" si="79"/>
        <v>2466.2028538294035</v>
      </c>
      <c r="AT60" s="204">
        <f t="shared" si="79"/>
        <v>2524.5727294550179</v>
      </c>
      <c r="AU60" s="204">
        <f t="shared" si="79"/>
        <v>2582.9426050806323</v>
      </c>
      <c r="AV60" s="204">
        <f t="shared" si="79"/>
        <v>2641.3124807062472</v>
      </c>
      <c r="AW60" s="204">
        <f t="shared" si="79"/>
        <v>2699.6823563318621</v>
      </c>
      <c r="AX60" s="204">
        <f t="shared" si="79"/>
        <v>2758.0522319574766</v>
      </c>
      <c r="AY60" s="204">
        <f t="shared" si="79"/>
        <v>2816.422107583091</v>
      </c>
      <c r="AZ60" s="204">
        <f t="shared" si="79"/>
        <v>2874.7919832087059</v>
      </c>
      <c r="BA60" s="204">
        <f t="shared" si="79"/>
        <v>2933.1618588343208</v>
      </c>
      <c r="BB60" s="204">
        <f t="shared" si="79"/>
        <v>2991.5317344599353</v>
      </c>
      <c r="BC60" s="204">
        <f t="shared" si="79"/>
        <v>3049.9016100855497</v>
      </c>
      <c r="BD60" s="204">
        <f t="shared" si="79"/>
        <v>3108.2714857111641</v>
      </c>
      <c r="BE60" s="204">
        <f t="shared" si="79"/>
        <v>3166.641361336779</v>
      </c>
      <c r="BF60" s="204">
        <f t="shared" si="79"/>
        <v>3225.0112369623939</v>
      </c>
      <c r="BG60" s="204">
        <f t="shared" si="79"/>
        <v>3622.4240335853083</v>
      </c>
      <c r="BH60" s="204">
        <f t="shared" si="79"/>
        <v>4358.8797512055226</v>
      </c>
      <c r="BI60" s="204">
        <f t="shared" si="79"/>
        <v>5095.3354688257368</v>
      </c>
      <c r="BJ60" s="204">
        <f t="shared" si="79"/>
        <v>5831.7911864459511</v>
      </c>
      <c r="BK60" s="204">
        <f t="shared" si="79"/>
        <v>6568.2469040661654</v>
      </c>
      <c r="BL60" s="204">
        <f t="shared" si="79"/>
        <v>7304.7026216863796</v>
      </c>
      <c r="BM60" s="204">
        <f t="shared" si="79"/>
        <v>8041.158339306593</v>
      </c>
      <c r="BN60" s="204">
        <f t="shared" si="79"/>
        <v>8777.6140569268064</v>
      </c>
      <c r="BO60" s="204">
        <f t="shared" si="79"/>
        <v>9514.0697745470206</v>
      </c>
      <c r="BP60" s="204">
        <f t="shared" si="79"/>
        <v>10250.525492167235</v>
      </c>
      <c r="BQ60" s="204">
        <f t="shared" si="79"/>
        <v>10986.981209787449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11723.436927407663</v>
      </c>
      <c r="BS60" s="204">
        <f t="shared" si="80"/>
        <v>12459.892645027878</v>
      </c>
      <c r="BT60" s="204">
        <f t="shared" si="80"/>
        <v>13196.348362648092</v>
      </c>
      <c r="BU60" s="204">
        <f t="shared" si="80"/>
        <v>13932.804080268306</v>
      </c>
      <c r="BV60" s="204">
        <f t="shared" si="80"/>
        <v>14669.259797888521</v>
      </c>
      <c r="BW60" s="204">
        <f t="shared" si="80"/>
        <v>15405.715515508735</v>
      </c>
      <c r="BX60" s="204">
        <f t="shared" si="80"/>
        <v>16142.171233128949</v>
      </c>
      <c r="BY60" s="204">
        <f t="shared" si="80"/>
        <v>16878.626950749163</v>
      </c>
      <c r="BZ60" s="204">
        <f t="shared" si="80"/>
        <v>17615.082668369378</v>
      </c>
      <c r="CA60" s="204">
        <f t="shared" si="80"/>
        <v>18351.538385989592</v>
      </c>
      <c r="CB60" s="204">
        <f t="shared" si="80"/>
        <v>19087.994103609806</v>
      </c>
      <c r="CC60" s="204">
        <f t="shared" si="80"/>
        <v>19824.449821230017</v>
      </c>
      <c r="CD60" s="204">
        <f t="shared" si="80"/>
        <v>20560.905538850231</v>
      </c>
      <c r="CE60" s="204">
        <f t="shared" si="80"/>
        <v>21297.361256470445</v>
      </c>
      <c r="CF60" s="204">
        <f t="shared" si="80"/>
        <v>22033.81697409066</v>
      </c>
      <c r="CG60" s="204">
        <f t="shared" si="80"/>
        <v>22770.272691710874</v>
      </c>
      <c r="CH60" s="204">
        <f t="shared" si="80"/>
        <v>23506.728409331088</v>
      </c>
      <c r="CI60" s="204">
        <f t="shared" si="80"/>
        <v>25352.965559138695</v>
      </c>
      <c r="CJ60" s="204">
        <f t="shared" si="80"/>
        <v>27199.202708946294</v>
      </c>
      <c r="CK60" s="204">
        <f t="shared" si="80"/>
        <v>29045.439858753896</v>
      </c>
      <c r="CL60" s="204">
        <f t="shared" si="80"/>
        <v>30891.677008561499</v>
      </c>
      <c r="CM60" s="204">
        <f t="shared" si="80"/>
        <v>32737.914158369102</v>
      </c>
      <c r="CN60" s="204">
        <f t="shared" si="80"/>
        <v>34584.151308176704</v>
      </c>
      <c r="CO60" s="204">
        <f t="shared" si="80"/>
        <v>36430.3884579843</v>
      </c>
      <c r="CP60" s="204">
        <f t="shared" si="80"/>
        <v>38276.625607791902</v>
      </c>
      <c r="CQ60" s="204">
        <f t="shared" si="80"/>
        <v>40122.862757599505</v>
      </c>
      <c r="CR60" s="204">
        <f t="shared" si="80"/>
        <v>41969.099907407108</v>
      </c>
      <c r="CS60" s="204">
        <f t="shared" si="80"/>
        <v>43815.337057214711</v>
      </c>
      <c r="CT60" s="204">
        <f t="shared" si="80"/>
        <v>45661.574207022306</v>
      </c>
      <c r="CU60" s="204">
        <f t="shared" si="80"/>
        <v>47507.811356829916</v>
      </c>
      <c r="CV60" s="204">
        <f t="shared" si="80"/>
        <v>49354.048506637511</v>
      </c>
      <c r="CW60" s="204">
        <f t="shared" si="80"/>
        <v>51200.285656445114</v>
      </c>
      <c r="CX60" s="204">
        <f t="shared" si="80"/>
        <v>51925.145656445115</v>
      </c>
      <c r="CY60" s="204">
        <f t="shared" si="80"/>
        <v>52650.005656445115</v>
      </c>
      <c r="CZ60" s="204">
        <f t="shared" si="80"/>
        <v>53374.865656445116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54099.725656445116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1037.0605064843123</v>
      </c>
      <c r="G61" s="204">
        <f t="shared" si="81"/>
        <v>1037.0605064843123</v>
      </c>
      <c r="H61" s="204">
        <f t="shared" si="81"/>
        <v>1037.0605064843123</v>
      </c>
      <c r="I61" s="204">
        <f t="shared" si="81"/>
        <v>1037.0605064843123</v>
      </c>
      <c r="J61" s="204">
        <f t="shared" si="81"/>
        <v>1037.0605064843123</v>
      </c>
      <c r="K61" s="204">
        <f t="shared" si="81"/>
        <v>1037.0605064843123</v>
      </c>
      <c r="L61" s="204">
        <f t="shared" si="81"/>
        <v>1037.0605064843123</v>
      </c>
      <c r="M61" s="204">
        <f t="shared" si="81"/>
        <v>1037.0605064843123</v>
      </c>
      <c r="N61" s="204">
        <f t="shared" si="81"/>
        <v>1037.0605064843123</v>
      </c>
      <c r="O61" s="204">
        <f t="shared" si="81"/>
        <v>1037.0605064843123</v>
      </c>
      <c r="P61" s="204">
        <f t="shared" si="81"/>
        <v>1037.0605064843123</v>
      </c>
      <c r="Q61" s="204">
        <f t="shared" si="81"/>
        <v>1037.0605064843123</v>
      </c>
      <c r="R61" s="204">
        <f t="shared" si="81"/>
        <v>1037.0605064843123</v>
      </c>
      <c r="S61" s="204">
        <f t="shared" si="81"/>
        <v>1037.0605064843123</v>
      </c>
      <c r="T61" s="204">
        <f t="shared" si="81"/>
        <v>1037.0605064843123</v>
      </c>
      <c r="U61" s="204">
        <f t="shared" si="81"/>
        <v>1037.0605064843123</v>
      </c>
      <c r="V61" s="204">
        <f t="shared" si="81"/>
        <v>1037.0605064843123</v>
      </c>
      <c r="W61" s="204">
        <f t="shared" si="81"/>
        <v>1037.0605064843123</v>
      </c>
      <c r="X61" s="204">
        <f t="shared" si="81"/>
        <v>1051.5384398962813</v>
      </c>
      <c r="Y61" s="204">
        <f t="shared" si="81"/>
        <v>1080.4943067202191</v>
      </c>
      <c r="Z61" s="204">
        <f t="shared" si="81"/>
        <v>1109.4501735441568</v>
      </c>
      <c r="AA61" s="204">
        <f t="shared" si="81"/>
        <v>1138.4060403680946</v>
      </c>
      <c r="AB61" s="204">
        <f t="shared" si="81"/>
        <v>1167.3619071920325</v>
      </c>
      <c r="AC61" s="204">
        <f t="shared" si="81"/>
        <v>1196.3177740159701</v>
      </c>
      <c r="AD61" s="204">
        <f t="shared" si="81"/>
        <v>1225.273640839908</v>
      </c>
      <c r="AE61" s="204">
        <f t="shared" si="81"/>
        <v>1254.2295076638459</v>
      </c>
      <c r="AF61" s="204">
        <f t="shared" si="81"/>
        <v>1283.1853744877835</v>
      </c>
      <c r="AG61" s="204">
        <f t="shared" si="81"/>
        <v>1312.1412413117214</v>
      </c>
      <c r="AH61" s="204">
        <f t="shared" si="81"/>
        <v>1341.0971081356593</v>
      </c>
      <c r="AI61" s="204">
        <f t="shared" si="81"/>
        <v>1370.0529749595971</v>
      </c>
      <c r="AJ61" s="204">
        <f t="shared" si="81"/>
        <v>1399.0088417835348</v>
      </c>
      <c r="AK61" s="204">
        <f t="shared" si="81"/>
        <v>1427.9647086074726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1456.9205754314103</v>
      </c>
      <c r="AM61" s="204">
        <f t="shared" si="82"/>
        <v>1485.8764422553481</v>
      </c>
      <c r="AN61" s="204">
        <f t="shared" si="82"/>
        <v>1514.832309079286</v>
      </c>
      <c r="AO61" s="204">
        <f t="shared" si="82"/>
        <v>1543.7881759032239</v>
      </c>
      <c r="AP61" s="204">
        <f t="shared" si="82"/>
        <v>1572.7440427271615</v>
      </c>
      <c r="AQ61" s="204">
        <f t="shared" si="82"/>
        <v>1601.6999095510994</v>
      </c>
      <c r="AR61" s="204">
        <f t="shared" si="82"/>
        <v>1630.655776375037</v>
      </c>
      <c r="AS61" s="204">
        <f t="shared" si="82"/>
        <v>1659.6116431989749</v>
      </c>
      <c r="AT61" s="204">
        <f t="shared" si="82"/>
        <v>1688.5675100229128</v>
      </c>
      <c r="AU61" s="204">
        <f t="shared" si="82"/>
        <v>1717.5233768468506</v>
      </c>
      <c r="AV61" s="204">
        <f t="shared" si="82"/>
        <v>1746.4792436707885</v>
      </c>
      <c r="AW61" s="204">
        <f t="shared" si="82"/>
        <v>1775.4351104947261</v>
      </c>
      <c r="AX61" s="204">
        <f t="shared" si="82"/>
        <v>1804.3909773186638</v>
      </c>
      <c r="AY61" s="204">
        <f t="shared" si="82"/>
        <v>1833.3468441426016</v>
      </c>
      <c r="AZ61" s="204">
        <f t="shared" si="82"/>
        <v>1862.3027109665395</v>
      </c>
      <c r="BA61" s="204">
        <f t="shared" si="82"/>
        <v>1891.2585777904774</v>
      </c>
      <c r="BB61" s="204">
        <f t="shared" si="82"/>
        <v>1920.2144446144152</v>
      </c>
      <c r="BC61" s="204">
        <f t="shared" si="82"/>
        <v>1949.1703114383529</v>
      </c>
      <c r="BD61" s="204">
        <f t="shared" si="82"/>
        <v>1978.1261782622908</v>
      </c>
      <c r="BE61" s="204">
        <f t="shared" si="82"/>
        <v>2007.0820450862284</v>
      </c>
      <c r="BF61" s="204">
        <f t="shared" si="82"/>
        <v>2036.0379119101663</v>
      </c>
      <c r="BG61" s="204">
        <f t="shared" si="82"/>
        <v>2061.8154781301846</v>
      </c>
      <c r="BH61" s="204">
        <f t="shared" si="82"/>
        <v>2084.4147437462834</v>
      </c>
      <c r="BI61" s="204">
        <f t="shared" si="82"/>
        <v>2107.0140093623822</v>
      </c>
      <c r="BJ61" s="204">
        <f t="shared" si="82"/>
        <v>2129.6132749784811</v>
      </c>
      <c r="BK61" s="204">
        <f t="shared" si="82"/>
        <v>2152.2125405945799</v>
      </c>
      <c r="BL61" s="204">
        <f t="shared" si="82"/>
        <v>2174.8118062106782</v>
      </c>
      <c r="BM61" s="204">
        <f t="shared" si="82"/>
        <v>2197.4110718267771</v>
      </c>
      <c r="BN61" s="204">
        <f t="shared" si="82"/>
        <v>2220.0103374428759</v>
      </c>
      <c r="BO61" s="204">
        <f t="shared" si="82"/>
        <v>2242.6096030589747</v>
      </c>
      <c r="BP61" s="204">
        <f t="shared" si="82"/>
        <v>2265.2088686750735</v>
      </c>
      <c r="BQ61" s="204">
        <f t="shared" si="82"/>
        <v>2287.8081342911723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2310.4073999072712</v>
      </c>
      <c r="BS61" s="204">
        <f t="shared" si="83"/>
        <v>2333.00666552337</v>
      </c>
      <c r="BT61" s="204">
        <f t="shared" si="83"/>
        <v>2355.6059311394683</v>
      </c>
      <c r="BU61" s="204">
        <f t="shared" si="83"/>
        <v>2378.2051967555672</v>
      </c>
      <c r="BV61" s="204">
        <f t="shared" si="83"/>
        <v>2400.804462371666</v>
      </c>
      <c r="BW61" s="204">
        <f t="shared" si="83"/>
        <v>2423.4037279877648</v>
      </c>
      <c r="BX61" s="204">
        <f t="shared" si="83"/>
        <v>2446.0029936038636</v>
      </c>
      <c r="BY61" s="204">
        <f t="shared" si="83"/>
        <v>2468.6022592199624</v>
      </c>
      <c r="BZ61" s="204">
        <f t="shared" si="83"/>
        <v>2491.2015248360613</v>
      </c>
      <c r="CA61" s="204">
        <f t="shared" si="83"/>
        <v>2513.8007904521601</v>
      </c>
      <c r="CB61" s="204">
        <f t="shared" si="83"/>
        <v>2536.4000560682589</v>
      </c>
      <c r="CC61" s="204">
        <f t="shared" si="83"/>
        <v>2558.9993216843577</v>
      </c>
      <c r="CD61" s="204">
        <f t="shared" si="83"/>
        <v>2581.5985873004565</v>
      </c>
      <c r="CE61" s="204">
        <f t="shared" si="83"/>
        <v>2604.1978529165549</v>
      </c>
      <c r="CF61" s="204">
        <f t="shared" si="83"/>
        <v>2626.7971185326537</v>
      </c>
      <c r="CG61" s="204">
        <f t="shared" si="83"/>
        <v>2649.3963841487525</v>
      </c>
      <c r="CH61" s="204">
        <f t="shared" si="83"/>
        <v>2671.9956497648514</v>
      </c>
      <c r="CI61" s="204">
        <f t="shared" si="83"/>
        <v>2716.9285873512522</v>
      </c>
      <c r="CJ61" s="204">
        <f t="shared" si="83"/>
        <v>2761.8615249376535</v>
      </c>
      <c r="CK61" s="204">
        <f t="shared" si="83"/>
        <v>2806.7944625240543</v>
      </c>
      <c r="CL61" s="204">
        <f t="shared" si="83"/>
        <v>2851.7274001104556</v>
      </c>
      <c r="CM61" s="204">
        <f t="shared" si="83"/>
        <v>2896.6603376968565</v>
      </c>
      <c r="CN61" s="204">
        <f t="shared" si="83"/>
        <v>2941.5932752832578</v>
      </c>
      <c r="CO61" s="204">
        <f t="shared" si="83"/>
        <v>2986.5262128696586</v>
      </c>
      <c r="CP61" s="204">
        <f t="shared" si="83"/>
        <v>3031.4591504560594</v>
      </c>
      <c r="CQ61" s="204">
        <f t="shared" si="83"/>
        <v>3076.3920880424607</v>
      </c>
      <c r="CR61" s="204">
        <f t="shared" si="83"/>
        <v>3121.3250256288616</v>
      </c>
      <c r="CS61" s="204">
        <f t="shared" si="83"/>
        <v>3166.2579632152629</v>
      </c>
      <c r="CT61" s="204">
        <f t="shared" si="83"/>
        <v>3211.1909008016637</v>
      </c>
      <c r="CU61" s="204">
        <f t="shared" si="83"/>
        <v>3256.1238383880645</v>
      </c>
      <c r="CV61" s="204">
        <f t="shared" si="83"/>
        <v>3301.0567759744658</v>
      </c>
      <c r="CW61" s="204">
        <f t="shared" si="83"/>
        <v>3345.9897135608667</v>
      </c>
      <c r="CX61" s="204">
        <f t="shared" si="83"/>
        <v>3354.4207135608667</v>
      </c>
      <c r="CY61" s="204">
        <f t="shared" si="83"/>
        <v>3362.8517135608668</v>
      </c>
      <c r="CZ61" s="204">
        <f t="shared" si="83"/>
        <v>3371.2827135608668</v>
      </c>
      <c r="DA61" s="204">
        <f t="shared" si="83"/>
        <v>3379.7137135608668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151.21729436687741</v>
      </c>
      <c r="BH62" s="204">
        <f t="shared" si="85"/>
        <v>453.65188310063223</v>
      </c>
      <c r="BI62" s="204">
        <f t="shared" si="85"/>
        <v>756.08647183438711</v>
      </c>
      <c r="BJ62" s="204">
        <f t="shared" si="85"/>
        <v>1058.5210605681418</v>
      </c>
      <c r="BK62" s="204">
        <f t="shared" si="85"/>
        <v>1360.9556493018968</v>
      </c>
      <c r="BL62" s="204">
        <f t="shared" si="85"/>
        <v>1663.3902380356515</v>
      </c>
      <c r="BM62" s="204">
        <f t="shared" si="85"/>
        <v>1965.8248267694064</v>
      </c>
      <c r="BN62" s="204">
        <f t="shared" si="85"/>
        <v>2268.2594155031611</v>
      </c>
      <c r="BO62" s="204">
        <f t="shared" si="85"/>
        <v>2570.694004236916</v>
      </c>
      <c r="BP62" s="204">
        <f t="shared" si="85"/>
        <v>2873.128592970671</v>
      </c>
      <c r="BQ62" s="204">
        <f t="shared" si="85"/>
        <v>3175.5631817044255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3477.9977704381804</v>
      </c>
      <c r="BS62" s="204">
        <f t="shared" si="86"/>
        <v>3780.4323591719353</v>
      </c>
      <c r="BT62" s="204">
        <f t="shared" si="86"/>
        <v>4082.8669479056903</v>
      </c>
      <c r="BU62" s="204">
        <f t="shared" si="86"/>
        <v>4385.3015366394447</v>
      </c>
      <c r="BV62" s="204">
        <f t="shared" si="86"/>
        <v>4687.7361253731997</v>
      </c>
      <c r="BW62" s="204">
        <f t="shared" si="86"/>
        <v>4990.1707141069546</v>
      </c>
      <c r="BX62" s="204">
        <f t="shared" si="86"/>
        <v>5292.6053028407096</v>
      </c>
      <c r="BY62" s="204">
        <f t="shared" si="86"/>
        <v>5595.0398915744645</v>
      </c>
      <c r="BZ62" s="204">
        <f t="shared" si="86"/>
        <v>5897.4744803082194</v>
      </c>
      <c r="CA62" s="204">
        <f t="shared" si="86"/>
        <v>6199.9090690419735</v>
      </c>
      <c r="CB62" s="204">
        <f t="shared" si="86"/>
        <v>6502.3436577757284</v>
      </c>
      <c r="CC62" s="204">
        <f t="shared" si="86"/>
        <v>6804.7782465094833</v>
      </c>
      <c r="CD62" s="204">
        <f t="shared" si="86"/>
        <v>7107.2128352432383</v>
      </c>
      <c r="CE62" s="204">
        <f t="shared" si="86"/>
        <v>7409.6474239769932</v>
      </c>
      <c r="CF62" s="204">
        <f t="shared" si="86"/>
        <v>7712.0820127107481</v>
      </c>
      <c r="CG62" s="204">
        <f t="shared" si="86"/>
        <v>8014.5166014445031</v>
      </c>
      <c r="CH62" s="204">
        <f t="shared" si="86"/>
        <v>8316.9511901782571</v>
      </c>
      <c r="CI62" s="204">
        <f t="shared" si="86"/>
        <v>9022.6318972236859</v>
      </c>
      <c r="CJ62" s="204">
        <f t="shared" si="86"/>
        <v>9728.3126042691129</v>
      </c>
      <c r="CK62" s="204">
        <f t="shared" si="86"/>
        <v>10433.993311314542</v>
      </c>
      <c r="CL62" s="204">
        <f t="shared" si="86"/>
        <v>11139.67401835997</v>
      </c>
      <c r="CM62" s="204">
        <f t="shared" si="86"/>
        <v>11845.354725405399</v>
      </c>
      <c r="CN62" s="204">
        <f t="shared" si="86"/>
        <v>12551.035432450826</v>
      </c>
      <c r="CO62" s="204">
        <f t="shared" si="86"/>
        <v>13256.716139496255</v>
      </c>
      <c r="CP62" s="204">
        <f t="shared" si="86"/>
        <v>13962.396846541684</v>
      </c>
      <c r="CQ62" s="204">
        <f t="shared" si="86"/>
        <v>14668.077553587111</v>
      </c>
      <c r="CR62" s="204">
        <f t="shared" si="86"/>
        <v>15373.75826063254</v>
      </c>
      <c r="CS62" s="204">
        <f t="shared" si="86"/>
        <v>16079.438967677968</v>
      </c>
      <c r="CT62" s="204">
        <f t="shared" si="86"/>
        <v>16785.119674723395</v>
      </c>
      <c r="CU62" s="204">
        <f t="shared" si="86"/>
        <v>17490.800381768822</v>
      </c>
      <c r="CV62" s="204">
        <f t="shared" si="86"/>
        <v>18196.481088814253</v>
      </c>
      <c r="CW62" s="204">
        <f t="shared" si="86"/>
        <v>18902.16179585968</v>
      </c>
      <c r="CX62" s="204">
        <f t="shared" si="86"/>
        <v>18902.16179585968</v>
      </c>
      <c r="CY62" s="204">
        <f t="shared" si="86"/>
        <v>18902.16179585968</v>
      </c>
      <c r="CZ62" s="204">
        <f t="shared" si="86"/>
        <v>18902.16179585968</v>
      </c>
      <c r="DA62" s="204">
        <f t="shared" si="86"/>
        <v>18902.16179585968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1209.7383549350195</v>
      </c>
      <c r="G63" s="204">
        <f t="shared" si="87"/>
        <v>1209.7383549350195</v>
      </c>
      <c r="H63" s="204">
        <f t="shared" si="87"/>
        <v>1209.7383549350195</v>
      </c>
      <c r="I63" s="204">
        <f t="shared" si="87"/>
        <v>1209.7383549350195</v>
      </c>
      <c r="J63" s="204">
        <f t="shared" si="87"/>
        <v>1209.7383549350195</v>
      </c>
      <c r="K63" s="204">
        <f t="shared" si="87"/>
        <v>1209.7383549350195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1209.7383549350195</v>
      </c>
      <c r="M63" s="204">
        <f t="shared" si="87"/>
        <v>1209.7383549350195</v>
      </c>
      <c r="N63" s="204">
        <f t="shared" si="87"/>
        <v>1209.7383549350195</v>
      </c>
      <c r="O63" s="204">
        <f t="shared" si="87"/>
        <v>1209.7383549350195</v>
      </c>
      <c r="P63" s="204">
        <f t="shared" si="87"/>
        <v>1209.7383549350195</v>
      </c>
      <c r="Q63" s="204">
        <f t="shared" si="87"/>
        <v>1209.7383549350195</v>
      </c>
      <c r="R63" s="204">
        <f t="shared" si="87"/>
        <v>1209.7383549350195</v>
      </c>
      <c r="S63" s="204">
        <f t="shared" si="87"/>
        <v>1209.7383549350195</v>
      </c>
      <c r="T63" s="204">
        <f t="shared" si="87"/>
        <v>1209.7383549350195</v>
      </c>
      <c r="U63" s="204">
        <f t="shared" si="87"/>
        <v>1209.7383549350195</v>
      </c>
      <c r="V63" s="204">
        <f t="shared" si="87"/>
        <v>1209.7383549350195</v>
      </c>
      <c r="W63" s="204">
        <f t="shared" si="87"/>
        <v>1209.7383549350195</v>
      </c>
      <c r="X63" s="204">
        <f t="shared" si="87"/>
        <v>1285.3578033537701</v>
      </c>
      <c r="Y63" s="204">
        <f t="shared" si="87"/>
        <v>1436.5967001912713</v>
      </c>
      <c r="Z63" s="204">
        <f t="shared" si="87"/>
        <v>1587.8355970287726</v>
      </c>
      <c r="AA63" s="204">
        <f t="shared" si="87"/>
        <v>1739.0744938662738</v>
      </c>
      <c r="AB63" s="204">
        <f t="shared" si="87"/>
        <v>1890.313390703775</v>
      </c>
      <c r="AC63" s="204">
        <f t="shared" si="87"/>
        <v>2041.5522875412762</v>
      </c>
      <c r="AD63" s="204">
        <f t="shared" si="87"/>
        <v>2192.7911843787774</v>
      </c>
      <c r="AE63" s="204">
        <f t="shared" si="87"/>
        <v>2344.0300812162786</v>
      </c>
      <c r="AF63" s="204">
        <f t="shared" si="87"/>
        <v>2495.2689780537798</v>
      </c>
      <c r="AG63" s="204">
        <f t="shared" si="87"/>
        <v>2646.5078748912811</v>
      </c>
      <c r="AH63" s="204">
        <f t="shared" si="87"/>
        <v>2797.7467717287823</v>
      </c>
      <c r="AI63" s="204">
        <f t="shared" si="87"/>
        <v>2948.9856685662835</v>
      </c>
      <c r="AJ63" s="204">
        <f t="shared" si="87"/>
        <v>3100.2245654037847</v>
      </c>
      <c r="AK63" s="204">
        <f t="shared" si="87"/>
        <v>3251.4634622412859</v>
      </c>
      <c r="AL63" s="204">
        <f t="shared" si="87"/>
        <v>3402.7023590787876</v>
      </c>
      <c r="AM63" s="204">
        <f t="shared" si="87"/>
        <v>3553.9412559162884</v>
      </c>
      <c r="AN63" s="204">
        <f t="shared" si="87"/>
        <v>3705.18015275379</v>
      </c>
      <c r="AO63" s="204">
        <f t="shared" si="87"/>
        <v>3856.4190495912908</v>
      </c>
      <c r="AP63" s="204">
        <f t="shared" si="87"/>
        <v>4007.6579464287925</v>
      </c>
      <c r="AQ63" s="204">
        <f t="shared" si="87"/>
        <v>4158.8968432662932</v>
      </c>
      <c r="AR63" s="204">
        <f t="shared" si="87"/>
        <v>4310.1357401037949</v>
      </c>
      <c r="AS63" s="204">
        <f t="shared" si="87"/>
        <v>4461.3746369412956</v>
      </c>
      <c r="AT63" s="204">
        <f t="shared" si="87"/>
        <v>4612.6135337787973</v>
      </c>
      <c r="AU63" s="204">
        <f t="shared" si="87"/>
        <v>4763.8524306162981</v>
      </c>
      <c r="AV63" s="204">
        <f t="shared" si="87"/>
        <v>4915.0913274537997</v>
      </c>
      <c r="AW63" s="204">
        <f t="shared" si="87"/>
        <v>5066.3302242913005</v>
      </c>
      <c r="AX63" s="204">
        <f t="shared" si="87"/>
        <v>5217.5691211288022</v>
      </c>
      <c r="AY63" s="204">
        <f t="shared" si="87"/>
        <v>5368.8080179663029</v>
      </c>
      <c r="AZ63" s="204">
        <f t="shared" si="87"/>
        <v>5520.0469148038046</v>
      </c>
      <c r="BA63" s="204">
        <f t="shared" si="87"/>
        <v>5671.2858116413054</v>
      </c>
      <c r="BB63" s="204">
        <f t="shared" si="87"/>
        <v>5822.524708478807</v>
      </c>
      <c r="BC63" s="204">
        <f t="shared" si="87"/>
        <v>5973.7636053163078</v>
      </c>
      <c r="BD63" s="204">
        <f t="shared" si="87"/>
        <v>6125.0025021538095</v>
      </c>
      <c r="BE63" s="204">
        <f t="shared" si="87"/>
        <v>6276.2413989913102</v>
      </c>
      <c r="BF63" s="204">
        <f t="shared" si="87"/>
        <v>6427.4802958288119</v>
      </c>
      <c r="BG63" s="204">
        <f t="shared" si="87"/>
        <v>6790.1239159826555</v>
      </c>
      <c r="BH63" s="204">
        <f t="shared" si="87"/>
        <v>7364.1722594528437</v>
      </c>
      <c r="BI63" s="204">
        <f t="shared" si="87"/>
        <v>7938.220602923031</v>
      </c>
      <c r="BJ63" s="204">
        <f t="shared" si="87"/>
        <v>8512.2689463932202</v>
      </c>
      <c r="BK63" s="204">
        <f t="shared" si="87"/>
        <v>9086.3172898634075</v>
      </c>
      <c r="BL63" s="204">
        <f t="shared" si="87"/>
        <v>9660.3656333335948</v>
      </c>
      <c r="BM63" s="204">
        <f t="shared" si="87"/>
        <v>10234.413976803782</v>
      </c>
      <c r="BN63" s="204">
        <f t="shared" si="87"/>
        <v>10808.462320273971</v>
      </c>
      <c r="BO63" s="204">
        <f t="shared" si="87"/>
        <v>11382.510663744159</v>
      </c>
      <c r="BP63" s="204">
        <f t="shared" si="87"/>
        <v>11956.559007214346</v>
      </c>
      <c r="BQ63" s="204">
        <f t="shared" si="87"/>
        <v>12530.607350684535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13104.655694154722</v>
      </c>
      <c r="BS63" s="204">
        <f t="shared" si="89"/>
        <v>13678.70403762491</v>
      </c>
      <c r="BT63" s="204">
        <f t="shared" si="89"/>
        <v>14252.752381095099</v>
      </c>
      <c r="BU63" s="204">
        <f t="shared" si="89"/>
        <v>14826.800724565286</v>
      </c>
      <c r="BV63" s="204">
        <f t="shared" si="89"/>
        <v>15400.849068035473</v>
      </c>
      <c r="BW63" s="204">
        <f t="shared" si="89"/>
        <v>15974.897411505663</v>
      </c>
      <c r="BX63" s="204">
        <f t="shared" si="89"/>
        <v>16548.945754975852</v>
      </c>
      <c r="BY63" s="204">
        <f t="shared" si="89"/>
        <v>17122.994098446037</v>
      </c>
      <c r="BZ63" s="204">
        <f t="shared" si="89"/>
        <v>17697.042441916226</v>
      </c>
      <c r="CA63" s="204">
        <f t="shared" si="89"/>
        <v>18271.090785386412</v>
      </c>
      <c r="CB63" s="204">
        <f t="shared" si="89"/>
        <v>18845.139128856601</v>
      </c>
      <c r="CC63" s="204">
        <f t="shared" si="89"/>
        <v>19419.18747232679</v>
      </c>
      <c r="CD63" s="204">
        <f t="shared" si="89"/>
        <v>19993.235815796979</v>
      </c>
      <c r="CE63" s="204">
        <f t="shared" si="89"/>
        <v>20567.284159267165</v>
      </c>
      <c r="CF63" s="204">
        <f t="shared" si="89"/>
        <v>21141.33250273735</v>
      </c>
      <c r="CG63" s="204">
        <f t="shared" si="89"/>
        <v>21715.380846207539</v>
      </c>
      <c r="CH63" s="204">
        <f t="shared" si="89"/>
        <v>22289.429189677729</v>
      </c>
      <c r="CI63" s="204">
        <f t="shared" si="89"/>
        <v>23153.005954924571</v>
      </c>
      <c r="CJ63" s="204">
        <f t="shared" si="89"/>
        <v>24016.582720171413</v>
      </c>
      <c r="CK63" s="204">
        <f t="shared" si="89"/>
        <v>24880.159485418255</v>
      </c>
      <c r="CL63" s="204">
        <f t="shared" si="89"/>
        <v>25743.736250665097</v>
      </c>
      <c r="CM63" s="204">
        <f t="shared" si="89"/>
        <v>26607.313015911939</v>
      </c>
      <c r="CN63" s="204">
        <f t="shared" si="89"/>
        <v>27470.889781158785</v>
      </c>
      <c r="CO63" s="204">
        <f t="shared" si="89"/>
        <v>28334.466546405627</v>
      </c>
      <c r="CP63" s="204">
        <f t="shared" si="89"/>
        <v>29198.043311652469</v>
      </c>
      <c r="CQ63" s="204">
        <f t="shared" si="89"/>
        <v>30061.620076899311</v>
      </c>
      <c r="CR63" s="204">
        <f t="shared" si="89"/>
        <v>30925.196842146153</v>
      </c>
      <c r="CS63" s="204">
        <f t="shared" si="89"/>
        <v>31788.773607392999</v>
      </c>
      <c r="CT63" s="204">
        <f t="shared" si="89"/>
        <v>32652.350372639841</v>
      </c>
      <c r="CU63" s="204">
        <f t="shared" si="89"/>
        <v>33515.927137886683</v>
      </c>
      <c r="CV63" s="204">
        <f t="shared" si="89"/>
        <v>34379.503903133525</v>
      </c>
      <c r="CW63" s="204">
        <f t="shared" si="89"/>
        <v>35243.080668380368</v>
      </c>
      <c r="CX63" s="204">
        <f t="shared" si="89"/>
        <v>35243.080668380368</v>
      </c>
      <c r="CY63" s="204">
        <f t="shared" si="89"/>
        <v>35243.080668380368</v>
      </c>
      <c r="CZ63" s="204">
        <f t="shared" si="89"/>
        <v>35243.080668380368</v>
      </c>
      <c r="DA63" s="204">
        <f t="shared" si="89"/>
        <v>35243.080668380368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12420.176668135882</v>
      </c>
      <c r="G65" s="204">
        <f t="shared" si="92"/>
        <v>12420.176668135882</v>
      </c>
      <c r="H65" s="204">
        <f t="shared" si="92"/>
        <v>12420.176668135882</v>
      </c>
      <c r="I65" s="204">
        <f t="shared" si="92"/>
        <v>12420.176668135882</v>
      </c>
      <c r="J65" s="204">
        <f t="shared" si="92"/>
        <v>12420.176668135882</v>
      </c>
      <c r="K65" s="204">
        <f t="shared" si="92"/>
        <v>12420.176668135882</v>
      </c>
      <c r="L65" s="204">
        <f t="shared" si="88"/>
        <v>12420.176668135882</v>
      </c>
      <c r="M65" s="204">
        <f t="shared" si="92"/>
        <v>12420.176668135882</v>
      </c>
      <c r="N65" s="204">
        <f t="shared" si="92"/>
        <v>12420.176668135882</v>
      </c>
      <c r="O65" s="204">
        <f t="shared" si="92"/>
        <v>12420.176668135882</v>
      </c>
      <c r="P65" s="204">
        <f t="shared" si="92"/>
        <v>12420.176668135882</v>
      </c>
      <c r="Q65" s="204">
        <f t="shared" si="92"/>
        <v>12420.176668135882</v>
      </c>
      <c r="R65" s="204">
        <f t="shared" si="92"/>
        <v>12420.176668135882</v>
      </c>
      <c r="S65" s="204">
        <f t="shared" si="92"/>
        <v>12420.176668135882</v>
      </c>
      <c r="T65" s="204">
        <f t="shared" si="92"/>
        <v>12420.176668135882</v>
      </c>
      <c r="U65" s="204">
        <f t="shared" si="92"/>
        <v>12420.176668135882</v>
      </c>
      <c r="V65" s="204">
        <f t="shared" si="92"/>
        <v>12420.176668135882</v>
      </c>
      <c r="W65" s="204">
        <f t="shared" si="92"/>
        <v>12420.176668135882</v>
      </c>
      <c r="X65" s="204">
        <f t="shared" si="92"/>
        <v>12607.62794592209</v>
      </c>
      <c r="Y65" s="204">
        <f t="shared" si="92"/>
        <v>12982.530501494506</v>
      </c>
      <c r="Z65" s="204">
        <f t="shared" si="92"/>
        <v>13357.433057066923</v>
      </c>
      <c r="AA65" s="204">
        <f t="shared" si="92"/>
        <v>13732.335612639339</v>
      </c>
      <c r="AB65" s="204">
        <f t="shared" si="92"/>
        <v>14107.238168211754</v>
      </c>
      <c r="AC65" s="204">
        <f t="shared" si="92"/>
        <v>14482.14072378417</v>
      </c>
      <c r="AD65" s="204">
        <f t="shared" si="92"/>
        <v>14857.043279356587</v>
      </c>
      <c r="AE65" s="204">
        <f t="shared" si="92"/>
        <v>15231.945834929003</v>
      </c>
      <c r="AF65" s="204">
        <f t="shared" si="92"/>
        <v>15606.848390501418</v>
      </c>
      <c r="AG65" s="204">
        <f t="shared" si="92"/>
        <v>15981.750946073835</v>
      </c>
      <c r="AH65" s="204">
        <f t="shared" si="92"/>
        <v>16356.653501646251</v>
      </c>
      <c r="AI65" s="204">
        <f t="shared" si="92"/>
        <v>16731.556057218666</v>
      </c>
      <c r="AJ65" s="204">
        <f t="shared" si="92"/>
        <v>17106.458612791084</v>
      </c>
      <c r="AK65" s="204">
        <f t="shared" si="92"/>
        <v>17481.361168363499</v>
      </c>
      <c r="AL65" s="204">
        <f t="shared" si="92"/>
        <v>17856.263723935917</v>
      </c>
      <c r="AM65" s="204">
        <f t="shared" si="92"/>
        <v>18231.166279508332</v>
      </c>
      <c r="AN65" s="204">
        <f t="shared" si="92"/>
        <v>18606.068835080747</v>
      </c>
      <c r="AO65" s="204">
        <f t="shared" si="92"/>
        <v>18980.971390653162</v>
      </c>
      <c r="AP65" s="204">
        <f t="shared" si="92"/>
        <v>19355.87394622558</v>
      </c>
      <c r="AQ65" s="204">
        <f t="shared" si="92"/>
        <v>19730.776501797995</v>
      </c>
      <c r="AR65" s="204">
        <f t="shared" si="92"/>
        <v>20105.679057370413</v>
      </c>
      <c r="AS65" s="204">
        <f t="shared" si="92"/>
        <v>20480.581612942828</v>
      </c>
      <c r="AT65" s="204">
        <f t="shared" si="92"/>
        <v>20855.484168515242</v>
      </c>
      <c r="AU65" s="204">
        <f t="shared" si="92"/>
        <v>21230.386724087661</v>
      </c>
      <c r="AV65" s="204">
        <f t="shared" si="92"/>
        <v>21605.289279660075</v>
      </c>
      <c r="AW65" s="204">
        <f t="shared" si="92"/>
        <v>21980.191835232494</v>
      </c>
      <c r="AX65" s="204">
        <f t="shared" si="92"/>
        <v>22355.094390804908</v>
      </c>
      <c r="AY65" s="204">
        <f t="shared" si="92"/>
        <v>22729.996946377323</v>
      </c>
      <c r="AZ65" s="204">
        <f t="shared" si="92"/>
        <v>23104.899501949738</v>
      </c>
      <c r="BA65" s="204">
        <f t="shared" si="92"/>
        <v>23479.802057522156</v>
      </c>
      <c r="BB65" s="204">
        <f t="shared" si="92"/>
        <v>23854.704613094575</v>
      </c>
      <c r="BC65" s="204">
        <f t="shared" si="92"/>
        <v>24229.607168666989</v>
      </c>
      <c r="BD65" s="204">
        <f t="shared" si="92"/>
        <v>24604.509724239404</v>
      </c>
      <c r="BE65" s="204">
        <f t="shared" si="92"/>
        <v>24979.412279811819</v>
      </c>
      <c r="BF65" s="204">
        <f t="shared" si="92"/>
        <v>25354.314835384237</v>
      </c>
      <c r="BG65" s="204">
        <f t="shared" si="92"/>
        <v>25961.158309502887</v>
      </c>
      <c r="BH65" s="204">
        <f t="shared" si="92"/>
        <v>26799.942702167769</v>
      </c>
      <c r="BI65" s="204">
        <f t="shared" si="92"/>
        <v>27638.727094832655</v>
      </c>
      <c r="BJ65" s="204">
        <f t="shared" si="92"/>
        <v>28477.511487497541</v>
      </c>
      <c r="BK65" s="204">
        <f t="shared" si="92"/>
        <v>29316.295880162426</v>
      </c>
      <c r="BL65" s="204">
        <f t="shared" si="92"/>
        <v>30155.080272827308</v>
      </c>
      <c r="BM65" s="204">
        <f t="shared" si="92"/>
        <v>30993.864665492194</v>
      </c>
      <c r="BN65" s="204">
        <f t="shared" si="92"/>
        <v>31832.64905815708</v>
      </c>
      <c r="BO65" s="204">
        <f t="shared" si="92"/>
        <v>32671.433450821962</v>
      </c>
      <c r="BP65" s="204">
        <f t="shared" si="92"/>
        <v>33510.217843486847</v>
      </c>
      <c r="BQ65" s="204">
        <f t="shared" si="92"/>
        <v>34349.002236151733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35187.786628816619</v>
      </c>
      <c r="BS65" s="204">
        <f t="shared" si="93"/>
        <v>36026.571021481504</v>
      </c>
      <c r="BT65" s="204">
        <f t="shared" si="93"/>
        <v>36865.355414146383</v>
      </c>
      <c r="BU65" s="204">
        <f t="shared" si="93"/>
        <v>37704.139806811268</v>
      </c>
      <c r="BV65" s="204">
        <f t="shared" si="93"/>
        <v>38542.924199476154</v>
      </c>
      <c r="BW65" s="204">
        <f t="shared" si="93"/>
        <v>39381.70859214104</v>
      </c>
      <c r="BX65" s="204">
        <f t="shared" si="93"/>
        <v>40220.492984805926</v>
      </c>
      <c r="BY65" s="204">
        <f t="shared" si="93"/>
        <v>41059.277377470804</v>
      </c>
      <c r="BZ65" s="204">
        <f t="shared" si="93"/>
        <v>41898.061770135697</v>
      </c>
      <c r="CA65" s="204">
        <f t="shared" si="93"/>
        <v>42736.846162800575</v>
      </c>
      <c r="CB65" s="204">
        <f t="shared" si="93"/>
        <v>43575.630555465461</v>
      </c>
      <c r="CC65" s="204">
        <f t="shared" si="93"/>
        <v>44414.414948130347</v>
      </c>
      <c r="CD65" s="204">
        <f t="shared" si="93"/>
        <v>45253.199340795232</v>
      </c>
      <c r="CE65" s="204">
        <f t="shared" si="93"/>
        <v>46091.983733460118</v>
      </c>
      <c r="CF65" s="204">
        <f t="shared" si="93"/>
        <v>46930.768126124996</v>
      </c>
      <c r="CG65" s="204">
        <f t="shared" si="93"/>
        <v>47769.552518789889</v>
      </c>
      <c r="CH65" s="204">
        <f t="shared" si="93"/>
        <v>48608.336911454768</v>
      </c>
      <c r="CI65" s="204">
        <f t="shared" si="93"/>
        <v>45367.781117357787</v>
      </c>
      <c r="CJ65" s="204">
        <f t="shared" si="93"/>
        <v>42127.225323260798</v>
      </c>
      <c r="CK65" s="204">
        <f t="shared" si="93"/>
        <v>38886.669529163817</v>
      </c>
      <c r="CL65" s="204">
        <f t="shared" si="93"/>
        <v>35646.113735066829</v>
      </c>
      <c r="CM65" s="204">
        <f t="shared" si="93"/>
        <v>32405.557940969848</v>
      </c>
      <c r="CN65" s="204">
        <f t="shared" si="93"/>
        <v>29165.002146872863</v>
      </c>
      <c r="CO65" s="204">
        <f t="shared" si="93"/>
        <v>25924.446352775878</v>
      </c>
      <c r="CP65" s="204">
        <f t="shared" si="93"/>
        <v>22683.890558678893</v>
      </c>
      <c r="CQ65" s="204">
        <f t="shared" si="93"/>
        <v>19443.334764581909</v>
      </c>
      <c r="CR65" s="204">
        <f t="shared" si="93"/>
        <v>16202.778970484924</v>
      </c>
      <c r="CS65" s="204">
        <f t="shared" si="93"/>
        <v>12962.223176387939</v>
      </c>
      <c r="CT65" s="204">
        <f t="shared" si="93"/>
        <v>9721.6673822909579</v>
      </c>
      <c r="CU65" s="204">
        <f t="shared" si="93"/>
        <v>6481.1115881939695</v>
      </c>
      <c r="CV65" s="204">
        <f t="shared" si="93"/>
        <v>3240.5557940969884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11643.731666249563</v>
      </c>
      <c r="CJ66" s="204">
        <f t="shared" si="95"/>
        <v>23287.463332499126</v>
      </c>
      <c r="CK66" s="204">
        <f t="shared" si="95"/>
        <v>34931.194998748688</v>
      </c>
      <c r="CL66" s="204">
        <f t="shared" si="95"/>
        <v>46574.926664998253</v>
      </c>
      <c r="CM66" s="204">
        <f t="shared" si="95"/>
        <v>58218.658331247818</v>
      </c>
      <c r="CN66" s="204">
        <f t="shared" si="95"/>
        <v>69862.389997497376</v>
      </c>
      <c r="CO66" s="204">
        <f t="shared" si="95"/>
        <v>81506.121663746948</v>
      </c>
      <c r="CP66" s="204">
        <f t="shared" si="95"/>
        <v>93149.853329996506</v>
      </c>
      <c r="CQ66" s="204">
        <f t="shared" si="95"/>
        <v>104793.58499624606</v>
      </c>
      <c r="CR66" s="204">
        <f t="shared" si="95"/>
        <v>116437.31666249564</v>
      </c>
      <c r="CS66" s="204">
        <f t="shared" si="95"/>
        <v>128081.04832874519</v>
      </c>
      <c r="CT66" s="204">
        <f t="shared" si="95"/>
        <v>139724.77999499475</v>
      </c>
      <c r="CU66" s="204">
        <f t="shared" si="95"/>
        <v>151368.51166124432</v>
      </c>
      <c r="CV66" s="204">
        <f t="shared" si="95"/>
        <v>163012.2433274939</v>
      </c>
      <c r="CW66" s="204">
        <f t="shared" si="95"/>
        <v>174655.97499374344</v>
      </c>
      <c r="CX66" s="204">
        <f t="shared" si="95"/>
        <v>177327.67499374345</v>
      </c>
      <c r="CY66" s="204">
        <f t="shared" si="95"/>
        <v>179999.37499374343</v>
      </c>
      <c r="CZ66" s="204">
        <f t="shared" si="95"/>
        <v>182671.07499374344</v>
      </c>
      <c r="DA66" s="204">
        <f t="shared" si="95"/>
        <v>185342.77499374343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560.87869183350892</v>
      </c>
      <c r="BH67" s="204">
        <f t="shared" si="96"/>
        <v>1682.6360755005267</v>
      </c>
      <c r="BI67" s="204">
        <f t="shared" si="96"/>
        <v>2804.3934591675447</v>
      </c>
      <c r="BJ67" s="204">
        <f t="shared" si="96"/>
        <v>3926.1508428345624</v>
      </c>
      <c r="BK67" s="204">
        <f t="shared" si="96"/>
        <v>5047.9082265015804</v>
      </c>
      <c r="BL67" s="204">
        <f t="shared" si="96"/>
        <v>6169.6656101685985</v>
      </c>
      <c r="BM67" s="204">
        <f t="shared" si="96"/>
        <v>7291.4229938356157</v>
      </c>
      <c r="BN67" s="204">
        <f t="shared" si="96"/>
        <v>8413.1803775026347</v>
      </c>
      <c r="BO67" s="204">
        <f t="shared" si="96"/>
        <v>9534.9377611696509</v>
      </c>
      <c r="BP67" s="204">
        <f t="shared" si="96"/>
        <v>10656.695144836669</v>
      </c>
      <c r="BQ67" s="204">
        <f t="shared" si="96"/>
        <v>11778.452528503687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12900.209912170705</v>
      </c>
      <c r="BS67" s="204">
        <f t="shared" si="97"/>
        <v>14021.967295837723</v>
      </c>
      <c r="BT67" s="204">
        <f t="shared" si="97"/>
        <v>15143.724679504741</v>
      </c>
      <c r="BU67" s="204">
        <f t="shared" si="97"/>
        <v>16265.482063171759</v>
      </c>
      <c r="BV67" s="204">
        <f t="shared" si="97"/>
        <v>17387.239446838776</v>
      </c>
      <c r="BW67" s="204">
        <f t="shared" si="97"/>
        <v>18508.996830505796</v>
      </c>
      <c r="BX67" s="204">
        <f t="shared" si="97"/>
        <v>19630.754214172812</v>
      </c>
      <c r="BY67" s="204">
        <f t="shared" si="97"/>
        <v>20752.511597839832</v>
      </c>
      <c r="BZ67" s="204">
        <f t="shared" si="97"/>
        <v>21874.268981506848</v>
      </c>
      <c r="CA67" s="204">
        <f t="shared" si="97"/>
        <v>22996.026365173864</v>
      </c>
      <c r="CB67" s="204">
        <f t="shared" si="97"/>
        <v>24117.783748840884</v>
      </c>
      <c r="CC67" s="204">
        <f t="shared" si="97"/>
        <v>25239.5411325079</v>
      </c>
      <c r="CD67" s="204">
        <f t="shared" si="97"/>
        <v>26361.29851617492</v>
      </c>
      <c r="CE67" s="204">
        <f t="shared" si="97"/>
        <v>27483.055899841936</v>
      </c>
      <c r="CF67" s="204">
        <f t="shared" si="97"/>
        <v>28604.813283508956</v>
      </c>
      <c r="CG67" s="204">
        <f t="shared" si="97"/>
        <v>29726.570667175973</v>
      </c>
      <c r="CH67" s="204">
        <f t="shared" si="97"/>
        <v>30848.328050842993</v>
      </c>
      <c r="CI67" s="204">
        <f t="shared" si="97"/>
        <v>28791.77284745346</v>
      </c>
      <c r="CJ67" s="204">
        <f t="shared" si="97"/>
        <v>26735.217644063927</v>
      </c>
      <c r="CK67" s="204">
        <f t="shared" si="97"/>
        <v>24678.662440674394</v>
      </c>
      <c r="CL67" s="204">
        <f t="shared" si="97"/>
        <v>22622.107237284861</v>
      </c>
      <c r="CM67" s="204">
        <f t="shared" si="97"/>
        <v>20565.552033895328</v>
      </c>
      <c r="CN67" s="204">
        <f t="shared" si="97"/>
        <v>18508.996830505796</v>
      </c>
      <c r="CO67" s="204">
        <f t="shared" si="97"/>
        <v>16452.441627116263</v>
      </c>
      <c r="CP67" s="204">
        <f t="shared" si="97"/>
        <v>14395.88642372673</v>
      </c>
      <c r="CQ67" s="204">
        <f t="shared" si="97"/>
        <v>12339.331220337197</v>
      </c>
      <c r="CR67" s="204">
        <f t="shared" si="97"/>
        <v>10282.776016947664</v>
      </c>
      <c r="CS67" s="204">
        <f t="shared" si="97"/>
        <v>8226.2208135581313</v>
      </c>
      <c r="CT67" s="204">
        <f t="shared" si="97"/>
        <v>6169.6656101685985</v>
      </c>
      <c r="CU67" s="204">
        <f t="shared" si="97"/>
        <v>4113.1104067790657</v>
      </c>
      <c r="CV67" s="204">
        <f t="shared" si="97"/>
        <v>2056.5552033895328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230.95004957850367</v>
      </c>
      <c r="BH68" s="204">
        <f t="shared" si="98"/>
        <v>692.85014873551097</v>
      </c>
      <c r="BI68" s="204">
        <f t="shared" si="98"/>
        <v>1154.7502478925182</v>
      </c>
      <c r="BJ68" s="204">
        <f t="shared" si="98"/>
        <v>1616.6503470495256</v>
      </c>
      <c r="BK68" s="204">
        <f t="shared" si="98"/>
        <v>2078.5504462065328</v>
      </c>
      <c r="BL68" s="204">
        <f t="shared" si="98"/>
        <v>2540.4505453635402</v>
      </c>
      <c r="BM68" s="204">
        <f t="shared" si="98"/>
        <v>3002.3506445205476</v>
      </c>
      <c r="BN68" s="204">
        <f t="shared" si="98"/>
        <v>3464.250743677555</v>
      </c>
      <c r="BO68" s="204">
        <f t="shared" si="98"/>
        <v>3926.1508428345624</v>
      </c>
      <c r="BP68" s="204">
        <f t="shared" si="98"/>
        <v>4388.0509419915697</v>
      </c>
      <c r="BQ68" s="204">
        <f t="shared" si="98"/>
        <v>4849.9510411485771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5311.8511403055845</v>
      </c>
      <c r="BS68" s="204">
        <f t="shared" si="99"/>
        <v>5773.7512394625919</v>
      </c>
      <c r="BT68" s="204">
        <f t="shared" si="99"/>
        <v>6235.6513386195993</v>
      </c>
      <c r="BU68" s="204">
        <f t="shared" si="99"/>
        <v>6697.5514377766067</v>
      </c>
      <c r="BV68" s="204">
        <f t="shared" si="99"/>
        <v>7159.4515369336141</v>
      </c>
      <c r="BW68" s="204">
        <f t="shared" si="99"/>
        <v>7621.3516360906206</v>
      </c>
      <c r="BX68" s="204">
        <f t="shared" si="99"/>
        <v>8083.2517352476279</v>
      </c>
      <c r="BY68" s="204">
        <f t="shared" si="99"/>
        <v>8545.1518344046362</v>
      </c>
      <c r="BZ68" s="204">
        <f t="shared" si="99"/>
        <v>9007.0519335616427</v>
      </c>
      <c r="CA68" s="204">
        <f t="shared" si="99"/>
        <v>9468.952032718651</v>
      </c>
      <c r="CB68" s="204">
        <f t="shared" si="99"/>
        <v>9930.8521318756575</v>
      </c>
      <c r="CC68" s="204">
        <f t="shared" si="99"/>
        <v>10392.752231032666</v>
      </c>
      <c r="CD68" s="204">
        <f t="shared" si="99"/>
        <v>10854.652330189672</v>
      </c>
      <c r="CE68" s="204">
        <f t="shared" si="99"/>
        <v>11316.552429346679</v>
      </c>
      <c r="CF68" s="204">
        <f t="shared" si="99"/>
        <v>11778.452528503687</v>
      </c>
      <c r="CG68" s="204">
        <f t="shared" si="99"/>
        <v>12240.352627660694</v>
      </c>
      <c r="CH68" s="204">
        <f t="shared" si="99"/>
        <v>12702.252726817702</v>
      </c>
      <c r="CI68" s="204">
        <f t="shared" si="99"/>
        <v>29699.076613654724</v>
      </c>
      <c r="CJ68" s="204">
        <f t="shared" si="99"/>
        <v>46695.900500491742</v>
      </c>
      <c r="CK68" s="204">
        <f t="shared" si="99"/>
        <v>63692.724387328759</v>
      </c>
      <c r="CL68" s="204">
        <f t="shared" si="99"/>
        <v>80689.548274165791</v>
      </c>
      <c r="CM68" s="204">
        <f t="shared" si="99"/>
        <v>97686.372161002815</v>
      </c>
      <c r="CN68" s="204">
        <f t="shared" si="99"/>
        <v>114683.19604783983</v>
      </c>
      <c r="CO68" s="204">
        <f t="shared" si="99"/>
        <v>131680.01993467685</v>
      </c>
      <c r="CP68" s="204">
        <f t="shared" si="99"/>
        <v>148676.84382151387</v>
      </c>
      <c r="CQ68" s="204">
        <f t="shared" si="99"/>
        <v>165673.6677083509</v>
      </c>
      <c r="CR68" s="204">
        <f t="shared" si="99"/>
        <v>182670.49159518792</v>
      </c>
      <c r="CS68" s="204">
        <f t="shared" si="99"/>
        <v>199667.31548202495</v>
      </c>
      <c r="CT68" s="204">
        <f t="shared" si="99"/>
        <v>216664.13936886194</v>
      </c>
      <c r="CU68" s="204">
        <f t="shared" si="99"/>
        <v>233660.96325569897</v>
      </c>
      <c r="CV68" s="204">
        <f t="shared" si="99"/>
        <v>250657.78714253599</v>
      </c>
      <c r="CW68" s="204">
        <f t="shared" si="99"/>
        <v>267654.61102937302</v>
      </c>
      <c r="CX68" s="204">
        <f t="shared" si="99"/>
        <v>273858.11102937302</v>
      </c>
      <c r="CY68" s="204">
        <f t="shared" si="99"/>
        <v>280061.61102937302</v>
      </c>
      <c r="CZ68" s="204">
        <f t="shared" si="99"/>
        <v>286265.11102937302</v>
      </c>
      <c r="DA68" s="204">
        <f t="shared" si="99"/>
        <v>292468.61102937302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3705.3892346012062</v>
      </c>
      <c r="G69" s="204">
        <f t="shared" si="100"/>
        <v>3705.3892346012062</v>
      </c>
      <c r="H69" s="204">
        <f t="shared" si="100"/>
        <v>3705.3892346012062</v>
      </c>
      <c r="I69" s="204">
        <f t="shared" si="100"/>
        <v>3705.3892346012062</v>
      </c>
      <c r="J69" s="204">
        <f t="shared" si="100"/>
        <v>3705.3892346012062</v>
      </c>
      <c r="K69" s="204">
        <f t="shared" si="100"/>
        <v>3705.3892346012062</v>
      </c>
      <c r="L69" s="204">
        <f t="shared" si="88"/>
        <v>3705.3892346012062</v>
      </c>
      <c r="M69" s="204">
        <f t="shared" si="100"/>
        <v>3705.3892346012062</v>
      </c>
      <c r="N69" s="204">
        <f t="shared" si="100"/>
        <v>3705.3892346012062</v>
      </c>
      <c r="O69" s="204">
        <f t="shared" si="100"/>
        <v>3705.3892346012062</v>
      </c>
      <c r="P69" s="204">
        <f t="shared" si="100"/>
        <v>3705.3892346012062</v>
      </c>
      <c r="Q69" s="204">
        <f t="shared" si="100"/>
        <v>3705.3892346012062</v>
      </c>
      <c r="R69" s="204">
        <f t="shared" si="100"/>
        <v>3705.3892346012062</v>
      </c>
      <c r="S69" s="204">
        <f t="shared" si="100"/>
        <v>3705.3892346012062</v>
      </c>
      <c r="T69" s="204">
        <f t="shared" si="100"/>
        <v>3705.3892346012062</v>
      </c>
      <c r="U69" s="204">
        <f t="shared" si="100"/>
        <v>3705.3892346012062</v>
      </c>
      <c r="V69" s="204">
        <f t="shared" si="100"/>
        <v>3705.3892346012062</v>
      </c>
      <c r="W69" s="204">
        <f t="shared" si="100"/>
        <v>3705.3892346012062</v>
      </c>
      <c r="X69" s="204">
        <f t="shared" si="100"/>
        <v>3705.3892346012062</v>
      </c>
      <c r="Y69" s="204">
        <f t="shared" si="100"/>
        <v>3705.3892346012062</v>
      </c>
      <c r="Z69" s="204">
        <f t="shared" si="100"/>
        <v>3705.3892346012062</v>
      </c>
      <c r="AA69" s="204">
        <f t="shared" si="100"/>
        <v>3705.3892346012062</v>
      </c>
      <c r="AB69" s="204">
        <f t="shared" si="100"/>
        <v>3705.3892346012062</v>
      </c>
      <c r="AC69" s="204">
        <f t="shared" si="100"/>
        <v>3705.3892346012062</v>
      </c>
      <c r="AD69" s="204">
        <f t="shared" si="100"/>
        <v>3705.3892346012062</v>
      </c>
      <c r="AE69" s="204">
        <f t="shared" si="100"/>
        <v>3705.3892346012062</v>
      </c>
      <c r="AF69" s="204">
        <f t="shared" si="100"/>
        <v>3705.3892346012062</v>
      </c>
      <c r="AG69" s="204">
        <f t="shared" si="100"/>
        <v>3705.3892346012062</v>
      </c>
      <c r="AH69" s="204">
        <f t="shared" si="100"/>
        <v>3705.3892346012062</v>
      </c>
      <c r="AI69" s="204">
        <f t="shared" si="100"/>
        <v>3705.3892346012062</v>
      </c>
      <c r="AJ69" s="204">
        <f t="shared" si="100"/>
        <v>3705.3892346012062</v>
      </c>
      <c r="AK69" s="204">
        <f t="shared" si="100"/>
        <v>3705.3892346012062</v>
      </c>
      <c r="AL69" s="204">
        <f t="shared" si="100"/>
        <v>3705.3892346012062</v>
      </c>
      <c r="AM69" s="204">
        <f t="shared" si="100"/>
        <v>3705.3892346012062</v>
      </c>
      <c r="AN69" s="204">
        <f t="shared" si="100"/>
        <v>3705.3892346012062</v>
      </c>
      <c r="AO69" s="204">
        <f t="shared" si="100"/>
        <v>3705.3892346012062</v>
      </c>
      <c r="AP69" s="204">
        <f t="shared" si="100"/>
        <v>3705.3892346012058</v>
      </c>
      <c r="AQ69" s="204">
        <f t="shared" si="100"/>
        <v>3705.3892346012058</v>
      </c>
      <c r="AR69" s="204">
        <f t="shared" si="100"/>
        <v>3705.3892346012058</v>
      </c>
      <c r="AS69" s="204">
        <f t="shared" si="100"/>
        <v>3705.3892346012058</v>
      </c>
      <c r="AT69" s="204">
        <f t="shared" si="100"/>
        <v>3705.3892346012058</v>
      </c>
      <c r="AU69" s="204">
        <f t="shared" si="100"/>
        <v>3705.3892346012058</v>
      </c>
      <c r="AV69" s="204">
        <f t="shared" si="100"/>
        <v>3705.3892346012058</v>
      </c>
      <c r="AW69" s="204">
        <f t="shared" si="100"/>
        <v>3705.3892346012058</v>
      </c>
      <c r="AX69" s="204">
        <f t="shared" si="100"/>
        <v>3705.3892346012058</v>
      </c>
      <c r="AY69" s="204">
        <f t="shared" si="100"/>
        <v>3705.3892346012058</v>
      </c>
      <c r="AZ69" s="204">
        <f t="shared" si="100"/>
        <v>3705.3892346012058</v>
      </c>
      <c r="BA69" s="204">
        <f t="shared" si="100"/>
        <v>3705.3892346012058</v>
      </c>
      <c r="BB69" s="204">
        <f t="shared" si="100"/>
        <v>3705.3892346012058</v>
      </c>
      <c r="BC69" s="204">
        <f t="shared" si="100"/>
        <v>3705.3892346012058</v>
      </c>
      <c r="BD69" s="204">
        <f t="shared" si="100"/>
        <v>3705.3892346012058</v>
      </c>
      <c r="BE69" s="204">
        <f t="shared" si="100"/>
        <v>3705.3892346012058</v>
      </c>
      <c r="BF69" s="204">
        <f t="shared" si="100"/>
        <v>3705.3892346012058</v>
      </c>
      <c r="BG69" s="204">
        <f t="shared" si="100"/>
        <v>3699.26462429608</v>
      </c>
      <c r="BH69" s="204">
        <f t="shared" si="100"/>
        <v>3687.015403685828</v>
      </c>
      <c r="BI69" s="204">
        <f t="shared" si="100"/>
        <v>3674.766183075576</v>
      </c>
      <c r="BJ69" s="204">
        <f t="shared" si="100"/>
        <v>3662.516962465324</v>
      </c>
      <c r="BK69" s="204">
        <f t="shared" si="100"/>
        <v>3650.267741855072</v>
      </c>
      <c r="BL69" s="204">
        <f t="shared" si="100"/>
        <v>3638.01852124482</v>
      </c>
      <c r="BM69" s="204">
        <f t="shared" si="100"/>
        <v>3625.769300634568</v>
      </c>
      <c r="BN69" s="204">
        <f t="shared" si="100"/>
        <v>3613.520080024316</v>
      </c>
      <c r="BO69" s="204">
        <f t="shared" si="100"/>
        <v>3601.2708594140645</v>
      </c>
      <c r="BP69" s="204">
        <f t="shared" si="100"/>
        <v>3589.0216388038125</v>
      </c>
      <c r="BQ69" s="204">
        <f t="shared" si="100"/>
        <v>3576.7724181935605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3564.5231975833085</v>
      </c>
      <c r="BS69" s="204">
        <f t="shared" si="101"/>
        <v>3552.2739769730565</v>
      </c>
      <c r="BT69" s="204">
        <f t="shared" si="101"/>
        <v>3540.0247563628045</v>
      </c>
      <c r="BU69" s="204">
        <f t="shared" si="101"/>
        <v>3527.7755357525525</v>
      </c>
      <c r="BV69" s="204">
        <f t="shared" si="101"/>
        <v>3515.5263151423005</v>
      </c>
      <c r="BW69" s="204">
        <f t="shared" si="101"/>
        <v>3503.277094532049</v>
      </c>
      <c r="BX69" s="204">
        <f t="shared" si="101"/>
        <v>3491.027873921797</v>
      </c>
      <c r="BY69" s="204">
        <f t="shared" si="101"/>
        <v>3478.778653311545</v>
      </c>
      <c r="BZ69" s="204">
        <f t="shared" si="101"/>
        <v>3466.529432701293</v>
      </c>
      <c r="CA69" s="204">
        <f t="shared" si="101"/>
        <v>3454.280212091041</v>
      </c>
      <c r="CB69" s="204">
        <f t="shared" si="101"/>
        <v>3442.030991480789</v>
      </c>
      <c r="CC69" s="204">
        <f t="shared" si="101"/>
        <v>3429.781770870537</v>
      </c>
      <c r="CD69" s="204">
        <f t="shared" si="101"/>
        <v>3417.5325502602855</v>
      </c>
      <c r="CE69" s="204">
        <f t="shared" si="101"/>
        <v>3405.2833296500335</v>
      </c>
      <c r="CF69" s="204">
        <f t="shared" si="101"/>
        <v>3393.0341090397815</v>
      </c>
      <c r="CG69" s="204">
        <f t="shared" si="101"/>
        <v>3380.7848884295295</v>
      </c>
      <c r="CH69" s="204">
        <f t="shared" si="101"/>
        <v>3368.5356678192775</v>
      </c>
      <c r="CI69" s="204">
        <f t="shared" si="101"/>
        <v>3143.9666232979921</v>
      </c>
      <c r="CJ69" s="204">
        <f t="shared" si="101"/>
        <v>2919.3975787767072</v>
      </c>
      <c r="CK69" s="204">
        <f t="shared" si="101"/>
        <v>2694.8285342554218</v>
      </c>
      <c r="CL69" s="204">
        <f t="shared" si="101"/>
        <v>2470.2594897341369</v>
      </c>
      <c r="CM69" s="204">
        <f t="shared" si="101"/>
        <v>2245.6904452128515</v>
      </c>
      <c r="CN69" s="204">
        <f t="shared" si="101"/>
        <v>2021.1214006915664</v>
      </c>
      <c r="CO69" s="204">
        <f t="shared" si="101"/>
        <v>1796.5523561702812</v>
      </c>
      <c r="CP69" s="204">
        <f t="shared" si="101"/>
        <v>1571.9833116489961</v>
      </c>
      <c r="CQ69" s="204">
        <f t="shared" si="101"/>
        <v>1347.4142671277109</v>
      </c>
      <c r="CR69" s="204">
        <f t="shared" si="101"/>
        <v>1122.8452226064255</v>
      </c>
      <c r="CS69" s="204">
        <f t="shared" si="101"/>
        <v>898.2761780851406</v>
      </c>
      <c r="CT69" s="204">
        <f t="shared" si="101"/>
        <v>673.70713356385522</v>
      </c>
      <c r="CU69" s="204">
        <f t="shared" si="101"/>
        <v>449.1380890425703</v>
      </c>
      <c r="CV69" s="204">
        <f t="shared" si="101"/>
        <v>224.56904452128492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42824.737764699697</v>
      </c>
      <c r="G70" s="204">
        <f t="shared" si="100"/>
        <v>42824.737764699697</v>
      </c>
      <c r="H70" s="204">
        <f t="shared" si="100"/>
        <v>42824.737764699697</v>
      </c>
      <c r="I70" s="204">
        <f t="shared" si="100"/>
        <v>42824.737764699697</v>
      </c>
      <c r="J70" s="204">
        <f t="shared" si="100"/>
        <v>42824.737764699697</v>
      </c>
      <c r="K70" s="204">
        <f t="shared" si="100"/>
        <v>42824.737764699697</v>
      </c>
      <c r="L70" s="204">
        <f t="shared" si="100"/>
        <v>42824.737764699697</v>
      </c>
      <c r="M70" s="204">
        <f t="shared" si="100"/>
        <v>42824.737764699697</v>
      </c>
      <c r="N70" s="204">
        <f t="shared" si="100"/>
        <v>42824.737764699697</v>
      </c>
      <c r="O70" s="204">
        <f t="shared" si="100"/>
        <v>42824.737764699697</v>
      </c>
      <c r="P70" s="204">
        <f t="shared" si="100"/>
        <v>42824.737764699697</v>
      </c>
      <c r="Q70" s="204">
        <f t="shared" si="100"/>
        <v>42824.737764699697</v>
      </c>
      <c r="R70" s="204">
        <f t="shared" si="100"/>
        <v>42824.737764699697</v>
      </c>
      <c r="S70" s="204">
        <f t="shared" si="100"/>
        <v>42824.737764699697</v>
      </c>
      <c r="T70" s="204">
        <f t="shared" si="100"/>
        <v>42824.737764699697</v>
      </c>
      <c r="U70" s="204">
        <f t="shared" si="100"/>
        <v>42824.737764699697</v>
      </c>
      <c r="V70" s="204">
        <f t="shared" si="100"/>
        <v>42824.737764699697</v>
      </c>
      <c r="W70" s="204">
        <f t="shared" si="100"/>
        <v>42824.737764699697</v>
      </c>
      <c r="X70" s="204">
        <f t="shared" si="100"/>
        <v>42824.737764699697</v>
      </c>
      <c r="Y70" s="204">
        <f t="shared" si="100"/>
        <v>42824.737764699697</v>
      </c>
      <c r="Z70" s="204">
        <f t="shared" si="100"/>
        <v>42824.737764699697</v>
      </c>
      <c r="AA70" s="204">
        <f t="shared" si="100"/>
        <v>42824.737764699697</v>
      </c>
      <c r="AB70" s="204">
        <f t="shared" si="100"/>
        <v>42824.737764699697</v>
      </c>
      <c r="AC70" s="204">
        <f t="shared" si="100"/>
        <v>42824.737764699697</v>
      </c>
      <c r="AD70" s="204">
        <f t="shared" si="100"/>
        <v>42824.737764699697</v>
      </c>
      <c r="AE70" s="204">
        <f t="shared" si="100"/>
        <v>42824.737764699697</v>
      </c>
      <c r="AF70" s="204">
        <f t="shared" si="100"/>
        <v>42824.737764699697</v>
      </c>
      <c r="AG70" s="204">
        <f t="shared" si="100"/>
        <v>42824.73776469969</v>
      </c>
      <c r="AH70" s="204">
        <f t="shared" si="100"/>
        <v>42824.73776469969</v>
      </c>
      <c r="AI70" s="204">
        <f t="shared" si="100"/>
        <v>42824.73776469969</v>
      </c>
      <c r="AJ70" s="204">
        <f t="shared" si="100"/>
        <v>42824.73776469969</v>
      </c>
      <c r="AK70" s="204">
        <f t="shared" si="100"/>
        <v>42824.73776469969</v>
      </c>
      <c r="AL70" s="204">
        <f t="shared" si="100"/>
        <v>42824.73776469969</v>
      </c>
      <c r="AM70" s="204">
        <f t="shared" si="100"/>
        <v>42824.73776469969</v>
      </c>
      <c r="AN70" s="204">
        <f t="shared" si="100"/>
        <v>42824.73776469969</v>
      </c>
      <c r="AO70" s="204">
        <f t="shared" si="100"/>
        <v>42824.73776469969</v>
      </c>
      <c r="AP70" s="204">
        <f t="shared" si="100"/>
        <v>42824.73776469969</v>
      </c>
      <c r="AQ70" s="204">
        <f t="shared" si="100"/>
        <v>42824.73776469969</v>
      </c>
      <c r="AR70" s="204">
        <f t="shared" si="100"/>
        <v>42824.73776469969</v>
      </c>
      <c r="AS70" s="204">
        <f t="shared" si="100"/>
        <v>42824.73776469969</v>
      </c>
      <c r="AT70" s="204">
        <f t="shared" si="100"/>
        <v>42824.73776469969</v>
      </c>
      <c r="AU70" s="204">
        <f t="shared" si="100"/>
        <v>42824.73776469969</v>
      </c>
      <c r="AV70" s="204">
        <f t="shared" si="100"/>
        <v>42824.73776469969</v>
      </c>
      <c r="AW70" s="204">
        <f t="shared" si="100"/>
        <v>42824.73776469969</v>
      </c>
      <c r="AX70" s="204">
        <f t="shared" si="100"/>
        <v>42824.737764699683</v>
      </c>
      <c r="AY70" s="204">
        <f t="shared" si="100"/>
        <v>42824.737764699683</v>
      </c>
      <c r="AZ70" s="204">
        <f t="shared" si="100"/>
        <v>42824.737764699683</v>
      </c>
      <c r="BA70" s="204">
        <f t="shared" si="100"/>
        <v>42824.737764699683</v>
      </c>
      <c r="BB70" s="204">
        <f t="shared" si="100"/>
        <v>42824.737764699683</v>
      </c>
      <c r="BC70" s="204">
        <f t="shared" si="100"/>
        <v>42824.737764699683</v>
      </c>
      <c r="BD70" s="204">
        <f t="shared" si="100"/>
        <v>42824.737764699683</v>
      </c>
      <c r="BE70" s="204">
        <f t="shared" si="100"/>
        <v>42824.737764699683</v>
      </c>
      <c r="BF70" s="204">
        <f t="shared" si="100"/>
        <v>42824.737764699683</v>
      </c>
      <c r="BG70" s="204">
        <f t="shared" si="100"/>
        <v>42280.355504978921</v>
      </c>
      <c r="BH70" s="204">
        <f t="shared" si="100"/>
        <v>41191.590985537405</v>
      </c>
      <c r="BI70" s="204">
        <f t="shared" si="100"/>
        <v>40102.826466095888</v>
      </c>
      <c r="BJ70" s="204">
        <f t="shared" si="100"/>
        <v>39014.061946654372</v>
      </c>
      <c r="BK70" s="204">
        <f t="shared" si="100"/>
        <v>37925.297427212856</v>
      </c>
      <c r="BL70" s="204">
        <f t="shared" si="100"/>
        <v>36836.53290777134</v>
      </c>
      <c r="BM70" s="204">
        <f t="shared" si="100"/>
        <v>35747.768388329816</v>
      </c>
      <c r="BN70" s="204">
        <f t="shared" si="100"/>
        <v>34659.0038688883</v>
      </c>
      <c r="BO70" s="204">
        <f t="shared" si="100"/>
        <v>33570.239349446783</v>
      </c>
      <c r="BP70" s="204">
        <f t="shared" si="100"/>
        <v>32481.474830005267</v>
      </c>
      <c r="BQ70" s="204">
        <f t="shared" si="100"/>
        <v>31392.710310563751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30303.945791122234</v>
      </c>
      <c r="BS70" s="204">
        <f t="shared" si="102"/>
        <v>29215.181271680714</v>
      </c>
      <c r="BT70" s="204">
        <f t="shared" si="102"/>
        <v>28126.416752239198</v>
      </c>
      <c r="BU70" s="204">
        <f t="shared" si="102"/>
        <v>27037.652232797678</v>
      </c>
      <c r="BV70" s="204">
        <f t="shared" si="102"/>
        <v>25948.887713356162</v>
      </c>
      <c r="BW70" s="204">
        <f t="shared" si="102"/>
        <v>24860.123193914646</v>
      </c>
      <c r="BX70" s="204">
        <f t="shared" si="102"/>
        <v>23771.358674473129</v>
      </c>
      <c r="BY70" s="204">
        <f t="shared" si="102"/>
        <v>22682.594155031609</v>
      </c>
      <c r="BZ70" s="204">
        <f t="shared" si="102"/>
        <v>21593.829635590093</v>
      </c>
      <c r="CA70" s="204">
        <f t="shared" si="102"/>
        <v>20505.065116148577</v>
      </c>
      <c r="CB70" s="204">
        <f t="shared" si="102"/>
        <v>19416.300596707057</v>
      </c>
      <c r="CC70" s="204">
        <f t="shared" si="102"/>
        <v>18327.53607726554</v>
      </c>
      <c r="CD70" s="204">
        <f t="shared" si="102"/>
        <v>17238.771557824024</v>
      </c>
      <c r="CE70" s="204">
        <f t="shared" si="102"/>
        <v>16150.007038382504</v>
      </c>
      <c r="CF70" s="204">
        <f t="shared" si="102"/>
        <v>15061.242518940988</v>
      </c>
      <c r="CG70" s="204">
        <f t="shared" si="102"/>
        <v>13972.477999499471</v>
      </c>
      <c r="CH70" s="204">
        <f t="shared" si="102"/>
        <v>12883.713480057952</v>
      </c>
      <c r="CI70" s="204">
        <f t="shared" si="102"/>
        <v>13098.442038058922</v>
      </c>
      <c r="CJ70" s="204">
        <f t="shared" si="102"/>
        <v>13313.170596059887</v>
      </c>
      <c r="CK70" s="204">
        <f t="shared" si="102"/>
        <v>13527.899154060853</v>
      </c>
      <c r="CL70" s="204">
        <f t="shared" si="102"/>
        <v>13742.62771206182</v>
      </c>
      <c r="CM70" s="204">
        <f t="shared" si="102"/>
        <v>13957.356270062786</v>
      </c>
      <c r="CN70" s="204">
        <f t="shared" si="102"/>
        <v>14172.084828063751</v>
      </c>
      <c r="CO70" s="204">
        <f t="shared" si="102"/>
        <v>14386.813386064718</v>
      </c>
      <c r="CP70" s="204">
        <f t="shared" si="102"/>
        <v>14601.541944065684</v>
      </c>
      <c r="CQ70" s="204">
        <f t="shared" si="102"/>
        <v>14816.270502066651</v>
      </c>
      <c r="CR70" s="204">
        <f t="shared" si="102"/>
        <v>15030.999060067616</v>
      </c>
      <c r="CS70" s="204">
        <f t="shared" si="102"/>
        <v>15245.727618068582</v>
      </c>
      <c r="CT70" s="204">
        <f t="shared" si="102"/>
        <v>15460.456176069549</v>
      </c>
      <c r="CU70" s="204">
        <f t="shared" si="102"/>
        <v>15675.184734070514</v>
      </c>
      <c r="CV70" s="204">
        <f t="shared" si="102"/>
        <v>15889.91329207148</v>
      </c>
      <c r="CW70" s="204">
        <f t="shared" si="102"/>
        <v>16104.641850072447</v>
      </c>
      <c r="CX70" s="204">
        <f t="shared" si="102"/>
        <v>14976.811850072447</v>
      </c>
      <c r="CY70" s="204">
        <f t="shared" si="102"/>
        <v>13848.981850072447</v>
      </c>
      <c r="CZ70" s="204">
        <f t="shared" si="102"/>
        <v>12721.151850072447</v>
      </c>
      <c r="DA70" s="204">
        <f t="shared" si="102"/>
        <v>11593.321850072447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1512.1729436687742</v>
      </c>
      <c r="G71" s="204">
        <f t="shared" si="103"/>
        <v>1512.1729436687742</v>
      </c>
      <c r="H71" s="204">
        <f t="shared" si="103"/>
        <v>1512.1729436687742</v>
      </c>
      <c r="I71" s="204">
        <f t="shared" si="103"/>
        <v>1512.1729436687742</v>
      </c>
      <c r="J71" s="204">
        <f t="shared" si="103"/>
        <v>1512.1729436687742</v>
      </c>
      <c r="K71" s="204">
        <f t="shared" si="103"/>
        <v>1512.1729436687742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1512.1729436687742</v>
      </c>
      <c r="M71" s="204">
        <f t="shared" si="103"/>
        <v>1512.1729436687742</v>
      </c>
      <c r="N71" s="204">
        <f t="shared" si="103"/>
        <v>1512.1729436687742</v>
      </c>
      <c r="O71" s="204">
        <f t="shared" si="103"/>
        <v>1512.1729436687742</v>
      </c>
      <c r="P71" s="204">
        <f t="shared" si="103"/>
        <v>1512.1729436687742</v>
      </c>
      <c r="Q71" s="204">
        <f t="shared" si="103"/>
        <v>1512.1729436687742</v>
      </c>
      <c r="R71" s="204">
        <f t="shared" si="103"/>
        <v>1512.1729436687742</v>
      </c>
      <c r="S71" s="204">
        <f t="shared" si="103"/>
        <v>1512.1729436687742</v>
      </c>
      <c r="T71" s="204">
        <f t="shared" si="103"/>
        <v>1512.1729436687742</v>
      </c>
      <c r="U71" s="204">
        <f t="shared" si="103"/>
        <v>1512.1729436687742</v>
      </c>
      <c r="V71" s="204">
        <f t="shared" si="103"/>
        <v>1512.1729436687742</v>
      </c>
      <c r="W71" s="204">
        <f t="shared" si="103"/>
        <v>1512.1729436687742</v>
      </c>
      <c r="X71" s="204">
        <f t="shared" si="103"/>
        <v>1490.5704730449345</v>
      </c>
      <c r="Y71" s="204">
        <f t="shared" si="103"/>
        <v>1447.3655317972552</v>
      </c>
      <c r="Z71" s="204">
        <f t="shared" si="103"/>
        <v>1404.160590549576</v>
      </c>
      <c r="AA71" s="204">
        <f t="shared" si="103"/>
        <v>1360.9556493018968</v>
      </c>
      <c r="AB71" s="204">
        <f t="shared" si="103"/>
        <v>1317.7507080542175</v>
      </c>
      <c r="AC71" s="204">
        <f t="shared" si="103"/>
        <v>1274.5457668065383</v>
      </c>
      <c r="AD71" s="204">
        <f t="shared" si="103"/>
        <v>1231.340825558859</v>
      </c>
      <c r="AE71" s="204">
        <f t="shared" si="103"/>
        <v>1188.1358843111798</v>
      </c>
      <c r="AF71" s="204">
        <f t="shared" si="103"/>
        <v>1144.9309430635005</v>
      </c>
      <c r="AG71" s="204">
        <f t="shared" si="103"/>
        <v>1101.7260018158213</v>
      </c>
      <c r="AH71" s="204">
        <f t="shared" si="103"/>
        <v>1058.5210605681418</v>
      </c>
      <c r="AI71" s="204">
        <f t="shared" si="103"/>
        <v>1015.3161193204627</v>
      </c>
      <c r="AJ71" s="204">
        <f t="shared" si="103"/>
        <v>972.11117807278345</v>
      </c>
      <c r="AK71" s="204">
        <f t="shared" si="103"/>
        <v>928.90623682510409</v>
      </c>
      <c r="AL71" s="204">
        <f t="shared" si="103"/>
        <v>885.70129557742484</v>
      </c>
      <c r="AM71" s="204">
        <f t="shared" si="103"/>
        <v>842.4963543297456</v>
      </c>
      <c r="AN71" s="204">
        <f t="shared" si="103"/>
        <v>799.29141308206636</v>
      </c>
      <c r="AO71" s="204">
        <f t="shared" si="103"/>
        <v>756.08647183438711</v>
      </c>
      <c r="AP71" s="204">
        <f t="shared" si="103"/>
        <v>712.88153058670787</v>
      </c>
      <c r="AQ71" s="204">
        <f t="shared" si="103"/>
        <v>669.67658933902851</v>
      </c>
      <c r="AR71" s="204">
        <f t="shared" si="103"/>
        <v>626.47164809134927</v>
      </c>
      <c r="AS71" s="204">
        <f t="shared" si="103"/>
        <v>583.26670684367002</v>
      </c>
      <c r="AT71" s="204">
        <f t="shared" si="103"/>
        <v>540.06176559599078</v>
      </c>
      <c r="AU71" s="204">
        <f t="shared" si="103"/>
        <v>496.85682434831153</v>
      </c>
      <c r="AV71" s="204">
        <f t="shared" si="103"/>
        <v>453.65188310063218</v>
      </c>
      <c r="AW71" s="204">
        <f t="shared" si="103"/>
        <v>410.44694185295293</v>
      </c>
      <c r="AX71" s="204">
        <f t="shared" si="103"/>
        <v>367.24200060527369</v>
      </c>
      <c r="AY71" s="204">
        <f t="shared" si="103"/>
        <v>324.03705935759444</v>
      </c>
      <c r="AZ71" s="204">
        <f t="shared" si="103"/>
        <v>280.8321181099152</v>
      </c>
      <c r="BA71" s="204">
        <f t="shared" si="103"/>
        <v>237.62717686223596</v>
      </c>
      <c r="BB71" s="204">
        <f t="shared" si="103"/>
        <v>194.42223561455671</v>
      </c>
      <c r="BC71" s="204">
        <f t="shared" si="103"/>
        <v>151.21729436687747</v>
      </c>
      <c r="BD71" s="204">
        <f t="shared" si="103"/>
        <v>108.012353119198</v>
      </c>
      <c r="BE71" s="204">
        <f t="shared" si="103"/>
        <v>64.807411871518752</v>
      </c>
      <c r="BF71" s="204">
        <f t="shared" si="103"/>
        <v>21.602470623839508</v>
      </c>
      <c r="BG71" s="204">
        <f t="shared" si="103"/>
        <v>27.494053521250436</v>
      </c>
      <c r="BH71" s="204">
        <f t="shared" si="103"/>
        <v>82.482160563751307</v>
      </c>
      <c r="BI71" s="204">
        <f t="shared" si="103"/>
        <v>137.47026760625218</v>
      </c>
      <c r="BJ71" s="204">
        <f t="shared" si="103"/>
        <v>192.45837464875305</v>
      </c>
      <c r="BK71" s="204">
        <f t="shared" si="103"/>
        <v>247.44648169125392</v>
      </c>
      <c r="BL71" s="204">
        <f t="shared" si="103"/>
        <v>302.43458873375482</v>
      </c>
      <c r="BM71" s="204">
        <f t="shared" si="103"/>
        <v>357.42269577625564</v>
      </c>
      <c r="BN71" s="204">
        <f t="shared" si="103"/>
        <v>412.41080281875657</v>
      </c>
      <c r="BO71" s="204">
        <f t="shared" si="103"/>
        <v>467.39890986125738</v>
      </c>
      <c r="BP71" s="204">
        <f t="shared" si="103"/>
        <v>522.38701690375831</v>
      </c>
      <c r="BQ71" s="204">
        <f t="shared" si="103"/>
        <v>577.37512394625912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632.36323098876005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687.35133803126087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742.33944507376179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797.32755211626261</v>
      </c>
      <c r="BV71" s="204">
        <f t="shared" si="104"/>
        <v>852.31565915876354</v>
      </c>
      <c r="BW71" s="204">
        <f t="shared" si="104"/>
        <v>907.30376620126435</v>
      </c>
      <c r="BX71" s="204">
        <f t="shared" si="104"/>
        <v>962.29187324376528</v>
      </c>
      <c r="BY71" s="204">
        <f t="shared" si="104"/>
        <v>1017.2799802862661</v>
      </c>
      <c r="BZ71" s="204">
        <f t="shared" si="104"/>
        <v>1072.268087328767</v>
      </c>
      <c r="CA71" s="204">
        <f t="shared" si="104"/>
        <v>1127.2561943712678</v>
      </c>
      <c r="CB71" s="204">
        <f t="shared" si="104"/>
        <v>1182.2443014137687</v>
      </c>
      <c r="CC71" s="204">
        <f t="shared" si="104"/>
        <v>1237.2324084562697</v>
      </c>
      <c r="CD71" s="204">
        <f t="shared" si="104"/>
        <v>1292.2205154987705</v>
      </c>
      <c r="CE71" s="204">
        <f t="shared" si="104"/>
        <v>1347.2086225412713</v>
      </c>
      <c r="CF71" s="204">
        <f t="shared" si="104"/>
        <v>1402.1967295837721</v>
      </c>
      <c r="CG71" s="204">
        <f t="shared" si="104"/>
        <v>1457.1848366262732</v>
      </c>
      <c r="CH71" s="204">
        <f t="shared" si="104"/>
        <v>1512.172943668774</v>
      </c>
      <c r="CI71" s="204">
        <f t="shared" si="104"/>
        <v>1600.3830320494526</v>
      </c>
      <c r="CJ71" s="204">
        <f t="shared" si="104"/>
        <v>1688.593120430131</v>
      </c>
      <c r="CK71" s="204">
        <f t="shared" si="104"/>
        <v>1776.8032088108096</v>
      </c>
      <c r="CL71" s="204">
        <f t="shared" si="104"/>
        <v>1865.0132971914882</v>
      </c>
      <c r="CM71" s="204">
        <f t="shared" si="104"/>
        <v>1953.2233855721668</v>
      </c>
      <c r="CN71" s="204">
        <f t="shared" si="104"/>
        <v>2041.4334739528454</v>
      </c>
      <c r="CO71" s="204">
        <f t="shared" si="104"/>
        <v>2129.6435623335237</v>
      </c>
      <c r="CP71" s="204">
        <f t="shared" si="104"/>
        <v>2217.8536507142026</v>
      </c>
      <c r="CQ71" s="204">
        <f t="shared" si="104"/>
        <v>2306.0637390948809</v>
      </c>
      <c r="CR71" s="204">
        <f t="shared" si="104"/>
        <v>2394.2738274755593</v>
      </c>
      <c r="CS71" s="204">
        <f t="shared" si="104"/>
        <v>2482.4839158562381</v>
      </c>
      <c r="CT71" s="204">
        <f t="shared" si="104"/>
        <v>2570.6940042369165</v>
      </c>
      <c r="CU71" s="204">
        <f t="shared" si="104"/>
        <v>2658.9040926175949</v>
      </c>
      <c r="CV71" s="204">
        <f t="shared" si="104"/>
        <v>2747.1141809982737</v>
      </c>
      <c r="CW71" s="204">
        <f t="shared" si="104"/>
        <v>2835.3242693789521</v>
      </c>
      <c r="CX71" s="204">
        <f t="shared" si="104"/>
        <v>3131.654269378952</v>
      </c>
      <c r="CY71" s="204">
        <f t="shared" si="104"/>
        <v>3427.9842693789519</v>
      </c>
      <c r="CZ71" s="204">
        <f t="shared" si="104"/>
        <v>3724.3142693789523</v>
      </c>
      <c r="DA71" s="204">
        <f t="shared" si="104"/>
        <v>4020.6442693789522</v>
      </c>
    </row>
    <row r="72" spans="1:105" s="204" customFormat="1">
      <c r="A72" s="204" t="str">
        <f>Income!A88</f>
        <v>TOTAL</v>
      </c>
      <c r="F72" s="204">
        <f>SUM(F59:F71)</f>
        <v>72720.696641182687</v>
      </c>
      <c r="G72" s="204">
        <f t="shared" ref="G72:BR72" si="105">SUM(G59:G71)</f>
        <v>72380.436641182678</v>
      </c>
      <c r="H72" s="204">
        <f t="shared" si="105"/>
        <v>72040.176641182683</v>
      </c>
      <c r="I72" s="204">
        <f t="shared" si="105"/>
        <v>71699.916641182688</v>
      </c>
      <c r="J72" s="204">
        <f t="shared" si="105"/>
        <v>71359.656641182679</v>
      </c>
      <c r="K72" s="204">
        <f t="shared" si="105"/>
        <v>71019.396641182684</v>
      </c>
      <c r="L72" s="204">
        <f t="shared" si="105"/>
        <v>70679.136641182689</v>
      </c>
      <c r="M72" s="204">
        <f t="shared" si="105"/>
        <v>70338.87664118268</v>
      </c>
      <c r="N72" s="204">
        <f t="shared" si="105"/>
        <v>69998.616641182685</v>
      </c>
      <c r="O72" s="204">
        <f t="shared" si="105"/>
        <v>69658.356641182691</v>
      </c>
      <c r="P72" s="204">
        <f t="shared" si="105"/>
        <v>69318.096641182681</v>
      </c>
      <c r="Q72" s="204">
        <f t="shared" si="105"/>
        <v>68977.836641182686</v>
      </c>
      <c r="R72" s="204">
        <f t="shared" si="105"/>
        <v>68637.576641182692</v>
      </c>
      <c r="S72" s="204">
        <f t="shared" si="105"/>
        <v>68297.316641182682</v>
      </c>
      <c r="T72" s="204">
        <f t="shared" si="105"/>
        <v>67957.056641182688</v>
      </c>
      <c r="U72" s="204">
        <f t="shared" si="105"/>
        <v>67616.796641182693</v>
      </c>
      <c r="V72" s="204">
        <f t="shared" si="105"/>
        <v>67276.536641182684</v>
      </c>
      <c r="W72" s="204">
        <f t="shared" si="105"/>
        <v>66936.276641182689</v>
      </c>
      <c r="X72" s="204">
        <f t="shared" si="105"/>
        <v>67055.469526203015</v>
      </c>
      <c r="Y72" s="204">
        <f t="shared" si="105"/>
        <v>67634.115296243661</v>
      </c>
      <c r="Z72" s="204">
        <f t="shared" si="105"/>
        <v>68212.761066284322</v>
      </c>
      <c r="AA72" s="204">
        <f t="shared" si="105"/>
        <v>68791.406836324968</v>
      </c>
      <c r="AB72" s="204">
        <f t="shared" si="105"/>
        <v>69370.052606365614</v>
      </c>
      <c r="AC72" s="204">
        <f t="shared" si="105"/>
        <v>69948.698376406261</v>
      </c>
      <c r="AD72" s="204">
        <f t="shared" si="105"/>
        <v>70527.344146446922</v>
      </c>
      <c r="AE72" s="204">
        <f t="shared" si="105"/>
        <v>71105.989916487582</v>
      </c>
      <c r="AF72" s="204">
        <f t="shared" si="105"/>
        <v>71684.635686528229</v>
      </c>
      <c r="AG72" s="204">
        <f t="shared" si="105"/>
        <v>72263.281456568875</v>
      </c>
      <c r="AH72" s="204">
        <f t="shared" si="105"/>
        <v>72841.927226609521</v>
      </c>
      <c r="AI72" s="204">
        <f t="shared" si="105"/>
        <v>73420.572996650182</v>
      </c>
      <c r="AJ72" s="204">
        <f t="shared" si="105"/>
        <v>73999.218766690828</v>
      </c>
      <c r="AK72" s="204">
        <f t="shared" si="105"/>
        <v>74577.864536731475</v>
      </c>
      <c r="AL72" s="204">
        <f t="shared" si="105"/>
        <v>75156.510306772136</v>
      </c>
      <c r="AM72" s="204">
        <f t="shared" si="105"/>
        <v>75735.156076812797</v>
      </c>
      <c r="AN72" s="204">
        <f t="shared" si="105"/>
        <v>76313.801846853443</v>
      </c>
      <c r="AO72" s="204">
        <f t="shared" si="105"/>
        <v>76892.447616894075</v>
      </c>
      <c r="AP72" s="204">
        <f t="shared" si="105"/>
        <v>77471.093386934735</v>
      </c>
      <c r="AQ72" s="204">
        <f t="shared" si="105"/>
        <v>78049.739156975396</v>
      </c>
      <c r="AR72" s="204">
        <f t="shared" si="105"/>
        <v>78628.384927016057</v>
      </c>
      <c r="AS72" s="204">
        <f t="shared" si="105"/>
        <v>79207.030697056704</v>
      </c>
      <c r="AT72" s="204">
        <f t="shared" si="105"/>
        <v>79785.67646709735</v>
      </c>
      <c r="AU72" s="204">
        <f t="shared" si="105"/>
        <v>80364.322237138011</v>
      </c>
      <c r="AV72" s="204">
        <f t="shared" si="105"/>
        <v>80942.968007178657</v>
      </c>
      <c r="AW72" s="204">
        <f t="shared" si="105"/>
        <v>81521.613777219318</v>
      </c>
      <c r="AX72" s="204">
        <f t="shared" si="105"/>
        <v>82100.25954725995</v>
      </c>
      <c r="AY72" s="204">
        <f t="shared" si="105"/>
        <v>82678.90531730061</v>
      </c>
      <c r="AZ72" s="204">
        <f t="shared" si="105"/>
        <v>83257.551087341271</v>
      </c>
      <c r="BA72" s="204">
        <f t="shared" si="105"/>
        <v>83836.196857381918</v>
      </c>
      <c r="BB72" s="204">
        <f t="shared" si="105"/>
        <v>84414.842627422579</v>
      </c>
      <c r="BC72" s="204">
        <f t="shared" si="105"/>
        <v>84993.488397463225</v>
      </c>
      <c r="BD72" s="204">
        <f t="shared" si="105"/>
        <v>85572.134167503871</v>
      </c>
      <c r="BE72" s="204">
        <f t="shared" si="105"/>
        <v>86150.779937544517</v>
      </c>
      <c r="BF72" s="204">
        <f t="shared" si="105"/>
        <v>86729.425707585178</v>
      </c>
      <c r="BG72" s="204">
        <f t="shared" si="105"/>
        <v>88572.246662438964</v>
      </c>
      <c r="BH72" s="204">
        <f t="shared" si="105"/>
        <v>91679.242802105859</v>
      </c>
      <c r="BI72" s="204">
        <f t="shared" si="105"/>
        <v>94786.238941772754</v>
      </c>
      <c r="BJ72" s="204">
        <f t="shared" si="105"/>
        <v>97893.235081439649</v>
      </c>
      <c r="BK72" s="204">
        <f t="shared" si="105"/>
        <v>101000.23122110656</v>
      </c>
      <c r="BL72" s="204">
        <f t="shared" si="105"/>
        <v>104107.22736077345</v>
      </c>
      <c r="BM72" s="204">
        <f t="shared" si="105"/>
        <v>107214.22350044035</v>
      </c>
      <c r="BN72" s="204">
        <f t="shared" si="105"/>
        <v>110321.21964010726</v>
      </c>
      <c r="BO72" s="204">
        <f t="shared" si="105"/>
        <v>113428.21577977415</v>
      </c>
      <c r="BP72" s="204">
        <f t="shared" si="105"/>
        <v>116535.21191944106</v>
      </c>
      <c r="BQ72" s="204">
        <f t="shared" si="105"/>
        <v>119642.20805910796</v>
      </c>
      <c r="BR72" s="204">
        <f t="shared" si="105"/>
        <v>122749.20419877488</v>
      </c>
      <c r="BS72" s="204">
        <f t="shared" ref="BS72:DA72" si="106">SUM(BS59:BS71)</f>
        <v>125856.20033844176</v>
      </c>
      <c r="BT72" s="204">
        <f t="shared" si="106"/>
        <v>128963.19647810867</v>
      </c>
      <c r="BU72" s="204">
        <f t="shared" si="106"/>
        <v>132070.19261777555</v>
      </c>
      <c r="BV72" s="204">
        <f t="shared" si="106"/>
        <v>135177.18875744246</v>
      </c>
      <c r="BW72" s="204">
        <f t="shared" si="106"/>
        <v>138284.18489710934</v>
      </c>
      <c r="BX72" s="204">
        <f t="shared" si="106"/>
        <v>141391.18103677622</v>
      </c>
      <c r="BY72" s="204">
        <f t="shared" si="106"/>
        <v>144498.17717644316</v>
      </c>
      <c r="BZ72" s="204">
        <f t="shared" si="106"/>
        <v>147605.17331611007</v>
      </c>
      <c r="CA72" s="204">
        <f t="shared" si="106"/>
        <v>150712.16945577695</v>
      </c>
      <c r="CB72" s="204">
        <f t="shared" si="106"/>
        <v>153819.16559544386</v>
      </c>
      <c r="CC72" s="204">
        <f t="shared" si="106"/>
        <v>156926.16173511077</v>
      </c>
      <c r="CD72" s="204">
        <f t="shared" si="106"/>
        <v>160033.15787477768</v>
      </c>
      <c r="CE72" s="204">
        <f t="shared" si="106"/>
        <v>163140.15401444456</v>
      </c>
      <c r="CF72" s="204">
        <f t="shared" si="106"/>
        <v>166247.1501541115</v>
      </c>
      <c r="CG72" s="204">
        <f t="shared" si="106"/>
        <v>169354.14629377841</v>
      </c>
      <c r="CH72" s="204">
        <f t="shared" si="106"/>
        <v>172461.14243344526</v>
      </c>
      <c r="CI72" s="204">
        <f t="shared" si="106"/>
        <v>200043.29951513256</v>
      </c>
      <c r="CJ72" s="204">
        <f t="shared" si="106"/>
        <v>227625.45659681986</v>
      </c>
      <c r="CK72" s="204">
        <f t="shared" si="106"/>
        <v>255207.61367850713</v>
      </c>
      <c r="CL72" s="204">
        <f t="shared" si="106"/>
        <v>282789.7707601944</v>
      </c>
      <c r="CM72" s="204">
        <f t="shared" si="106"/>
        <v>310371.92784188181</v>
      </c>
      <c r="CN72" s="204">
        <f t="shared" si="106"/>
        <v>337954.08492356905</v>
      </c>
      <c r="CO72" s="204">
        <f t="shared" si="106"/>
        <v>365536.24200525635</v>
      </c>
      <c r="CP72" s="204">
        <f t="shared" si="106"/>
        <v>393118.39908694365</v>
      </c>
      <c r="CQ72" s="204">
        <f t="shared" si="106"/>
        <v>420700.55616863095</v>
      </c>
      <c r="CR72" s="204">
        <f t="shared" si="106"/>
        <v>448282.71325031831</v>
      </c>
      <c r="CS72" s="204">
        <f t="shared" si="106"/>
        <v>475864.87033200555</v>
      </c>
      <c r="CT72" s="204">
        <f t="shared" si="106"/>
        <v>503447.02741369291</v>
      </c>
      <c r="CU72" s="204">
        <f t="shared" si="106"/>
        <v>531029.18449538015</v>
      </c>
      <c r="CV72" s="204">
        <f t="shared" si="106"/>
        <v>558611.34157706751</v>
      </c>
      <c r="CW72" s="204">
        <f t="shared" si="106"/>
        <v>586193.49865875475</v>
      </c>
      <c r="CX72" s="204">
        <f t="shared" si="106"/>
        <v>595973.29965875484</v>
      </c>
      <c r="CY72" s="204">
        <f t="shared" si="106"/>
        <v>605753.1006587547</v>
      </c>
      <c r="CZ72" s="204">
        <f t="shared" si="106"/>
        <v>615532.90165875468</v>
      </c>
      <c r="DA72" s="204">
        <f t="shared" si="106"/>
        <v>625312.70265875489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70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8.3835164288619382</v>
      </c>
      <c r="D108" s="212">
        <f>BU42</f>
        <v>95.041981747003675</v>
      </c>
      <c r="E108" s="212">
        <f>CR42</f>
        <v>699.91536454060065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58.369875625614654</v>
      </c>
      <c r="D109" s="212">
        <f t="shared" ref="D109:D120" si="108">BU43</f>
        <v>736.45571762021416</v>
      </c>
      <c r="E109" s="212">
        <f t="shared" ref="E109:E120" si="109">CR43</f>
        <v>1846.2371498076016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28.955866823937797</v>
      </c>
      <c r="D110" s="212">
        <f t="shared" si="108"/>
        <v>22.599265616098769</v>
      </c>
      <c r="E110" s="212">
        <f t="shared" si="109"/>
        <v>44.932937586401025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276296.00300878612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302.43458873375482</v>
      </c>
      <c r="E111" s="212">
        <f t="shared" si="109"/>
        <v>705.68070704542822</v>
      </c>
      <c r="F111" s="212">
        <v>0</v>
      </c>
      <c r="AD111" s="217" t="s">
        <v>119</v>
      </c>
      <c r="AE111" s="212">
        <f>AE109/AE110</f>
        <v>4.832006789685532E-2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151.23889683750122</v>
      </c>
      <c r="D112" s="212">
        <f t="shared" si="108"/>
        <v>574.04834347018789</v>
      </c>
      <c r="E112" s="212">
        <f t="shared" si="109"/>
        <v>863.57676524684257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374.90255557241608</v>
      </c>
      <c r="D114" s="212">
        <f t="shared" si="108"/>
        <v>838.78439266488454</v>
      </c>
      <c r="E114" s="212">
        <f t="shared" si="109"/>
        <v>-3240.5557940969843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11643.731666249563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1121.7573836670178</v>
      </c>
      <c r="E116" s="212">
        <f t="shared" si="109"/>
        <v>-2056.5552033895328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461.90009915700733</v>
      </c>
      <c r="E117" s="212">
        <f t="shared" si="109"/>
        <v>16996.823886837021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-1.2992781453898974E-14</v>
      </c>
      <c r="D118" s="212">
        <f t="shared" si="108"/>
        <v>-12.249220610251937</v>
      </c>
      <c r="E118" s="212">
        <f t="shared" si="109"/>
        <v>-224.56904452128518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-4.1576900652476718E-13</v>
      </c>
      <c r="D119" s="212">
        <f t="shared" si="108"/>
        <v>-1088.7645194415175</v>
      </c>
      <c r="E119" s="212">
        <f t="shared" si="109"/>
        <v>214.7285580009661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-43.204941247679265</v>
      </c>
      <c r="D120" s="212">
        <f t="shared" si="108"/>
        <v>54.988107042500872</v>
      </c>
      <c r="E120" s="212">
        <f t="shared" si="109"/>
        <v>88.210088380678542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2016-08-10T10:09:14Z</dcterms:modified>
  <cp:category/>
</cp:coreProperties>
</file>