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1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1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1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1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<sst xmlns="http://schemas.openxmlformats.org/spreadsheetml/2006/main" count="790" uniqueCount="146">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</sst>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0.000154942518700381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0.00279279917468682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0.271057605718827</c:v>
                </c:pt>
                <c:pt idx="2" formatCode="0.0%">
                  <c:v>0.553018227654659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387128"/>
        <c:axId val="-2005427368"/>
      </c:barChart>
      <c:catAx>
        <c:axId val="-213738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42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42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38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758344"/>
        <c:axId val="2119269144"/>
      </c:barChart>
      <c:catAx>
        <c:axId val="208675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6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26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5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0.00798494043020829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0.0278820950970171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0.00590634145226322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0.0200228528739808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0.000573826898214512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0.000569303507353294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0.000850640189400521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0.000177980914435385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0.000440502763227577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0.000224255952188585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0.000266971371653077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0.00619373582235139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0.218244415383384</c:v>
                </c:pt>
                <c:pt idx="2">
                  <c:v>0.218244415383384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503128"/>
        <c:axId val="2037752536"/>
      </c:barChart>
      <c:catAx>
        <c:axId val="-213350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75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75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0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0.00012689498569405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0.000288686092453963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83400"/>
        <c:axId val="-2055891352"/>
      </c:barChart>
      <c:catAx>
        <c:axId val="-205708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89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89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83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 with Grants</a:t>
            </a:r>
          </a:p>
        </c:rich>
      </c:tx>
      <c:layout>
        <c:manualLayout>
          <c:xMode val="edge"/>
          <c:yMode val="edge"/>
          <c:x val="0.337443188772388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773.387015707479</c:v>
                </c:pt>
                <c:pt idx="5">
                  <c:v>913.3530759016633</c:v>
                </c:pt>
                <c:pt idx="6">
                  <c:v>1805.331048020927</c:v>
                </c:pt>
                <c:pt idx="7">
                  <c:v>4232.304916964998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20.53012084159001</c:v>
                </c:pt>
                <c:pt idx="5">
                  <c:v>70.0</c:v>
                </c:pt>
                <c:pt idx="6">
                  <c:v>435.9599999999999</c:v>
                </c:pt>
                <c:pt idx="7">
                  <c:v>11586.1261574793</c:v>
                </c:pt>
              </c:numCache>
            </c:numRef>
          </c:val>
        </c:ser>
        <c:ser>
          <c:idx val="5"/>
          <c:order val="3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721.051163608349</c:v>
                </c:pt>
              </c:numCache>
            </c:numRef>
          </c:val>
        </c:ser>
        <c:ser>
          <c:idx val="16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8316.951190178257</c:v>
                </c:pt>
                <c:pt idx="3">
                  <c:v>18902.16179585968</c:v>
                </c:pt>
                <c:pt idx="4">
                  <c:v>0.0</c:v>
                </c:pt>
                <c:pt idx="5">
                  <c:v>0.0</c:v>
                </c:pt>
                <c:pt idx="6">
                  <c:v>177</c:v>
                </c:pt>
                <c:pt idx="7">
                  <c:v>2991.877329794743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14688.31429064984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5156.107054496091</c:v>
                </c:pt>
                <c:pt idx="5">
                  <c:v>9852.485643596876</c:v>
                </c:pt>
                <c:pt idx="6">
                  <c:v>18581.37274757515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81774.0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394712"/>
        <c:axId val="2082566072"/>
      </c:barChart>
      <c:lineChart>
        <c:grouping val="standard"/>
        <c:varyColors val="0"/>
        <c:ser>
          <c:idx val="13"/>
          <c:order val="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6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94712"/>
        <c:axId val="2082566072"/>
      </c:lineChart>
      <c:catAx>
        <c:axId val="213439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56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56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39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92056"/>
        <c:axId val="-21404576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92056"/>
        <c:axId val="-2140457672"/>
      </c:lineChart>
      <c:catAx>
        <c:axId val="-214039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5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45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9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245176"/>
        <c:axId val="-21405890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245176"/>
        <c:axId val="-2140589080"/>
      </c:lineChart>
      <c:catAx>
        <c:axId val="-2055245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58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58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0.402351036988268</c:v>
                </c:pt>
                <c:pt idx="2">
                  <c:v>0.376055501587155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0.167737145913527</c:v>
                </c:pt>
                <c:pt idx="2">
                  <c:v>0.34222134774249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-0.426726718697968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502872"/>
        <c:axId val="-1993927752"/>
      </c:barChart>
      <c:catAx>
        <c:axId val="-205750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2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92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50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0.126879248821686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-0.0951248411578641</c:v>
                </c:pt>
                <c:pt idx="2">
                  <c:v>-0.00143278642448574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328296"/>
        <c:axId val="-2011403672"/>
      </c:barChart>
      <c:catAx>
        <c:axId val="208632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40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140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328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0.350919013420591</c:v>
                </c:pt>
                <c:pt idx="2">
                  <c:v>0.326243921379607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875656"/>
        <c:axId val="-2139115864"/>
      </c:barChart>
      <c:catAx>
        <c:axId val="-203587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11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11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87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0.224703426237595</c:v>
                </c:pt>
                <c:pt idx="2">
                  <c:v>0.345543381588055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-0.239811900434933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960376"/>
        <c:axId val="-1994353848"/>
      </c:barChart>
      <c:catAx>
        <c:axId val="-206696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35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35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96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0.000188799772712954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0.0104312460358897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0.000486881257163891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0.204266653557302</c:v>
                </c:pt>
                <c:pt idx="2" formatCode="0.0%">
                  <c:v>0.508952804560641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42056"/>
        <c:axId val="-1999006008"/>
      </c:barChart>
      <c:catAx>
        <c:axId val="-210144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00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4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107576"/>
        <c:axId val="-20179959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07576"/>
        <c:axId val="-20179959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07576"/>
        <c:axId val="-2017995912"/>
      </c:scatterChart>
      <c:catAx>
        <c:axId val="-21401075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995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995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1075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95512"/>
        <c:axId val="-19939806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95512"/>
        <c:axId val="-1993980680"/>
      </c:lineChart>
      <c:catAx>
        <c:axId val="20892955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980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3980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2955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018168"/>
        <c:axId val="-19934688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822136"/>
        <c:axId val="2137088648"/>
      </c:scatterChart>
      <c:valAx>
        <c:axId val="-2003018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468872"/>
        <c:crosses val="autoZero"/>
        <c:crossBetween val="midCat"/>
      </c:valAx>
      <c:valAx>
        <c:axId val="-1993468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3018168"/>
        <c:crosses val="autoZero"/>
        <c:crossBetween val="midCat"/>
      </c:valAx>
      <c:valAx>
        <c:axId val="-19938221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7088648"/>
        <c:crosses val="autoZero"/>
        <c:crossBetween val="midCat"/>
      </c:valAx>
      <c:valAx>
        <c:axId val="21370886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8221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73064"/>
        <c:axId val="-20581353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673064"/>
        <c:axId val="-2058135384"/>
      </c:lineChart>
      <c:catAx>
        <c:axId val="-201767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135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8135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6730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0.00596067458153175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0.0629426203193482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-3.30404772661164E-5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0.000372604447462325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0.000173511324788426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0.00821806342940366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-1.13661025575852E-5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0.0219121909096476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0.00131792752555191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0.0267722880917558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4.40675200307373E-5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0.00951895609160244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0.000185490027207296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0.031572948174051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0.0070689875115353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0.233616875097562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0.278031033924728</c:v>
                </c:pt>
                <c:pt idx="2" formatCode="0.0%">
                  <c:v>0.567307107869151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09768"/>
        <c:axId val="-2001091880"/>
      </c:barChart>
      <c:catAx>
        <c:axId val="-210190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09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09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0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0.000415212028853387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-0.000136950789590036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0.000248771385393361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0.359536111813031</c:v>
                </c:pt>
                <c:pt idx="2" formatCode="0.0%">
                  <c:v>0.552885756835469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60504"/>
        <c:axId val="-2010950744"/>
      </c:barChart>
      <c:catAx>
        <c:axId val="208356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0950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0950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56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-0.399207466373828</c:v>
                </c:pt>
                <c:pt idx="1">
                  <c:v>-0.368398985490624</c:v>
                </c:pt>
                <c:pt idx="2">
                  <c:v>-0.385394498500096</c:v>
                </c:pt>
                <c:pt idx="3">
                  <c:v>3.365073860983185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03368"/>
        <c:axId val="2082948216"/>
      </c:barChart>
      <c:catAx>
        <c:axId val="-2140703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9482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294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0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0.553029600336838</c:v>
                </c:pt>
                <c:pt idx="1">
                  <c:v>0.63862655268221</c:v>
                </c:pt>
                <c:pt idx="2">
                  <c:v>0.63604492283414</c:v>
                </c:pt>
                <c:pt idx="3">
                  <c:v>0.623075209260043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254568"/>
        <c:axId val="-1991299048"/>
      </c:barChart>
      <c:catAx>
        <c:axId val="21032545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299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129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25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0.642526684190957</c:v>
                </c:pt>
                <c:pt idx="2">
                  <c:v>0.354702880630725</c:v>
                </c:pt>
                <c:pt idx="3">
                  <c:v>0.328600476807621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757720"/>
        <c:axId val="-2002623624"/>
      </c:barChart>
      <c:catAx>
        <c:axId val="2037757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623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262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75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0.00405325871544159</c:v>
                </c:pt>
                <c:pt idx="1">
                  <c:v>0.00405325871544159</c:v>
                </c:pt>
                <c:pt idx="2">
                  <c:v>0.0078680904476219</c:v>
                </c:pt>
                <c:pt idx="3">
                  <c:v>0.0078680904476219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0.251770481277393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-0.000308835399943497</c:v>
                </c:pt>
                <c:pt idx="1">
                  <c:v>0.000176673490879031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0.0014904177898493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0.000465010350432981</c:v>
                </c:pt>
                <c:pt idx="3">
                  <c:v>0.000229034948720722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0.0328722537176146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-4.54644102303409E-5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0.0219121909096476</c:v>
                </c:pt>
                <c:pt idx="1">
                  <c:v>0.0219121909096476</c:v>
                </c:pt>
                <c:pt idx="2">
                  <c:v>0.0219121909096476</c:v>
                </c:pt>
                <c:pt idx="3">
                  <c:v>0.0219121909096476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0.00527171010220764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0.0314949197111416</c:v>
                </c:pt>
                <c:pt idx="1">
                  <c:v>0.0189012353927796</c:v>
                </c:pt>
                <c:pt idx="2">
                  <c:v>0.0251980775519606</c:v>
                </c:pt>
                <c:pt idx="3">
                  <c:v>0.0314949197111416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0.0141379750230706</c:v>
                </c:pt>
                <c:pt idx="3">
                  <c:v>0.0141379750230706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0.233616875097562</c:v>
                </c:pt>
                <c:pt idx="1">
                  <c:v>0.233616875097562</c:v>
                </c:pt>
                <c:pt idx="2">
                  <c:v>0.233616875097562</c:v>
                </c:pt>
                <c:pt idx="3">
                  <c:v>0.233616875097562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0.368858823340576</c:v>
                </c:pt>
                <c:pt idx="1">
                  <c:v>0.68981228262987</c:v>
                </c:pt>
                <c:pt idx="2">
                  <c:v>0.665228832445654</c:v>
                </c:pt>
                <c:pt idx="3">
                  <c:v>0.584322547615865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8126968"/>
        <c:axId val="-1994262168"/>
      </c:barChart>
      <c:catAx>
        <c:axId val="-2008126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262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426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2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097592"/>
        <c:axId val="-2005826232"/>
      </c:barChart>
      <c:catAx>
        <c:axId val="208309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82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82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97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145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773.38701570747901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20.530120841590008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4.1521202885338727E-4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4.1521202885338727E-4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-1.3695078959003614E-4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-1.3695078959003614E-4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2.4877138539336127E-4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2.4877138539336127E-4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60218.201909327312</v>
      </c>
      <c r="T23" s="179">
        <f>SUM(T7:T22)</f>
        <v>60028.057942827698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0.91276135552343696</v>
      </c>
      <c r="J30" s="229">
        <f>IF(I$32&lt;=1,I30,1-SUM(J6:J29))</f>
        <v>0.55288575683546926</v>
      </c>
      <c r="K30" s="22">
        <f t="shared" si="4"/>
        <v>0.65941317907845587</v>
      </c>
      <c r="L30" s="22">
        <f>IF(L124=L119,0,IF(K30="",0,(L119-L124)/(B119-B124)*K30))</f>
        <v>0.35953611181303108</v>
      </c>
      <c r="M30" s="175">
        <f t="shared" si="6"/>
        <v>0.55288575683546926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2.211543027341877</v>
      </c>
      <c r="Z30" s="122">
        <f>IF($Y30=0,0,AA30/($Y$30))</f>
        <v>0.25006504214459796</v>
      </c>
      <c r="AA30" s="187">
        <f>IF(AA79*4/$I$83+SUM(AA6:AA29)&lt;1,AA79*4/$I$83,1-SUM(AA6:AA29))</f>
        <v>0.55302960033683823</v>
      </c>
      <c r="AB30" s="122">
        <f>IF($Y30=0,0,AC30/($Y$30))</f>
        <v>0.28876967112405455</v>
      </c>
      <c r="AC30" s="187">
        <f>IF(AC79*4/$I$83+SUM(AC6:AC29)&lt;1,AC79*4/$I$83,1-SUM(AC6:AC29))</f>
        <v>0.6386265526822098</v>
      </c>
      <c r="AD30" s="122">
        <f>IF($Y30=0,0,AE30/($Y$30))</f>
        <v>0.28760232786364659</v>
      </c>
      <c r="AE30" s="187">
        <f>IF(AE79*4/$I$83+SUM(AE6:AE29)&lt;1,AE79*4/$I$83,1-SUM(AE6:AE29))</f>
        <v>0.63604492283414005</v>
      </c>
      <c r="AF30" s="122">
        <f>IF($Y30=0,0,AG30/($Y$30))</f>
        <v>0.28173777383338389</v>
      </c>
      <c r="AG30" s="187">
        <f>IF(AG79*4/$I$83+SUM(AG6:AG29)&lt;1,AG79*4/$I$83,1-SUM(AG6:AG29))</f>
        <v>0.62307520926004289</v>
      </c>
      <c r="AH30" s="123">
        <f t="shared" si="12"/>
        <v>1.1081748149656829</v>
      </c>
      <c r="AI30" s="183">
        <f t="shared" si="13"/>
        <v>0.61269407127830777</v>
      </c>
      <c r="AJ30" s="120">
        <f t="shared" si="14"/>
        <v>0.59582807650952407</v>
      </c>
      <c r="AK30" s="119">
        <f t="shared" si="15"/>
        <v>0.62956006604709147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0.17400401054301473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11656.803726886501</v>
      </c>
      <c r="T31" s="232">
        <f>IF(T25&gt;T$23,T25-T$23,0)</f>
        <v>11846.947693386115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1.3600843568478689</v>
      </c>
      <c r="J32" s="17"/>
      <c r="L32" s="22">
        <f>SUM(L6:L30)</f>
        <v>0.82599598945698527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52579.203726886495</v>
      </c>
      <c r="T32" s="232">
        <f t="shared" si="24"/>
        <v>52769.347693386109</v>
      </c>
      <c r="V32" s="56"/>
      <c r="W32" s="110"/>
      <c r="X32" s="118"/>
      <c r="Y32" s="115">
        <f>SUM(Y6:Y31)</f>
        <v>3.7607667422286459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0.44029114390430718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11846.947693386111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6.2687391882717591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1.2689498569404991E-4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1.5671847970679398</v>
      </c>
      <c r="AB52" s="156">
        <f>Poor!AB57</f>
        <v>0.25</v>
      </c>
      <c r="AC52" s="147">
        <f t="shared" si="41"/>
        <v>1.5671847970679398</v>
      </c>
      <c r="AD52" s="156">
        <f>Poor!AD57</f>
        <v>0.25</v>
      </c>
      <c r="AE52" s="147">
        <f t="shared" si="42"/>
        <v>1.5671847970679398</v>
      </c>
      <c r="AF52" s="122">
        <f t="shared" si="29"/>
        <v>0.25</v>
      </c>
      <c r="AG52" s="147">
        <f t="shared" si="36"/>
        <v>1.5671847970679398</v>
      </c>
      <c r="AH52" s="123">
        <f t="shared" si="37"/>
        <v>1</v>
      </c>
      <c r="AI52" s="112">
        <f t="shared" si="37"/>
        <v>6.2687391882717591</v>
      </c>
      <c r="AJ52" s="148">
        <f t="shared" si="38"/>
        <v>3.1343695941358796</v>
      </c>
      <c r="AK52" s="147">
        <f t="shared" si="39"/>
        <v>3.1343695941358796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14.261381653318249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2.8868609245396345E-4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53138.6</v>
      </c>
      <c r="J65" s="39">
        <f>SUM(J37:J64)</f>
        <v>53159.130120841597</v>
      </c>
      <c r="K65" s="40">
        <f>SUM(K37:K64)</f>
        <v>1</v>
      </c>
      <c r="L65" s="22">
        <f>SUM(L37:L64)</f>
        <v>1.0801983765510819</v>
      </c>
      <c r="M65" s="24">
        <f>SUM(M37:M64)</f>
        <v>1.0760739685601828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12745.767184797071</v>
      </c>
      <c r="AB65" s="137"/>
      <c r="AC65" s="153">
        <f>SUM(AC37:AC64)</f>
        <v>12315.06718479707</v>
      </c>
      <c r="AD65" s="137"/>
      <c r="AE65" s="153">
        <f>SUM(AE37:AE64)</f>
        <v>12397.66718479707</v>
      </c>
      <c r="AF65" s="137"/>
      <c r="AG65" s="153">
        <f>SUM(AG37:AG64)</f>
        <v>12356.367184797069</v>
      </c>
      <c r="AH65" s="137"/>
      <c r="AI65" s="153">
        <f>SUM(AI37:AI64)</f>
        <v>49814.868739188278</v>
      </c>
      <c r="AJ65" s="153">
        <f>SUM(AJ37:AJ64)</f>
        <v>25060.83436959414</v>
      </c>
      <c r="AK65" s="153">
        <f>SUM(AK37:AK64)</f>
        <v>24754.034369594141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28181.244112937155</v>
      </c>
      <c r="J74" s="51">
        <f t="shared" si="44"/>
        <v>17070.188593831521</v>
      </c>
      <c r="K74" s="40">
        <f>B74/B$76</f>
        <v>0.24977033456699416</v>
      </c>
      <c r="L74" s="22">
        <f t="shared" si="45"/>
        <v>0.22470342623759526</v>
      </c>
      <c r="M74" s="24">
        <f>J74/B$76</f>
        <v>0.34554338158805531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4268.6574301327146</v>
      </c>
      <c r="AB74" s="156"/>
      <c r="AC74" s="147">
        <f>AC30*$I$83/4</f>
        <v>4929.3527462663151</v>
      </c>
      <c r="AD74" s="156"/>
      <c r="AE74" s="147">
        <f>AE30*$I$83/4</f>
        <v>4909.4259766574132</v>
      </c>
      <c r="AF74" s="156"/>
      <c r="AG74" s="147">
        <f>AG30*$I$83/4</f>
        <v>4809.3169333421147</v>
      </c>
      <c r="AH74" s="155"/>
      <c r="AI74" s="147">
        <f>SUM(AA74,AC74,AE74,AG74)</f>
        <v>18916.753086398556</v>
      </c>
      <c r="AJ74" s="148">
        <f>(AA74+AC74)</f>
        <v>9198.0101763990297</v>
      </c>
      <c r="AK74" s="147">
        <f>(AE74+AG74)</f>
        <v>9718.7429099995279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3545.4820625878865</v>
      </c>
      <c r="AB75" s="158"/>
      <c r="AC75" s="149">
        <f>AA75+AC65-SUM(AC70,AC74)</f>
        <v>4691.8575293529284</v>
      </c>
      <c r="AD75" s="158"/>
      <c r="AE75" s="149">
        <f>AC75+AE65-SUM(AE70,AE74)</f>
        <v>5940.7597657268743</v>
      </c>
      <c r="AF75" s="158"/>
      <c r="AG75" s="149">
        <f>IF(SUM(AG6:AG29)+((AG65-AG70-$J$75)*4/I$83)&lt;1,0,AG65-AG70-$J$75-(1-SUM(AG6:AG29))*I$83/4)</f>
        <v>1307.7112796892425</v>
      </c>
      <c r="AH75" s="134"/>
      <c r="AI75" s="149">
        <f>AI76-SUM(AI70,AI74)</f>
        <v>5940.7597657268707</v>
      </c>
      <c r="AJ75" s="151">
        <f>AJ76-SUM(AJ70,AJ74)</f>
        <v>3384.146249663685</v>
      </c>
      <c r="AK75" s="149">
        <f>AJ75+AK76-SUM(AK70,AK74)</f>
        <v>5940.7597657268743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53138.6</v>
      </c>
      <c r="J76" s="51">
        <f t="shared" si="44"/>
        <v>53159.13012084159</v>
      </c>
      <c r="K76" s="40">
        <f>SUM(K70:K75)</f>
        <v>1.7392141942015522</v>
      </c>
      <c r="L76" s="22">
        <f>SUM(L70:L75)</f>
        <v>1.1950459136446552</v>
      </c>
      <c r="M76" s="24">
        <f>SUM(M70:M75)</f>
        <v>1.3158858689951156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12745.767184797071</v>
      </c>
      <c r="AB76" s="137"/>
      <c r="AC76" s="153">
        <f>AC65</f>
        <v>12315.06718479707</v>
      </c>
      <c r="AD76" s="137"/>
      <c r="AE76" s="153">
        <f>AE65</f>
        <v>12397.66718479707</v>
      </c>
      <c r="AF76" s="137"/>
      <c r="AG76" s="153">
        <f>AG65</f>
        <v>12356.367184797069</v>
      </c>
      <c r="AH76" s="137"/>
      <c r="AI76" s="153">
        <f>SUM(AA76,AC76,AE76,AG76)</f>
        <v>49814.868739188278</v>
      </c>
      <c r="AJ76" s="154">
        <f>SUM(AA76,AC76)</f>
        <v>25060.83436959414</v>
      </c>
      <c r="AK76" s="154">
        <f>SUM(AE76,AG76)</f>
        <v>24754.034369594141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11846.947693386111</v>
      </c>
      <c r="K77" s="40"/>
      <c r="L77" s="22">
        <f>-(L131*G$37*F$9/F$7)/B$130</f>
        <v>-0.4651430807743433</v>
      </c>
      <c r="M77" s="24">
        <f>-J77/B$76</f>
        <v>-0.23981190043493272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1307.7112796892425</v>
      </c>
      <c r="AB78" s="112"/>
      <c r="AC78" s="112">
        <f>IF(AA75&lt;0,0,AA75)</f>
        <v>3545.4820625878865</v>
      </c>
      <c r="AD78" s="112"/>
      <c r="AE78" s="112">
        <f>AC75</f>
        <v>4691.8575293529284</v>
      </c>
      <c r="AF78" s="112"/>
      <c r="AG78" s="112">
        <f>AE75</f>
        <v>5940.7597657268743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7814.1394927206011</v>
      </c>
      <c r="AB79" s="112"/>
      <c r="AC79" s="112">
        <f>AA79-AA74+AC65-AC70</f>
        <v>9621.2102756192435</v>
      </c>
      <c r="AD79" s="112"/>
      <c r="AE79" s="112">
        <f>AC79-AC74+AE65-AE70</f>
        <v>10850.185742384288</v>
      </c>
      <c r="AF79" s="112"/>
      <c r="AG79" s="112">
        <f>AE79-AE74+AG65-AG70</f>
        <v>12057.787978758231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2.0303798001178688E-4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2.0303798001178688E-4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4.6191140452681511E-4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4.6191140452681511E-4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1.7211043051272359</v>
      </c>
      <c r="J119" s="24">
        <f>SUM(J91:J118)</f>
        <v>1.7217692545117744</v>
      </c>
      <c r="K119" s="22">
        <f>SUM(K91:K118)</f>
        <v>2.6400780549925003</v>
      </c>
      <c r="L119" s="22">
        <f>SUM(L91:L118)</f>
        <v>1.7283685024066888</v>
      </c>
      <c r="M119" s="57">
        <f t="shared" si="49"/>
        <v>1.7217692545117744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0.91276135552343696</v>
      </c>
      <c r="J128" s="226">
        <f>(J30)</f>
        <v>0.55288575683546926</v>
      </c>
      <c r="K128" s="29">
        <f>(B128)</f>
        <v>0.65941317907845587</v>
      </c>
      <c r="L128" s="29">
        <f>IF(L124=L119,0,(L119-L124)/(B119-B124)*K128)</f>
        <v>0.35953611181303108</v>
      </c>
      <c r="M128" s="238">
        <f t="shared" si="66"/>
        <v>0.55288575683546926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1.7211043051272359</v>
      </c>
      <c r="J130" s="226">
        <f>(J119)</f>
        <v>1.7217692545117744</v>
      </c>
      <c r="K130" s="29">
        <f>(B130)</f>
        <v>2.6400780549925003</v>
      </c>
      <c r="L130" s="29">
        <f>(L119)</f>
        <v>1.7283685024066888</v>
      </c>
      <c r="M130" s="238">
        <f t="shared" si="66"/>
        <v>1.7217692545117744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0.38371038525109835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913.35307590166337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9852.4856435968759</v>
      </c>
      <c r="T13" s="220">
        <f>IF($B$81=0,0,(SUMIF($N$6:$N$28,$U13,M$6:M$28)+SUMIF($N$91:$N$118,$U13,M$91:M$118))*$I$83*Poor!$B$81/$B$81)</f>
        <v>9852.4856435968759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1.5494251870038132E-4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1.5494251870038132E-4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6.1977007480152528E-4</v>
      </c>
      <c r="Z18" s="116">
        <v>1.2941</v>
      </c>
      <c r="AA18" s="121">
        <f t="shared" ref="AA18:AA20" si="25">$M18*Z18*4</f>
        <v>8.0204445380065387E-4</v>
      </c>
      <c r="AB18" s="116">
        <v>1.1765000000000001</v>
      </c>
      <c r="AC18" s="121">
        <f t="shared" ref="AC18:AC20" si="26">$M18*AB18*4</f>
        <v>7.2915949300399456E-4</v>
      </c>
      <c r="AD18" s="116">
        <v>1.2353000000000001</v>
      </c>
      <c r="AE18" s="121">
        <f t="shared" ref="AE18:AE20" si="27">$M18*AD18*4</f>
        <v>7.6560197340232422E-4</v>
      </c>
      <c r="AF18" s="122">
        <f t="shared" ref="AF18:AF20" si="28">1-SUM(Z18,AB18,AD18)</f>
        <v>-2.7059000000000002</v>
      </c>
      <c r="AG18" s="121">
        <f t="shared" ref="AG18:AG20" si="29">$M18*AF18*4</f>
        <v>-1.6770358454054474E-3</v>
      </c>
      <c r="AH18" s="123">
        <f t="shared" ref="AH18:AH20" si="30">SUM(Z18,AB18,AD18,AF18)</f>
        <v>1</v>
      </c>
      <c r="AI18" s="183">
        <f t="shared" ref="AI18:AI20" si="31">SUM(AA18,AC18,AE18,AG18)/4</f>
        <v>1.5494251870038129E-4</v>
      </c>
      <c r="AJ18" s="120">
        <f t="shared" ref="AJ18:AJ20" si="32">(AA18+AC18)/2</f>
        <v>7.6560197340232422E-4</v>
      </c>
      <c r="AK18" s="119">
        <f t="shared" ref="AK18:AK20" si="33">(AE18+AG18)/2</f>
        <v>-4.5571693600156158E-4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2.7927991746868196E-3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2.7927991746868196E-3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1.1171196698747278E-2</v>
      </c>
      <c r="Z19" s="116">
        <v>2.2940999999999998</v>
      </c>
      <c r="AA19" s="121">
        <f t="shared" si="25"/>
        <v>2.5627842346596128E-2</v>
      </c>
      <c r="AB19" s="116">
        <v>2.1764999999999999</v>
      </c>
      <c r="AC19" s="121">
        <f t="shared" si="26"/>
        <v>2.431410961482345E-2</v>
      </c>
      <c r="AD19" s="116">
        <v>2.2353000000000001</v>
      </c>
      <c r="AE19" s="121">
        <f t="shared" si="27"/>
        <v>2.4970975980709791E-2</v>
      </c>
      <c r="AF19" s="122">
        <f t="shared" si="28"/>
        <v>-5.7058999999999997</v>
      </c>
      <c r="AG19" s="121">
        <f t="shared" si="29"/>
        <v>-6.3741731243382088E-2</v>
      </c>
      <c r="AH19" s="123">
        <f t="shared" si="30"/>
        <v>1</v>
      </c>
      <c r="AI19" s="183">
        <f t="shared" si="31"/>
        <v>2.7927991746868192E-3</v>
      </c>
      <c r="AJ19" s="120">
        <f t="shared" si="32"/>
        <v>2.4970975980709791E-2</v>
      </c>
      <c r="AK19" s="119">
        <f t="shared" si="33"/>
        <v>-1.9385377631336149E-2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51858.085274556324</v>
      </c>
      <c r="T23" s="179">
        <f>SUM(T7:T22)</f>
        <v>50584.542823575423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0.60769308624194662</v>
      </c>
      <c r="J30" s="229">
        <f>IF(I$32&lt;=1,I30,1-SUM(J6:J29))</f>
        <v>0.55301822765465902</v>
      </c>
      <c r="K30" s="22">
        <f t="shared" si="4"/>
        <v>0.71440989937733512</v>
      </c>
      <c r="L30" s="22">
        <f>IF(L124=L119,0,IF(K30="",0,(L119-L124)/(B119-B124)*K30))</f>
        <v>0.27105760571882748</v>
      </c>
      <c r="M30" s="175">
        <f t="shared" si="6"/>
        <v>0.55301822765465902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2.2120729106186361</v>
      </c>
      <c r="Z30" s="122">
        <f>IF($Y30=0,0,AA30/($Y$30))</f>
        <v>-0.18046758967912344</v>
      </c>
      <c r="AA30" s="187">
        <f>IF(AA79*4/$I$83+SUM(AA6:AA29)&lt;1,AA79*4/$I$83,1-SUM(AA6:AA29))</f>
        <v>-0.39920746637382831</v>
      </c>
      <c r="AB30" s="122">
        <f>IF($Y30=0,0,AC30/($Y$30))</f>
        <v>-0.16654016407967132</v>
      </c>
      <c r="AC30" s="187">
        <f>IF(AC79*4/$I$83+SUM(AC6:AC29)&lt;1,AC79*4/$I$83,1-SUM(AC6:AC29))</f>
        <v>-0.36839898549062378</v>
      </c>
      <c r="AD30" s="122">
        <f>IF($Y30=0,0,AE30/($Y$30))</f>
        <v>-0.17422323498022294</v>
      </c>
      <c r="AE30" s="187">
        <f>IF(AE79*4/$I$83+SUM(AE6:AE29)&lt;1,AE79*4/$I$83,1-SUM(AE6:AE29))</f>
        <v>-0.38539449850009633</v>
      </c>
      <c r="AF30" s="122">
        <f>IF($Y30=0,0,AG30/($Y$30))</f>
        <v>1.5212309887390179</v>
      </c>
      <c r="AG30" s="187">
        <f>IF(AG79*4/$I$83+SUM(AG6:AG29)&lt;1,AG79*4/$I$83,1-SUM(AG6:AG29))</f>
        <v>3.365073860983185</v>
      </c>
      <c r="AH30" s="123">
        <f t="shared" si="12"/>
        <v>1</v>
      </c>
      <c r="AI30" s="183">
        <f t="shared" si="13"/>
        <v>0.55301822765465913</v>
      </c>
      <c r="AJ30" s="120">
        <f t="shared" si="14"/>
        <v>-0.38380322593222604</v>
      </c>
      <c r="AK30" s="119">
        <f t="shared" si="15"/>
        <v>1.4898396812415444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0.2470548333620004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20016.920361657489</v>
      </c>
      <c r="T31" s="232">
        <f>IF(T25&gt;T$23,T25-T$23,0)</f>
        <v>21290.46281263839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1.0545954855115842</v>
      </c>
      <c r="J32" s="17"/>
      <c r="L32" s="22">
        <f>SUM(L6:L30)</f>
        <v>0.7529451666379996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60939.320361657483</v>
      </c>
      <c r="T32" s="232">
        <f t="shared" si="50"/>
        <v>62212.862812638385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1.1420947046927254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21290.462812638394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1.4142406173272533E-3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1.2907751666082076E-3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0.2</v>
      </c>
      <c r="F53" s="26">
        <v>1.4</v>
      </c>
      <c r="G53" s="22">
        <f t="shared" si="59"/>
        <v>1.65</v>
      </c>
      <c r="H53" s="24">
        <f t="shared" si="69"/>
        <v>0.27999999999999997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7.8568923184847413E-4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0.2</v>
      </c>
      <c r="F54" s="26">
        <v>1.4</v>
      </c>
      <c r="G54" s="22">
        <f t="shared" si="59"/>
        <v>1.65</v>
      </c>
      <c r="H54" s="24">
        <f t="shared" si="69"/>
        <v>0.27999999999999997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6393.6</v>
      </c>
      <c r="J55" s="38">
        <f t="shared" si="71"/>
        <v>6393.6000000000013</v>
      </c>
      <c r="K55" s="40">
        <f t="shared" si="72"/>
        <v>0.23089642731873528</v>
      </c>
      <c r="L55" s="22">
        <f t="shared" si="73"/>
        <v>0.12814751716189809</v>
      </c>
      <c r="M55" s="24">
        <f t="shared" si="74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9"/>
        <v>0.55500000000000005</v>
      </c>
      <c r="I57" s="39">
        <f t="shared" si="70"/>
        <v>1998.0000000000002</v>
      </c>
      <c r="J57" s="38">
        <f t="shared" si="71"/>
        <v>1998.0000000000005</v>
      </c>
      <c r="K57" s="40">
        <f t="shared" si="72"/>
        <v>7.2155133537104774E-2</v>
      </c>
      <c r="L57" s="22">
        <f t="shared" si="73"/>
        <v>4.0046099113093155E-2</v>
      </c>
      <c r="M57" s="24">
        <f t="shared" si="74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9"/>
        <v>0.70799999999999996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9"/>
        <v>1.18</v>
      </c>
      <c r="I61" s="39">
        <f t="shared" si="70"/>
        <v>33417.599999999999</v>
      </c>
      <c r="J61" s="38">
        <f t="shared" si="71"/>
        <v>33417.600000000006</v>
      </c>
      <c r="K61" s="40">
        <f t="shared" si="72"/>
        <v>0.56762038382522428</v>
      </c>
      <c r="L61" s="22">
        <f t="shared" si="73"/>
        <v>0.66979205291376465</v>
      </c>
      <c r="M61" s="24">
        <f t="shared" si="74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5"/>
        <v>1</v>
      </c>
      <c r="AI61" s="112">
        <f t="shared" si="75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43719.705000000002</v>
      </c>
      <c r="J65" s="39">
        <f>SUM(J37:J64)</f>
        <v>43719.705000000009</v>
      </c>
      <c r="K65" s="40">
        <f>SUM(K37:K64)</f>
        <v>1</v>
      </c>
      <c r="L65" s="22">
        <f>SUM(L37:L64)</f>
        <v>0.9025736333116201</v>
      </c>
      <c r="M65" s="24">
        <f>SUM(M37:M64)</f>
        <v>0.87627809791050781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10511.100000000002</v>
      </c>
      <c r="AB65" s="137"/>
      <c r="AC65" s="153">
        <f>SUM(AC37:AC64)</f>
        <v>10469.800000000003</v>
      </c>
      <c r="AD65" s="137"/>
      <c r="AE65" s="153">
        <f>SUM(AE37:AE64)</f>
        <v>10552.400000000001</v>
      </c>
      <c r="AF65" s="137"/>
      <c r="AG65" s="153">
        <f>SUM(AG37:AG64)</f>
        <v>12186.405000000002</v>
      </c>
      <c r="AH65" s="137"/>
      <c r="AI65" s="153">
        <f>SUM(AI37:AI64)</f>
        <v>43719.705000000009</v>
      </c>
      <c r="AJ65" s="153">
        <f>SUM(AJ37:AJ64)</f>
        <v>20980.900000000005</v>
      </c>
      <c r="AK65" s="153">
        <f>SUM(AK37:AK64)</f>
        <v>22738.805000000004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6">J124*I$83</f>
        <v>24957.355887062851</v>
      </c>
      <c r="K70" s="40">
        <f>B70/B$76</f>
        <v>0.35730185451668017</v>
      </c>
      <c r="L70" s="22">
        <f t="shared" ref="L70:L75" si="77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18762.34911293715</v>
      </c>
      <c r="J71" s="51">
        <f t="shared" si="76"/>
        <v>18762.34911293715</v>
      </c>
      <c r="K71" s="40">
        <f t="shared" ref="K71:K72" si="79">B71/B$76</f>
        <v>0.39030582418867238</v>
      </c>
      <c r="L71" s="22">
        <f t="shared" si="77"/>
        <v>0.4023510369882678</v>
      </c>
      <c r="M71" s="24">
        <f t="shared" ref="M71:M72" si="80">J71/B$76</f>
        <v>0.37605550158715539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18762.34911293715</v>
      </c>
      <c r="J74" s="51">
        <f t="shared" si="76"/>
        <v>17074.278592242208</v>
      </c>
      <c r="K74" s="40">
        <f>B74/B$76</f>
        <v>0.26793606253444902</v>
      </c>
      <c r="L74" s="22">
        <f t="shared" si="77"/>
        <v>0.16773714591352717</v>
      </c>
      <c r="M74" s="24">
        <f>J74/B$76</f>
        <v>0.34222134774249052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-3081.3539030518082</v>
      </c>
      <c r="AB74" s="156"/>
      <c r="AC74" s="147">
        <f>AC30*$I$83/4</f>
        <v>-2843.5531582940366</v>
      </c>
      <c r="AD74" s="156"/>
      <c r="AE74" s="147">
        <f>AE30*$I$83/4</f>
        <v>-2974.736051294004</v>
      </c>
      <c r="AF74" s="156"/>
      <c r="AG74" s="147">
        <f>AG30*$I$83/4</f>
        <v>25973.921704882061</v>
      </c>
      <c r="AH74" s="155"/>
      <c r="AI74" s="147">
        <f>SUM(AA74,AC74,AE74,AG74)</f>
        <v>17074.278592242212</v>
      </c>
      <c r="AJ74" s="148">
        <f>(AA74+AC74)</f>
        <v>-5924.9070613458443</v>
      </c>
      <c r="AK74" s="147">
        <f>(AE74+AG74)</f>
        <v>22999.185653588058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7353.114931286098</v>
      </c>
      <c r="AB75" s="158"/>
      <c r="AC75" s="149">
        <f>AA75+AC65-SUM(AC70,AC74)</f>
        <v>14427.129117814424</v>
      </c>
      <c r="AD75" s="158"/>
      <c r="AE75" s="149">
        <f>AC75+AE65-SUM(AE70,AE74)</f>
        <v>21714.926197342716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1688.0705206949424</v>
      </c>
      <c r="AJ75" s="151">
        <f>AJ76-SUM(AJ70,AJ74)</f>
        <v>14427.129117814424</v>
      </c>
      <c r="AK75" s="149">
        <f>AJ75+AK76-SUM(AK70,AK74)</f>
        <v>1688.0705206949424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43719.705000000002</v>
      </c>
      <c r="J76" s="51">
        <f t="shared" si="76"/>
        <v>43719.705000000002</v>
      </c>
      <c r="K76" s="40">
        <f>SUM(K70:K75)</f>
        <v>1.7617480805693599</v>
      </c>
      <c r="L76" s="22">
        <f>SUM(L70:L75)</f>
        <v>1.0703107792251472</v>
      </c>
      <c r="M76" s="24">
        <f>SUM(M70:M75)</f>
        <v>1.2184994456529981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10511.100000000002</v>
      </c>
      <c r="AB76" s="137"/>
      <c r="AC76" s="153">
        <f>AC65</f>
        <v>10469.800000000003</v>
      </c>
      <c r="AD76" s="137"/>
      <c r="AE76" s="153">
        <f>AE65</f>
        <v>10552.400000000001</v>
      </c>
      <c r="AF76" s="137"/>
      <c r="AG76" s="153">
        <f>AG65</f>
        <v>12186.405000000002</v>
      </c>
      <c r="AH76" s="137"/>
      <c r="AI76" s="153">
        <f>SUM(AA76,AC76,AE76,AG76)</f>
        <v>43719.705000000009</v>
      </c>
      <c r="AJ76" s="154">
        <f>SUM(AA76,AC76)</f>
        <v>20980.900000000005</v>
      </c>
      <c r="AK76" s="154">
        <f>SUM(AE76,AG76)</f>
        <v>22738.805000000004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22978.533333333329</v>
      </c>
      <c r="J77" s="100">
        <f t="shared" si="76"/>
        <v>21290.462812638394</v>
      </c>
      <c r="K77" s="40"/>
      <c r="L77" s="22">
        <f>-(L131*G$37*F$9/F$7)/B$130</f>
        <v>-0.46056087254263323</v>
      </c>
      <c r="M77" s="24">
        <f>-J77/B$76</f>
        <v>-0.42672671869796852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7353.114931286098</v>
      </c>
      <c r="AD78" s="112"/>
      <c r="AE78" s="112">
        <f>AC75</f>
        <v>14427.129117814424</v>
      </c>
      <c r="AF78" s="112"/>
      <c r="AG78" s="112">
        <f>AE75</f>
        <v>21714.926197342716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4271.7610282342894</v>
      </c>
      <c r="AB79" s="112"/>
      <c r="AC79" s="112">
        <f>AA79-AA74+AC65-AC70</f>
        <v>11583.575959520389</v>
      </c>
      <c r="AD79" s="112"/>
      <c r="AE79" s="112">
        <f>AC79-AC74+AE65-AE70</f>
        <v>18740.190146048713</v>
      </c>
      <c r="AF79" s="112"/>
      <c r="AG79" s="112">
        <f>AE79-AE74+AG65-AG70</f>
        <v>27661.992225577007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0.14303030303030304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0.3575757575757576</v>
      </c>
      <c r="I93" s="22">
        <f t="shared" si="89"/>
        <v>6.6883214651641973E-2</v>
      </c>
      <c r="J93" s="24">
        <f t="shared" si="90"/>
        <v>6.6883214651641973E-2</v>
      </c>
      <c r="K93" s="22">
        <f t="shared" si="91"/>
        <v>0.18704627826306652</v>
      </c>
      <c r="L93" s="22">
        <f t="shared" si="92"/>
        <v>6.6883214651641973E-2</v>
      </c>
      <c r="M93" s="225">
        <f t="shared" si="93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0.3575757575757576</v>
      </c>
      <c r="I94" s="22">
        <f t="shared" si="89"/>
        <v>-1.2621818079259864E-2</v>
      </c>
      <c r="J94" s="24">
        <f t="shared" si="90"/>
        <v>-1.2621818079259864E-2</v>
      </c>
      <c r="K94" s="22">
        <f t="shared" si="91"/>
        <v>3.5298304797930127E-2</v>
      </c>
      <c r="L94" s="22">
        <f t="shared" si="92"/>
        <v>1.2621818079259864E-2</v>
      </c>
      <c r="M94" s="225">
        <f t="shared" si="93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0.3575757575757576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0.25454545454545457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4.3530770213950024E-3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0.16969696969696968</v>
      </c>
      <c r="I99" s="22">
        <f t="shared" si="89"/>
        <v>1.3603365691859386E-3</v>
      </c>
      <c r="J99" s="24">
        <f t="shared" si="90"/>
        <v>1.3603365691859386E-3</v>
      </c>
      <c r="K99" s="22">
        <f t="shared" si="91"/>
        <v>5.3441793789447578E-2</v>
      </c>
      <c r="L99" s="22">
        <f t="shared" si="92"/>
        <v>9.0689104612395877E-3</v>
      </c>
      <c r="M99" s="225">
        <f t="shared" si="93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0.16969696969696968</v>
      </c>
      <c r="I100" s="22">
        <f t="shared" si="89"/>
        <v>9.0689104612395877E-4</v>
      </c>
      <c r="J100" s="24">
        <f t="shared" si="90"/>
        <v>9.0689104612395877E-4</v>
      </c>
      <c r="K100" s="22">
        <f t="shared" si="91"/>
        <v>2.6720896894723788E-3</v>
      </c>
      <c r="L100" s="22">
        <f t="shared" si="92"/>
        <v>4.5344552306197938E-4</v>
      </c>
      <c r="M100" s="225">
        <f t="shared" si="93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0.16969696969696968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2.2853654362323763E-3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2.0858494060851055E-3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0.16969696969696968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1.2696474645735422E-3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0.16969696969696968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0.33636363636363642</v>
      </c>
      <c r="I109" s="22">
        <f t="shared" si="89"/>
        <v>0.20708209258921947</v>
      </c>
      <c r="J109" s="24">
        <f t="shared" si="90"/>
        <v>0.20708209258921947</v>
      </c>
      <c r="K109" s="22">
        <f t="shared" si="91"/>
        <v>0.61564946445443613</v>
      </c>
      <c r="L109" s="22">
        <f t="shared" si="92"/>
        <v>0.20708209258921947</v>
      </c>
      <c r="M109" s="225">
        <f t="shared" si="93"/>
        <v>0.20708209258921947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0.33636363636363642</v>
      </c>
      <c r="I111" s="22">
        <f t="shared" si="89"/>
        <v>6.4713153934131087E-2</v>
      </c>
      <c r="J111" s="24">
        <f t="shared" si="90"/>
        <v>6.4713153934131087E-2</v>
      </c>
      <c r="K111" s="22">
        <f t="shared" si="91"/>
        <v>0.19239045764201129</v>
      </c>
      <c r="L111" s="22">
        <f t="shared" si="92"/>
        <v>6.4713153934131087E-2</v>
      </c>
      <c r="M111" s="225">
        <f t="shared" si="93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0.42909090909090908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0.7151515151515152</v>
      </c>
      <c r="I115" s="22">
        <f t="shared" si="89"/>
        <v>1.0823615079625719</v>
      </c>
      <c r="J115" s="24">
        <f t="shared" si="90"/>
        <v>1.0823615079625719</v>
      </c>
      <c r="K115" s="22">
        <f t="shared" si="91"/>
        <v>1.5134716001171555</v>
      </c>
      <c r="L115" s="22">
        <f t="shared" si="92"/>
        <v>1.0823615079625719</v>
      </c>
      <c r="M115" s="225">
        <f t="shared" si="93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1.4160360358457458</v>
      </c>
      <c r="J119" s="24">
        <f>SUM(J91:J118)</f>
        <v>1.4160360358457458</v>
      </c>
      <c r="K119" s="22">
        <f>SUM(K91:K118)</f>
        <v>2.6663446966400137</v>
      </c>
      <c r="L119" s="22">
        <f>SUM(L91:L118)</f>
        <v>1.4585287397015434</v>
      </c>
      <c r="M119" s="57">
        <f t="shared" si="81"/>
        <v>1.4160360358457458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4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0.60769308624194662</v>
      </c>
      <c r="J125" s="235">
        <f>IF(SUMPRODUCT($B$124:$B125,$H$124:$H125)&lt;J$119,($B125*$H125),IF(SUMPRODUCT($B$124:$B124,$H$124:$H124)&lt;J$119,J$119-SUMPRODUCT($B$124:$B124,$H$124:$H124),0))</f>
        <v>0.60769308624194662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0.65018579009774424</v>
      </c>
      <c r="M125" s="238">
        <f t="shared" si="94"/>
        <v>0.60769308624194662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0.60769308624194662</v>
      </c>
      <c r="J128" s="226">
        <f>(J30)</f>
        <v>0.55301822765465902</v>
      </c>
      <c r="K128" s="29">
        <f>(B128)</f>
        <v>0.71440989937733512</v>
      </c>
      <c r="L128" s="29">
        <f>IF(L124=L119,0,(L119-L124)/(B119-B124)*K128)</f>
        <v>0.27105760571882748</v>
      </c>
      <c r="M128" s="238">
        <f t="shared" si="94"/>
        <v>0.55301822765465902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1.4160360358457458</v>
      </c>
      <c r="J130" s="226">
        <f>(J119)</f>
        <v>1.4160360358457458</v>
      </c>
      <c r="K130" s="29">
        <f>(B130)</f>
        <v>2.6663446966400137</v>
      </c>
      <c r="L130" s="29">
        <f>(L119)</f>
        <v>1.4585287397015434</v>
      </c>
      <c r="M130" s="238">
        <f t="shared" si="94"/>
        <v>1.4160360358457458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0.74425093332360448</v>
      </c>
      <c r="J131" s="235">
        <f>IF(SUMPRODUCT($B124:$B125,$H124:$H125)&gt;(J119-J128),SUMPRODUCT($B124:$B125,$H124:$H125)+J128-J119,0)</f>
        <v>0.6895760747363171</v>
      </c>
      <c r="K131" s="29"/>
      <c r="L131" s="29">
        <f>IF(I131&lt;SUM(L126:L127),0,I131-(SUM(L126:L127)))</f>
        <v>0.74425093332360448</v>
      </c>
      <c r="M131" s="235">
        <f>IF(I131&lt;SUM(M126:M127),0,I131-(SUM(M126:M127)))</f>
        <v>0.74425093332360448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1805.3310480209268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18581.372747575155</v>
      </c>
      <c r="T13" s="220">
        <f>IF($B$81=0,0,(SUMIF($N$6:$N$28,$U13,M$6:M$28)+SUMIF($N$91:$N$118,$U13,M$91:M$118))*$I$83*Poor!$B$81/$B$81)</f>
        <v>18581.372747575155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19583.999999999996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1.8879977271295403E-4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1.8879977271295403E-4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1.0431246035889716E-2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1.0431246035889716E-2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4.868812571638913E-4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4.868812571638913E-4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10053.599999999999</v>
      </c>
      <c r="T20" s="220">
        <f>IF($B$81=0,0,(SUMIF($N$6:$N$28,$U20,M$6:M$28)+SUMIF($N$91:$N$118,$U20,M$91:M$118))*$I$83*Poor!$B$81/$B$81)</f>
        <v>10053.599999999999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172461.14243344529</v>
      </c>
      <c r="S23" s="179">
        <f>SUM(S7:S22)</f>
        <v>75387.387997362588</v>
      </c>
      <c r="T23" s="179">
        <f>SUM(T7:T22)</f>
        <v>71726.705077347404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1.2484004361352765</v>
      </c>
      <c r="J30" s="229">
        <f>IF(I$32&lt;=1,I30,1-SUM(J6:J29))</f>
        <v>0.50895280456064051</v>
      </c>
      <c r="K30" s="22">
        <f t="shared" si="4"/>
        <v>0.6807752441843089</v>
      </c>
      <c r="L30" s="22">
        <f>IF(L124=L119,0,IF(K30="",0,(L119-L124)/(B119-B124)*K30))</f>
        <v>0.20426665355730236</v>
      </c>
      <c r="M30" s="175">
        <f t="shared" si="6"/>
        <v>0.50895280456064051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2.0358112182425621</v>
      </c>
      <c r="Z30" s="122">
        <f>IF($Y30=0,0,AA30/($Y$30))</f>
        <v>0.24189913731283316</v>
      </c>
      <c r="AA30" s="187">
        <f>IF(AA79*4/$I$84+SUM(AA6:AA29)&lt;1,AA79*4/$I$84,1-SUM(AA6:AA29))</f>
        <v>0.49246097742466366</v>
      </c>
      <c r="AB30" s="122">
        <f>IF($Y30=0,0,AC30/($Y$30))</f>
        <v>0.31561211493157276</v>
      </c>
      <c r="AC30" s="187">
        <f>IF(AC79*4/$I$84+SUM(AC6:AC29)&lt;1,AC79*4/$I$84,1-SUM(AC6:AC29))</f>
        <v>0.64252668419095671</v>
      </c>
      <c r="AD30" s="122">
        <f>IF($Y30=0,0,AE30/($Y$30))</f>
        <v>0.17423171532423648</v>
      </c>
      <c r="AE30" s="187">
        <f>IF(AE79*4/$I$84+SUM(AE6:AE29)&lt;1,AE79*4/$I$84,1-SUM(AE6:AE29))</f>
        <v>0.35470288063072514</v>
      </c>
      <c r="AF30" s="122">
        <f>IF($Y30=0,0,AG30/($Y$30))</f>
        <v>0.16141009238139917</v>
      </c>
      <c r="AG30" s="187">
        <f>IF(AG79*4/$I$84+SUM(AG6:AG29)&lt;1,AG79*4/$I$84,1-SUM(AG6:AG29))</f>
        <v>0.32860047680762072</v>
      </c>
      <c r="AH30" s="123">
        <f t="shared" si="12"/>
        <v>0.89315305995004157</v>
      </c>
      <c r="AI30" s="183">
        <f t="shared" si="13"/>
        <v>0.45457275476349152</v>
      </c>
      <c r="AJ30" s="120">
        <f t="shared" si="14"/>
        <v>0.56749383080781013</v>
      </c>
      <c r="AK30" s="119">
        <f t="shared" si="15"/>
        <v>0.3416516787191729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0.29563263497498726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148.30055886640912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0.28323219266110333</v>
      </c>
      <c r="AF31" s="134"/>
      <c r="AG31" s="133">
        <f>1-AG32+IF($Y32&lt;0,$Y32/4,0)</f>
        <v>0.27207848191384665</v>
      </c>
      <c r="AH31" s="123"/>
      <c r="AI31" s="182">
        <f>SUM(AA31,AC31,AE31,AG31)/4</f>
        <v>0.1388276686437375</v>
      </c>
      <c r="AJ31" s="135">
        <f t="shared" si="14"/>
        <v>0</v>
      </c>
      <c r="AK31" s="136">
        <f t="shared" si="15"/>
        <v>0.27765533728747499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1.7386689366383838</v>
      </c>
      <c r="J32" s="17"/>
      <c r="L32" s="22">
        <f>SUM(L6:L30)</f>
        <v>0.70436736502501274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37410.017638851219</v>
      </c>
      <c r="T32" s="232">
        <f t="shared" si="24"/>
        <v>41070.700558866403</v>
      </c>
      <c r="V32" s="56"/>
      <c r="W32" s="110"/>
      <c r="X32" s="118"/>
      <c r="Y32" s="115">
        <f>SUM(Y6:Y31)</f>
        <v>3.6622095246136457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0.71676780733889667</v>
      </c>
      <c r="AF32" s="137"/>
      <c r="AG32" s="139">
        <f>SUM(AG6:AG30)</f>
        <v>0.72792151808615335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1.3943728488718186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148.30055886639678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63501.36</v>
      </c>
      <c r="J65" s="39">
        <f>SUM(J37:J64)</f>
        <v>63501.36</v>
      </c>
      <c r="K65" s="40">
        <f>SUM(K37:K64)</f>
        <v>0.99999999999999989</v>
      </c>
      <c r="L65" s="22">
        <f>SUM(L37:L64)</f>
        <v>0.65093666972610009</v>
      </c>
      <c r="M65" s="24">
        <f>SUM(M37:M64)</f>
        <v>0.61351007197719909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15353.789999999999</v>
      </c>
      <c r="AB65" s="137"/>
      <c r="AC65" s="153">
        <f>SUM(AC37:AC64)</f>
        <v>11548.289999999999</v>
      </c>
      <c r="AD65" s="137"/>
      <c r="AE65" s="153">
        <f>SUM(AE37:AE64)</f>
        <v>10026.089999999998</v>
      </c>
      <c r="AF65" s="137"/>
      <c r="AG65" s="153">
        <f>SUM(AG37:AG64)</f>
        <v>10256.189999999999</v>
      </c>
      <c r="AH65" s="137"/>
      <c r="AI65" s="153">
        <f>SUM(AI37:AI64)</f>
        <v>47184.359999999993</v>
      </c>
      <c r="AJ65" s="153">
        <f>SUM(AJ37:AJ64)</f>
        <v>26902.079999999994</v>
      </c>
      <c r="AK65" s="153">
        <f>SUM(AK37:AK64)</f>
        <v>20282.28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0.12687924882168597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38544.004112937146</v>
      </c>
      <c r="J74" s="51">
        <f t="shared" si="44"/>
        <v>15713.771338470213</v>
      </c>
      <c r="K74" s="40">
        <f>B74/B$76</f>
        <v>0.12307260637485801</v>
      </c>
      <c r="L74" s="22">
        <f t="shared" si="45"/>
        <v>6.0931106036570259E-2</v>
      </c>
      <c r="M74" s="24">
        <f>J74/B$76</f>
        <v>0.151816543533841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7854.3220543511861</v>
      </c>
      <c r="AD74" s="156"/>
      <c r="AE74" s="147">
        <f>AE30*$I$84/4</f>
        <v>4335.9298946280423</v>
      </c>
      <c r="AF74" s="156"/>
      <c r="AG74" s="147">
        <f>AG30*$I$84/4</f>
        <v>4016.8510282342859</v>
      </c>
      <c r="AH74" s="155"/>
      <c r="AI74" s="147">
        <f>SUM(AA74,AC74,AE74,AG74)</f>
        <v>22227.004112937142</v>
      </c>
      <c r="AJ74" s="148">
        <f>(AA74+AC74)</f>
        <v>13874.223190074814</v>
      </c>
      <c r="AK74" s="147">
        <f>(AE74+AG74)</f>
        <v>8352.7809228623282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3094.5498925106576</v>
      </c>
      <c r="AB75" s="158"/>
      <c r="AC75" s="149">
        <f>AA75+AC65-SUM(AC70,AC74)</f>
        <v>549.17886639375683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549.17886639375865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63501.36</v>
      </c>
      <c r="J76" s="51">
        <f t="shared" si="44"/>
        <v>63501.36</v>
      </c>
      <c r="K76" s="40">
        <f>SUM(K70:K75)</f>
        <v>1.1083391742682622</v>
      </c>
      <c r="L76" s="22">
        <f>SUM(L70:L75)</f>
        <v>0.65093666972610009</v>
      </c>
      <c r="M76" s="24">
        <f>SUM(M70:M75)</f>
        <v>0.61494285840168494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15353.789999999999</v>
      </c>
      <c r="AB76" s="137"/>
      <c r="AC76" s="153">
        <f>AC65</f>
        <v>11548.289999999999</v>
      </c>
      <c r="AD76" s="137"/>
      <c r="AE76" s="153">
        <f>AE65</f>
        <v>10026.089999999998</v>
      </c>
      <c r="AF76" s="137"/>
      <c r="AG76" s="153">
        <f>AG65</f>
        <v>10256.189999999999</v>
      </c>
      <c r="AH76" s="137"/>
      <c r="AI76" s="153">
        <f>SUM(AA76,AC76,AE76,AG76)</f>
        <v>47184.36</v>
      </c>
      <c r="AJ76" s="154">
        <f>SUM(AA76,AC76)</f>
        <v>26902.079999999998</v>
      </c>
      <c r="AK76" s="154">
        <f>SUM(AE76,AG76)</f>
        <v>20282.28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148.30055886639678</v>
      </c>
      <c r="K77" s="40"/>
      <c r="L77" s="22">
        <f>-(L131*G$37*F$9/F$7)/B$130</f>
        <v>-9.5124841157864126E-2</v>
      </c>
      <c r="M77" s="24">
        <f>-J77/B$76</f>
        <v>-1.4327864244857425E-3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3462.2637659344364</v>
      </c>
      <c r="AF77" s="112"/>
      <c r="AG77" s="111">
        <f>AG31*$I$84/4</f>
        <v>3325.919488777542</v>
      </c>
      <c r="AH77" s="110"/>
      <c r="AI77" s="154">
        <f>SUM(AA77,AC77,AE77,AG77)</f>
        <v>6788.1832547119784</v>
      </c>
      <c r="AJ77" s="153">
        <f>SUM(AA77,AC77)</f>
        <v>0</v>
      </c>
      <c r="AK77" s="160">
        <f>SUM(AE77,AG77)</f>
        <v>6788.1832547119784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3094.5498925106576</v>
      </c>
      <c r="AD78" s="112"/>
      <c r="AE78" s="112">
        <f>AC75</f>
        <v>549.17886639375683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9114.4510282342853</v>
      </c>
      <c r="AB79" s="112"/>
      <c r="AC79" s="112">
        <f>AA79-AA74+AC65-AC70</f>
        <v>8403.5009207449439</v>
      </c>
      <c r="AD79" s="112"/>
      <c r="AE79" s="112">
        <f>AC79-AC74+AE65-AE70</f>
        <v>4335.9298946280423</v>
      </c>
      <c r="AF79" s="112"/>
      <c r="AG79" s="112">
        <f>AE79-AE74+AG65-AG70</f>
        <v>4016.8510282342859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0.42909090909090908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2.0567433857390758</v>
      </c>
      <c r="J119" s="24">
        <f>SUM(J91:J118)</f>
        <v>2.0567433857390758</v>
      </c>
      <c r="K119" s="22">
        <f>SUM(K91:K118)</f>
        <v>5.5314928661767722</v>
      </c>
      <c r="L119" s="22">
        <f>SUM(L91:L118)</f>
        <v>2.1822130575289629</v>
      </c>
      <c r="M119" s="57">
        <f t="shared" si="49"/>
        <v>2.0567433857390758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0.4253525210442568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1.2484004361352765</v>
      </c>
      <c r="J128" s="226">
        <f>(J30)</f>
        <v>0.50895280456064051</v>
      </c>
      <c r="K128" s="22">
        <f>(B128)</f>
        <v>0.6807752441843089</v>
      </c>
      <c r="L128" s="22">
        <f>IF(L124=L119,0,(L119-L124)/(B119-B124)*K128)</f>
        <v>0.20426665355730236</v>
      </c>
      <c r="M128" s="57">
        <f t="shared" si="63"/>
        <v>0.50895280456064051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2.0567433857390758</v>
      </c>
      <c r="J130" s="226">
        <f>(J119)</f>
        <v>2.0567433857390758</v>
      </c>
      <c r="K130" s="22">
        <f>(B130)</f>
        <v>5.5314928661767722</v>
      </c>
      <c r="L130" s="22">
        <f>(L119)</f>
        <v>2.1822130575289629</v>
      </c>
      <c r="M130" s="57">
        <f t="shared" si="63"/>
        <v>2.0567433857390758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4.8033017489683694E-3</v>
      </c>
      <c r="K131" s="29"/>
      <c r="L131" s="29">
        <f>IF(I131&lt;SUM(L126:L127),0,I131-(SUM(L126:L127)))</f>
        <v>0.3188984122793479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5.9606745815317464E-3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5.9606745815317464E-3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2.3842698326126986E-2</v>
      </c>
      <c r="Z6" s="156">
        <f>Poor!Z6</f>
        <v>0.17</v>
      </c>
      <c r="AA6" s="121">
        <f>$M6*Z6*4</f>
        <v>4.0532587154415876E-3</v>
      </c>
      <c r="AB6" s="156">
        <f>Poor!AB6</f>
        <v>0.17</v>
      </c>
      <c r="AC6" s="121">
        <f t="shared" ref="AC6:AC29" si="7">$M6*AB6*4</f>
        <v>4.0532587154415876E-3</v>
      </c>
      <c r="AD6" s="156">
        <f>Poor!AD6</f>
        <v>0.33</v>
      </c>
      <c r="AE6" s="121">
        <f t="shared" ref="AE6:AE29" si="8">$M6*AD6*4</f>
        <v>7.868090447621906E-3</v>
      </c>
      <c r="AF6" s="122">
        <f>1-SUM(Z6,AB6,AD6)</f>
        <v>0.32999999999999996</v>
      </c>
      <c r="AG6" s="121">
        <f>$M6*AF6*4</f>
        <v>7.8680904476219043E-3</v>
      </c>
      <c r="AH6" s="123">
        <f>SUM(Z6,AB6,AD6,AF6)</f>
        <v>1</v>
      </c>
      <c r="AI6" s="183">
        <f>SUM(AA6,AC6,AE6,AG6)/4</f>
        <v>5.9606745815317472E-3</v>
      </c>
      <c r="AJ6" s="120">
        <f>(AA6+AC6)/2</f>
        <v>4.0532587154415876E-3</v>
      </c>
      <c r="AK6" s="119">
        <f>(AE6+AG6)/2</f>
        <v>7.868090447621906E-3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4232.3049169649985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11586.126157479301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6.2942620319348261E-2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6.2942620319348261E-2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721.05116360834904</v>
      </c>
      <c r="U9" s="221">
        <v>3</v>
      </c>
      <c r="V9" s="56"/>
      <c r="W9" s="115"/>
      <c r="X9" s="118">
        <f>Poor!X9</f>
        <v>1</v>
      </c>
      <c r="Y9" s="183">
        <f t="shared" si="9"/>
        <v>0.25177048127739304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0.25177048127739304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6.2942620319348261E-2</v>
      </c>
      <c r="AJ9" s="120">
        <f t="shared" si="14"/>
        <v>0.12588524063869652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-3.30404772661164E-5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-3.30404772661164E-5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2991.8773297947432</v>
      </c>
      <c r="U10" s="221">
        <v>4</v>
      </c>
      <c r="V10" s="56"/>
      <c r="W10" s="115"/>
      <c r="X10" s="118">
        <f>Poor!X10</f>
        <v>1</v>
      </c>
      <c r="Y10" s="183">
        <f t="shared" si="9"/>
        <v>-1.321619090644656E-4</v>
      </c>
      <c r="Z10" s="125">
        <f>IF($Y10=0,0,AA10/$Y10)</f>
        <v>2.3367958448061894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-3.088353999434967E-4</v>
      </c>
      <c r="AB10" s="125">
        <f>IF($Y10=0,0,AC10/$Y10)</f>
        <v>-1.3367958448061896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1.766734908790311E-4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0.99999999999999978</v>
      </c>
      <c r="AI10" s="183">
        <f t="shared" si="13"/>
        <v>-3.30404772661164E-5</v>
      </c>
      <c r="AJ10" s="120">
        <f t="shared" si="14"/>
        <v>-6.6080954532232801E-5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3.7260444746232486E-4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3.7260444746232486E-4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14688.314290649841</v>
      </c>
      <c r="U11" s="221">
        <v>5</v>
      </c>
      <c r="V11" s="56"/>
      <c r="W11" s="115"/>
      <c r="X11" s="118">
        <f>Poor!X11</f>
        <v>1</v>
      </c>
      <c r="Y11" s="183">
        <f t="shared" si="9"/>
        <v>1.4904177898492994E-3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1.4904177898492994E-3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3.7260444746232486E-4</v>
      </c>
      <c r="AJ11" s="120">
        <f t="shared" si="14"/>
        <v>7.4520889492464971E-4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1.7351132478842586E-4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1.7351132478842586E-4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6.9404529915370345E-4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4.6501035043298132E-4</v>
      </c>
      <c r="AF12" s="122">
        <f>1-SUM(Z12,AB12,AD12)</f>
        <v>0.32999999999999996</v>
      </c>
      <c r="AG12" s="121">
        <f>$M12*AF12*4</f>
        <v>2.290349487207221E-4</v>
      </c>
      <c r="AH12" s="123">
        <f t="shared" si="12"/>
        <v>1</v>
      </c>
      <c r="AI12" s="183">
        <f t="shared" si="13"/>
        <v>1.7351132478842586E-4</v>
      </c>
      <c r="AJ12" s="120">
        <f t="shared" si="14"/>
        <v>0</v>
      </c>
      <c r="AK12" s="119">
        <f t="shared" si="15"/>
        <v>3.4702264957685173E-4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8.2180634294036631E-3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8.2180634294036631E-3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3.2872253717614652E-2</v>
      </c>
      <c r="Z13" s="156">
        <f>Poor!Z13</f>
        <v>1</v>
      </c>
      <c r="AA13" s="121">
        <f>$M13*Z13*4</f>
        <v>3.2872253717614652E-2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8.2180634294036631E-3</v>
      </c>
      <c r="AJ13" s="120">
        <f t="shared" si="14"/>
        <v>1.6436126858807326E-2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-1.1366102557585218E-5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-1.1366102557585218E-5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81774</v>
      </c>
      <c r="T14" s="220">
        <f>IF($B$81=0,0,(SUMIF($N$6:$N$28,$U14,M$6:M$28)+SUMIF($N$91:$N$118,$U14,M$91:M$118))*$I$83*Poor!$B$81/$B$81)</f>
        <v>81774</v>
      </c>
      <c r="U14" s="221">
        <v>8</v>
      </c>
      <c r="V14" s="56"/>
      <c r="W14" s="110"/>
      <c r="X14" s="118"/>
      <c r="Y14" s="183">
        <f>M14*4</f>
        <v>-4.5464410230340871E-5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-4.5464410230340871E-5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-1.1366102557585218E-5</v>
      </c>
      <c r="AJ14" s="120">
        <f t="shared" si="14"/>
        <v>-2.2732205115170436E-5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2.191219090964763E-2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2.191219090964763E-2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8.7648763638590518E-2</v>
      </c>
      <c r="Z15" s="156">
        <f>Poor!Z15</f>
        <v>0.25</v>
      </c>
      <c r="AA15" s="121">
        <f t="shared" si="16"/>
        <v>2.191219090964763E-2</v>
      </c>
      <c r="AB15" s="156">
        <f>Poor!AB15</f>
        <v>0.25</v>
      </c>
      <c r="AC15" s="121">
        <f t="shared" si="7"/>
        <v>2.191219090964763E-2</v>
      </c>
      <c r="AD15" s="156">
        <f>Poor!AD15</f>
        <v>0.25</v>
      </c>
      <c r="AE15" s="121">
        <f t="shared" si="8"/>
        <v>2.191219090964763E-2</v>
      </c>
      <c r="AF15" s="122">
        <f t="shared" si="10"/>
        <v>0.25</v>
      </c>
      <c r="AG15" s="121">
        <f t="shared" si="11"/>
        <v>2.191219090964763E-2</v>
      </c>
      <c r="AH15" s="123">
        <f t="shared" si="12"/>
        <v>1</v>
      </c>
      <c r="AI15" s="183">
        <f t="shared" si="13"/>
        <v>2.191219090964763E-2</v>
      </c>
      <c r="AJ15" s="120">
        <f t="shared" si="14"/>
        <v>2.191219090964763E-2</v>
      </c>
      <c r="AK15" s="119">
        <f t="shared" si="15"/>
        <v>2.191219090964763E-2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1.3179275255519091E-3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1.3179275255519091E-3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5.2717101022076362E-3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5.2717101022076362E-3</v>
      </c>
      <c r="AH16" s="123">
        <f t="shared" si="12"/>
        <v>1</v>
      </c>
      <c r="AI16" s="183">
        <f t="shared" si="13"/>
        <v>1.3179275255519091E-3</v>
      </c>
      <c r="AJ16" s="120">
        <f t="shared" si="14"/>
        <v>0</v>
      </c>
      <c r="AK16" s="119">
        <f t="shared" si="15"/>
        <v>2.6358550511038181E-3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2.6772288091755851E-2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2.6772288091755851E-2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0.1070891523670234</v>
      </c>
      <c r="Z17" s="156">
        <f>Poor!Z17</f>
        <v>0.29409999999999997</v>
      </c>
      <c r="AA17" s="121">
        <f t="shared" si="16"/>
        <v>3.1494919711141579E-2</v>
      </c>
      <c r="AB17" s="156">
        <f>Poor!AB17</f>
        <v>0.17649999999999999</v>
      </c>
      <c r="AC17" s="121">
        <f t="shared" si="7"/>
        <v>1.8901235392779631E-2</v>
      </c>
      <c r="AD17" s="156">
        <f>Poor!AD17</f>
        <v>0.23530000000000001</v>
      </c>
      <c r="AE17" s="121">
        <f t="shared" si="8"/>
        <v>2.5198077551960608E-2</v>
      </c>
      <c r="AF17" s="122">
        <f t="shared" si="10"/>
        <v>0.29410000000000003</v>
      </c>
      <c r="AG17" s="121">
        <f t="shared" si="11"/>
        <v>3.1494919711141586E-2</v>
      </c>
      <c r="AH17" s="123">
        <f t="shared" si="12"/>
        <v>1</v>
      </c>
      <c r="AI17" s="183">
        <f t="shared" si="13"/>
        <v>2.6772288091755851E-2</v>
      </c>
      <c r="AJ17" s="120">
        <f t="shared" si="14"/>
        <v>2.5198077551960605E-2</v>
      </c>
      <c r="AK17" s="119">
        <f t="shared" si="15"/>
        <v>2.8346498631551097E-2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4.4067520030737321E-5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4.4067520030737321E-5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9.5189560916024412E-3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9.5189560916024412E-3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1.8549002720729616E-4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1.8549002720729616E-4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12567</v>
      </c>
      <c r="T20" s="220">
        <f>IF($B$81=0,0,(SUMIF($N$6:$N$28,$U20,M$6:M$28)+SUMIF($N$91:$N$118,$U20,M$91:M$118))*$I$83*Poor!$B$81/$B$81)</f>
        <v>12567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298006.62512646551</v>
      </c>
      <c r="T23" s="179">
        <f>SUM(T7:T22)</f>
        <v>297729.92385849723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3.1572948174050965E-2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3.1572948174050965E-2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0.12629179269620386</v>
      </c>
      <c r="Z27" s="156">
        <f>Poor!Z27</f>
        <v>0.25</v>
      </c>
      <c r="AA27" s="121">
        <f t="shared" si="16"/>
        <v>3.1572948174050965E-2</v>
      </c>
      <c r="AB27" s="156">
        <f>Poor!AB27</f>
        <v>0.25</v>
      </c>
      <c r="AC27" s="121">
        <f t="shared" si="7"/>
        <v>3.1572948174050965E-2</v>
      </c>
      <c r="AD27" s="156">
        <f>Poor!AD27</f>
        <v>0.25</v>
      </c>
      <c r="AE27" s="121">
        <f t="shared" si="8"/>
        <v>3.1572948174050965E-2</v>
      </c>
      <c r="AF27" s="122">
        <f t="shared" si="10"/>
        <v>0.25</v>
      </c>
      <c r="AG27" s="121">
        <f t="shared" si="11"/>
        <v>3.1572948174050965E-2</v>
      </c>
      <c r="AH27" s="123">
        <f t="shared" si="12"/>
        <v>1</v>
      </c>
      <c r="AI27" s="183">
        <f t="shared" si="13"/>
        <v>3.1572948174050965E-2</v>
      </c>
      <c r="AJ27" s="120">
        <f t="shared" si="14"/>
        <v>3.1572948174050965E-2</v>
      </c>
      <c r="AK27" s="119">
        <f t="shared" si="15"/>
        <v>3.1572948174050965E-2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7.0689875115353042E-3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7.0689875115353042E-3</v>
      </c>
      <c r="N28" s="227"/>
      <c r="O28" s="2"/>
      <c r="P28" s="22"/>
      <c r="V28" s="56"/>
      <c r="W28" s="110"/>
      <c r="X28" s="118"/>
      <c r="Y28" s="183">
        <f t="shared" si="9"/>
        <v>2.8275950046141217E-2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1.4137975023070608E-2</v>
      </c>
      <c r="AF28" s="122">
        <f t="shared" si="10"/>
        <v>0.5</v>
      </c>
      <c r="AG28" s="121">
        <f t="shared" si="11"/>
        <v>1.4137975023070608E-2</v>
      </c>
      <c r="AH28" s="123">
        <f t="shared" si="12"/>
        <v>1</v>
      </c>
      <c r="AI28" s="183">
        <f t="shared" si="13"/>
        <v>7.0689875115353042E-3</v>
      </c>
      <c r="AJ28" s="120">
        <f t="shared" si="14"/>
        <v>0</v>
      </c>
      <c r="AK28" s="119">
        <f t="shared" si="15"/>
        <v>1.4137975023070608E-2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0.2336168750975616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0.2336168750975616</v>
      </c>
      <c r="N29" s="227"/>
      <c r="P29" s="22"/>
      <c r="V29" s="56"/>
      <c r="W29" s="110"/>
      <c r="X29" s="118"/>
      <c r="Y29" s="183">
        <f t="shared" si="9"/>
        <v>0.9344675003902464</v>
      </c>
      <c r="Z29" s="156">
        <f>Poor!Z29</f>
        <v>0.25</v>
      </c>
      <c r="AA29" s="121">
        <f t="shared" si="16"/>
        <v>0.2336168750975616</v>
      </c>
      <c r="AB29" s="156">
        <f>Poor!AB29</f>
        <v>0.25</v>
      </c>
      <c r="AC29" s="121">
        <f t="shared" si="7"/>
        <v>0.2336168750975616</v>
      </c>
      <c r="AD29" s="156">
        <f>Poor!AD29</f>
        <v>0.25</v>
      </c>
      <c r="AE29" s="121">
        <f t="shared" si="8"/>
        <v>0.2336168750975616</v>
      </c>
      <c r="AF29" s="122">
        <f t="shared" si="10"/>
        <v>0.25</v>
      </c>
      <c r="AG29" s="121">
        <f t="shared" si="11"/>
        <v>0.2336168750975616</v>
      </c>
      <c r="AH29" s="123">
        <f t="shared" si="12"/>
        <v>1</v>
      </c>
      <c r="AI29" s="183">
        <f t="shared" si="13"/>
        <v>0.2336168750975616</v>
      </c>
      <c r="AJ29" s="120">
        <f t="shared" si="14"/>
        <v>0.2336168750975616</v>
      </c>
      <c r="AK29" s="119">
        <f t="shared" si="15"/>
        <v>0.2336168750975616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8.4695034676625998</v>
      </c>
      <c r="J30" s="229">
        <f>IF(I$32&lt;=1,I30,1-SUM(J6:J29))</f>
        <v>0.56730710786915084</v>
      </c>
      <c r="K30" s="22">
        <f t="shared" si="4"/>
        <v>0.610559792652553</v>
      </c>
      <c r="L30" s="22">
        <f>IF(L124=L119,0,IF(K30="",0,(L119-L124)/(B119-B124)*K30))</f>
        <v>0.27803103392472778</v>
      </c>
      <c r="M30" s="175">
        <f t="shared" si="6"/>
        <v>0.56730710786915084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2.2692284314766034</v>
      </c>
      <c r="Z30" s="122">
        <f>IF($Y30=0,0,AA30/($Y$30))</f>
        <v>0.16254812350493833</v>
      </c>
      <c r="AA30" s="187">
        <f>IF(AA79*4/$I$83+SUM(AA6:AA29)&lt;1,AA79*4/$I$83,1-SUM(AA6:AA29))</f>
        <v>0.3688588233405764</v>
      </c>
      <c r="AB30" s="122">
        <f>IF($Y30=0,0,AC30/($Y$30))</f>
        <v>0.30398538686605653</v>
      </c>
      <c r="AC30" s="187">
        <f>IF(AC79*4/$I$83+SUM(AC6:AC29)&lt;1,AC79*4/$I$83,1-SUM(AC6:AC29))</f>
        <v>0.68981228262986993</v>
      </c>
      <c r="AD30" s="122">
        <f>IF($Y30=0,0,AE30/($Y$30))</f>
        <v>0.2931519908785844</v>
      </c>
      <c r="AE30" s="187">
        <f>IF(AE79*4/$I$83+SUM(AE6:AE29)&lt;1,AE79*4/$I$83,1-SUM(AE6:AE29))</f>
        <v>0.66522883244565367</v>
      </c>
      <c r="AF30" s="122">
        <f>IF($Y30=0,0,AG30/($Y$30))</f>
        <v>0.25749833710467063</v>
      </c>
      <c r="AG30" s="187">
        <f>IF(AG79*4/$I$83+SUM(AG6:AG29)&lt;1,AG79*4/$I$83,1-SUM(AG6:AG29))</f>
        <v>0.58432254761586533</v>
      </c>
      <c r="AH30" s="123">
        <f t="shared" si="12"/>
        <v>1.01718383835425</v>
      </c>
      <c r="AI30" s="183">
        <f t="shared" si="13"/>
        <v>0.57705562150799139</v>
      </c>
      <c r="AJ30" s="120">
        <f t="shared" si="14"/>
        <v>0.52933555298522317</v>
      </c>
      <c r="AK30" s="119">
        <f t="shared" si="15"/>
        <v>0.6247756900307595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0.28812509396028685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8.8790235041616743</v>
      </c>
      <c r="J32" s="17"/>
      <c r="L32" s="22">
        <f>SUM(L6:L30)</f>
        <v>0.71187490603971315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3.9610059454446382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4.7319016717224077E-2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2393.5018638357947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7.9849404302082885E-3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2393.5018638357947</v>
      </c>
      <c r="AH37" s="123">
        <f>SUM(Z37,AB37,AD37,AF37)</f>
        <v>1</v>
      </c>
      <c r="AI37" s="112">
        <f>SUM(AA37,AC37,AE37,AG37)</f>
        <v>2393.5018638357947</v>
      </c>
      <c r="AJ37" s="148">
        <f>(AA37+AC37)</f>
        <v>0</v>
      </c>
      <c r="AK37" s="147">
        <f>(AE37+AG37)</f>
        <v>2393.5018638357947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8357.7137695210677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2.7882095097017091E-2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8357.7137695210677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8357.7137695210677</v>
      </c>
      <c r="AJ39" s="148">
        <f t="shared" si="36"/>
        <v>8357.7137695210677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1770.4376629988051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5.9063414522632215E-3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1770.4376629988051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1770.4376629988051</v>
      </c>
      <c r="AJ40" s="148">
        <f t="shared" si="36"/>
        <v>1770.4376629988051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6001.8901946814876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2.0022852873980784E-2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1500.4725486703719</v>
      </c>
      <c r="AB43" s="156">
        <f>Poor!AB43</f>
        <v>0.25</v>
      </c>
      <c r="AC43" s="147">
        <f t="shared" si="39"/>
        <v>1500.4725486703719</v>
      </c>
      <c r="AD43" s="156">
        <f>Poor!AD43</f>
        <v>0.25</v>
      </c>
      <c r="AE43" s="147">
        <f t="shared" si="40"/>
        <v>1500.4725486703719</v>
      </c>
      <c r="AF43" s="122">
        <f t="shared" si="31"/>
        <v>0.25</v>
      </c>
      <c r="AG43" s="147">
        <f t="shared" si="34"/>
        <v>1500.4725486703719</v>
      </c>
      <c r="AH43" s="123">
        <f t="shared" si="35"/>
        <v>1</v>
      </c>
      <c r="AI43" s="112">
        <f t="shared" si="35"/>
        <v>6001.8901946814876</v>
      </c>
      <c r="AJ43" s="148">
        <f t="shared" si="36"/>
        <v>3000.9450973407438</v>
      </c>
      <c r="AK43" s="147">
        <f t="shared" si="37"/>
        <v>3000.9450973407438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160.05040519150634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5.3394274330615418E-4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40.012601297876586</v>
      </c>
      <c r="AB44" s="156">
        <f>Poor!AB44</f>
        <v>0.25</v>
      </c>
      <c r="AC44" s="147">
        <f t="shared" si="39"/>
        <v>40.012601297876586</v>
      </c>
      <c r="AD44" s="156">
        <f>Poor!AD44</f>
        <v>0.25</v>
      </c>
      <c r="AE44" s="147">
        <f t="shared" si="40"/>
        <v>40.012601297876586</v>
      </c>
      <c r="AF44" s="122">
        <f t="shared" si="31"/>
        <v>0.25</v>
      </c>
      <c r="AG44" s="147">
        <f t="shared" si="34"/>
        <v>40.012601297876586</v>
      </c>
      <c r="AH44" s="123">
        <f t="shared" si="35"/>
        <v>1</v>
      </c>
      <c r="AI44" s="112">
        <f t="shared" si="35"/>
        <v>160.05040519150634</v>
      </c>
      <c r="AJ44" s="148">
        <f t="shared" si="36"/>
        <v>80.025202595753171</v>
      </c>
      <c r="AK44" s="147">
        <f t="shared" si="37"/>
        <v>80.025202595753171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172.00576039359646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5.7382689821451215E-4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43.001440098399115</v>
      </c>
      <c r="AB45" s="156">
        <f>Poor!AB45</f>
        <v>0.25</v>
      </c>
      <c r="AC45" s="147">
        <f t="shared" si="39"/>
        <v>43.001440098399115</v>
      </c>
      <c r="AD45" s="156">
        <f>Poor!AD45</f>
        <v>0.25</v>
      </c>
      <c r="AE45" s="147">
        <f t="shared" si="40"/>
        <v>43.001440098399115</v>
      </c>
      <c r="AF45" s="122">
        <f t="shared" si="31"/>
        <v>0.25</v>
      </c>
      <c r="AG45" s="147">
        <f t="shared" si="34"/>
        <v>43.001440098399115</v>
      </c>
      <c r="AH45" s="123">
        <f t="shared" si="35"/>
        <v>1</v>
      </c>
      <c r="AI45" s="112">
        <f t="shared" si="35"/>
        <v>172.00576039359646</v>
      </c>
      <c r="AJ45" s="148">
        <f t="shared" si="36"/>
        <v>86.00288019679823</v>
      </c>
      <c r="AK45" s="147">
        <f t="shared" si="37"/>
        <v>86.00288019679823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170.64986493616453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5.6930350735329388E-4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42.662466234041133</v>
      </c>
      <c r="AB46" s="156">
        <f>Poor!AB46</f>
        <v>0.25</v>
      </c>
      <c r="AC46" s="147">
        <f t="shared" si="39"/>
        <v>42.662466234041133</v>
      </c>
      <c r="AD46" s="156">
        <f>Poor!AD46</f>
        <v>0.25</v>
      </c>
      <c r="AE46" s="147">
        <f t="shared" si="40"/>
        <v>42.662466234041133</v>
      </c>
      <c r="AF46" s="122">
        <f t="shared" si="31"/>
        <v>0.25</v>
      </c>
      <c r="AG46" s="147">
        <f t="shared" si="34"/>
        <v>42.662466234041133</v>
      </c>
      <c r="AH46" s="123">
        <f t="shared" si="35"/>
        <v>1</v>
      </c>
      <c r="AI46" s="112">
        <f t="shared" si="35"/>
        <v>170.64986493616453</v>
      </c>
      <c r="AJ46" s="148">
        <f t="shared" si="36"/>
        <v>85.324932468082267</v>
      </c>
      <c r="AK46" s="147">
        <f t="shared" si="37"/>
        <v>85.324932468082267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254.98109805318506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8.5064018940052136E-4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63.745274513296266</v>
      </c>
      <c r="AB47" s="156">
        <f>Poor!AB47</f>
        <v>0.25</v>
      </c>
      <c r="AC47" s="147">
        <f t="shared" si="39"/>
        <v>63.745274513296266</v>
      </c>
      <c r="AD47" s="156">
        <f>Poor!AD47</f>
        <v>0.25</v>
      </c>
      <c r="AE47" s="147">
        <f t="shared" si="40"/>
        <v>63.745274513296266</v>
      </c>
      <c r="AF47" s="122">
        <f t="shared" si="31"/>
        <v>0.25</v>
      </c>
      <c r="AG47" s="147">
        <f t="shared" si="34"/>
        <v>63.745274513296266</v>
      </c>
      <c r="AH47" s="123">
        <f t="shared" si="35"/>
        <v>1</v>
      </c>
      <c r="AI47" s="112">
        <f t="shared" si="35"/>
        <v>254.98109805318506</v>
      </c>
      <c r="AJ47" s="148">
        <f t="shared" si="36"/>
        <v>127.49054902659253</v>
      </c>
      <c r="AK47" s="147">
        <f t="shared" si="37"/>
        <v>127.49054902659253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53.350135063835445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1.7798091443538473E-4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13.337533765958861</v>
      </c>
      <c r="AB48" s="156">
        <f>Poor!AB48</f>
        <v>0.25</v>
      </c>
      <c r="AC48" s="147">
        <f t="shared" si="39"/>
        <v>13.337533765958861</v>
      </c>
      <c r="AD48" s="156">
        <f>Poor!AD48</f>
        <v>0.25</v>
      </c>
      <c r="AE48" s="147">
        <f t="shared" si="40"/>
        <v>13.337533765958861</v>
      </c>
      <c r="AF48" s="122">
        <f t="shared" si="31"/>
        <v>0.25</v>
      </c>
      <c r="AG48" s="147">
        <f t="shared" si="34"/>
        <v>13.337533765958861</v>
      </c>
      <c r="AH48" s="123">
        <f t="shared" si="35"/>
        <v>1</v>
      </c>
      <c r="AI48" s="112">
        <f t="shared" si="35"/>
        <v>53.350135063835445</v>
      </c>
      <c r="AJ48" s="148">
        <f t="shared" si="36"/>
        <v>26.675067531917723</v>
      </c>
      <c r="AK48" s="147">
        <f t="shared" si="37"/>
        <v>26.675067531917723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132.04158428299274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4.4050276322757728E-4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33.010396070748186</v>
      </c>
      <c r="AB49" s="156">
        <f>Poor!AB49</f>
        <v>0.25</v>
      </c>
      <c r="AC49" s="147">
        <f t="shared" si="39"/>
        <v>33.010396070748186</v>
      </c>
      <c r="AD49" s="156">
        <f>Poor!AD49</f>
        <v>0.25</v>
      </c>
      <c r="AE49" s="147">
        <f t="shared" si="40"/>
        <v>33.010396070748186</v>
      </c>
      <c r="AF49" s="122">
        <f t="shared" si="31"/>
        <v>0.25</v>
      </c>
      <c r="AG49" s="147">
        <f t="shared" si="34"/>
        <v>33.010396070748186</v>
      </c>
      <c r="AH49" s="123">
        <f t="shared" si="35"/>
        <v>1</v>
      </c>
      <c r="AI49" s="112">
        <f t="shared" si="35"/>
        <v>132.04158428299274</v>
      </c>
      <c r="AJ49" s="148">
        <f t="shared" si="36"/>
        <v>66.020792141496372</v>
      </c>
      <c r="AK49" s="147">
        <f t="shared" si="37"/>
        <v>66.020792141496372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67.221170180432665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2.2425595218858479E-4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16.805292545108166</v>
      </c>
      <c r="AB50" s="156">
        <f>Poor!AB55</f>
        <v>0.25</v>
      </c>
      <c r="AC50" s="147">
        <f t="shared" si="39"/>
        <v>16.805292545108166</v>
      </c>
      <c r="AD50" s="156">
        <f>Poor!AD55</f>
        <v>0.25</v>
      </c>
      <c r="AE50" s="147">
        <f t="shared" si="40"/>
        <v>16.805292545108166</v>
      </c>
      <c r="AF50" s="122">
        <f t="shared" si="31"/>
        <v>0.25</v>
      </c>
      <c r="AG50" s="147">
        <f t="shared" si="34"/>
        <v>16.805292545108166</v>
      </c>
      <c r="AH50" s="123">
        <f t="shared" si="35"/>
        <v>1</v>
      </c>
      <c r="AI50" s="112">
        <f t="shared" si="35"/>
        <v>67.221170180432665</v>
      </c>
      <c r="AJ50" s="148">
        <f t="shared" si="36"/>
        <v>33.610585090216333</v>
      </c>
      <c r="AK50" s="147">
        <f t="shared" si="37"/>
        <v>33.610585090216333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80.025202595753171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2.6697137165307709E-4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20.006300648938293</v>
      </c>
      <c r="AB51" s="156">
        <f>Poor!AB56</f>
        <v>0.25</v>
      </c>
      <c r="AC51" s="147">
        <f t="shared" si="39"/>
        <v>20.006300648938293</v>
      </c>
      <c r="AD51" s="156">
        <f>Poor!AD56</f>
        <v>0.25</v>
      </c>
      <c r="AE51" s="147">
        <f t="shared" si="40"/>
        <v>20.006300648938293</v>
      </c>
      <c r="AF51" s="122">
        <f t="shared" si="31"/>
        <v>0.25</v>
      </c>
      <c r="AG51" s="147">
        <f t="shared" si="34"/>
        <v>20.006300648938293</v>
      </c>
      <c r="AH51" s="123">
        <f t="shared" si="35"/>
        <v>1</v>
      </c>
      <c r="AI51" s="112">
        <f t="shared" si="35"/>
        <v>80.025202595753171</v>
      </c>
      <c r="AJ51" s="148">
        <f t="shared" si="36"/>
        <v>40.012601297876586</v>
      </c>
      <c r="AK51" s="147">
        <f t="shared" si="37"/>
        <v>40.012601297876586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160.05040519150634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5.3394274330615418E-4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40.012601297876586</v>
      </c>
      <c r="AB52" s="156">
        <f>Poor!AB57</f>
        <v>0.25</v>
      </c>
      <c r="AC52" s="147">
        <f t="shared" si="39"/>
        <v>40.012601297876586</v>
      </c>
      <c r="AD52" s="156">
        <f>Poor!AD57</f>
        <v>0.25</v>
      </c>
      <c r="AE52" s="147">
        <f t="shared" si="40"/>
        <v>40.012601297876586</v>
      </c>
      <c r="AF52" s="122">
        <f t="shared" si="31"/>
        <v>0.25</v>
      </c>
      <c r="AG52" s="147">
        <f t="shared" si="34"/>
        <v>40.012601297876586</v>
      </c>
      <c r="AH52" s="123">
        <f t="shared" si="35"/>
        <v>1</v>
      </c>
      <c r="AI52" s="112">
        <f t="shared" si="35"/>
        <v>160.05040519150634</v>
      </c>
      <c r="AJ52" s="148">
        <f t="shared" si="36"/>
        <v>80.025202595753171</v>
      </c>
      <c r="AK52" s="147">
        <f t="shared" si="37"/>
        <v>80.025202595753171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1856.5847002214732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6.1937358223513881E-3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160.05040519150634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5.3394274330615418E-4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65419.199999999997</v>
      </c>
      <c r="J58" s="38">
        <f t="shared" si="33"/>
        <v>65419.199999999997</v>
      </c>
      <c r="K58" s="40">
        <f t="shared" si="43"/>
        <v>0.30825482398782994</v>
      </c>
      <c r="L58" s="22">
        <f t="shared" si="44"/>
        <v>0.2182444153833836</v>
      </c>
      <c r="M58" s="24">
        <f t="shared" si="45"/>
        <v>0.2182444153833836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16354.8</v>
      </c>
      <c r="AB58" s="156">
        <f>Poor!AB58</f>
        <v>0.25</v>
      </c>
      <c r="AC58" s="147">
        <f t="shared" si="39"/>
        <v>16354.8</v>
      </c>
      <c r="AD58" s="156">
        <f>Poor!AD58</f>
        <v>0.25</v>
      </c>
      <c r="AE58" s="147">
        <f t="shared" si="40"/>
        <v>16354.8</v>
      </c>
      <c r="AF58" s="122">
        <f t="shared" si="31"/>
        <v>0.25</v>
      </c>
      <c r="AG58" s="147">
        <f t="shared" si="34"/>
        <v>16354.8</v>
      </c>
      <c r="AH58" s="123">
        <f t="shared" si="35"/>
        <v>1</v>
      </c>
      <c r="AI58" s="112">
        <f t="shared" si="35"/>
        <v>65419.199999999997</v>
      </c>
      <c r="AJ58" s="148">
        <f t="shared" si="36"/>
        <v>32709.599999999999</v>
      </c>
      <c r="AK58" s="147">
        <f t="shared" si="37"/>
        <v>32709.599999999999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229160.67</v>
      </c>
      <c r="J65" s="39">
        <f>SUM(J37:J64)</f>
        <v>234221.25422233911</v>
      </c>
      <c r="K65" s="40">
        <f>SUM(K37:K64)</f>
        <v>1</v>
      </c>
      <c r="L65" s="22">
        <f>SUM(L37:L64)</f>
        <v>0.78222200352291227</v>
      </c>
      <c r="M65" s="24">
        <f>SUM(M37:M64)</f>
        <v>0.78138345773285611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65336.517887662485</v>
      </c>
      <c r="AB65" s="137"/>
      <c r="AC65" s="153">
        <f>SUM(AC37:AC64)</f>
        <v>54515.116455142612</v>
      </c>
      <c r="AD65" s="137"/>
      <c r="AE65" s="153">
        <f>SUM(AE37:AE64)</f>
        <v>55134.616455142612</v>
      </c>
      <c r="AF65" s="137"/>
      <c r="AG65" s="153">
        <f>SUM(AG37:AG64)</f>
        <v>57218.368318978406</v>
      </c>
      <c r="AH65" s="137"/>
      <c r="AI65" s="153">
        <f>SUM(AI37:AI64)</f>
        <v>232204.61911692613</v>
      </c>
      <c r="AJ65" s="153">
        <f>SUM(AJ37:AJ64)</f>
        <v>119851.6343428051</v>
      </c>
      <c r="AK65" s="153">
        <f>SUM(AK37:AK64)</f>
        <v>112352.98477412103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209194.78529034974</v>
      </c>
      <c r="J74" s="51">
        <f>J128*I$83</f>
        <v>14012.354924642208</v>
      </c>
      <c r="K74" s="40">
        <f>B74/B$76</f>
        <v>3.0491238976837635E-2</v>
      </c>
      <c r="L74" s="22">
        <f>(L128*G$37*F$9/F$7)/B$130</f>
        <v>2.290994726585378E-2</v>
      </c>
      <c r="M74" s="24">
        <f>J74/B$76</f>
        <v>4.6746493516781236E-2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2277.6819988857724</v>
      </c>
      <c r="AB74" s="156"/>
      <c r="AC74" s="147">
        <f>AC30*$I$83/4</f>
        <v>4259.5511326718542</v>
      </c>
      <c r="AD74" s="156"/>
      <c r="AE74" s="147">
        <f>AE30*$I$83/4</f>
        <v>4107.7497430561998</v>
      </c>
      <c r="AF74" s="156"/>
      <c r="AG74" s="147">
        <f>AG30*$I$83/4</f>
        <v>3608.1580920158103</v>
      </c>
      <c r="AH74" s="155"/>
      <c r="AI74" s="147">
        <f>SUM(AA74,AC74,AE74,AG74)</f>
        <v>14253.140966629637</v>
      </c>
      <c r="AJ74" s="148">
        <f>(AA74+AC74)</f>
        <v>6537.2331315576266</v>
      </c>
      <c r="AK74" s="147">
        <f>(AE74+AG74)</f>
        <v>7715.9078350720101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97792.267921380015</v>
      </c>
      <c r="K75" s="40">
        <f>B75/B$76</f>
        <v>0.63228327833131914</v>
      </c>
      <c r="L75" s="22">
        <f>(L129*G$37*F$9/F$7)/B$130</f>
        <v>0.35091901342059056</v>
      </c>
      <c r="M75" s="24">
        <f>J75/B$76</f>
        <v>0.32624392137960717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58067.364711364142</v>
      </c>
      <c r="AB75" s="158"/>
      <c r="AC75" s="149">
        <f>AA75+AC65-SUM(AC70,AC74)</f>
        <v>103331.45885642232</v>
      </c>
      <c r="AD75" s="158"/>
      <c r="AE75" s="149">
        <f>AC75+AE65-SUM(AE70,AE74)</f>
        <v>149366.85439109616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197985.59344064622</v>
      </c>
      <c r="AJ75" s="151">
        <f>AJ76-SUM(AJ70,AJ74)</f>
        <v>103331.45885642234</v>
      </c>
      <c r="AK75" s="149">
        <f>AJ75+AK76-SUM(AK70,AK74)</f>
        <v>197985.59344064622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229160.67</v>
      </c>
      <c r="J76" s="51">
        <f>J130*I$83</f>
        <v>234221.25422233914</v>
      </c>
      <c r="K76" s="40">
        <f>SUM(K70:K75)</f>
        <v>0.85547163432882312</v>
      </c>
      <c r="L76" s="22">
        <f>SUM(L70:L75)</f>
        <v>0.61167853203092337</v>
      </c>
      <c r="M76" s="24">
        <f>SUM(M70:M75)</f>
        <v>0.61083998624086744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65336.517887662485</v>
      </c>
      <c r="AB76" s="137"/>
      <c r="AC76" s="153">
        <f>AC65</f>
        <v>54515.116455142612</v>
      </c>
      <c r="AD76" s="137"/>
      <c r="AE76" s="153">
        <f>AE65</f>
        <v>55134.616455142612</v>
      </c>
      <c r="AF76" s="137"/>
      <c r="AG76" s="153">
        <f>AG65</f>
        <v>57218.368318978406</v>
      </c>
      <c r="AH76" s="137"/>
      <c r="AI76" s="153">
        <f>SUM(AA76,AC76,AE76,AG76)</f>
        <v>232204.61911692613</v>
      </c>
      <c r="AJ76" s="154">
        <f>SUM(AA76,AC76)</f>
        <v>119851.6343428051</v>
      </c>
      <c r="AK76" s="154">
        <f>SUM(AE76,AG76)</f>
        <v>112352.98477412103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58067.364711364142</v>
      </c>
      <c r="AD78" s="112"/>
      <c r="AE78" s="112">
        <f>AC75</f>
        <v>103331.45885642232</v>
      </c>
      <c r="AF78" s="112"/>
      <c r="AG78" s="112">
        <f>AE75</f>
        <v>149366.85439109616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60345.046710249917</v>
      </c>
      <c r="AB79" s="112"/>
      <c r="AC79" s="112">
        <f>AA79-AA74+AC65-AC70</f>
        <v>107591.00998909418</v>
      </c>
      <c r="AD79" s="112"/>
      <c r="AE79" s="112">
        <f>AC79-AC74+AE65-AE70</f>
        <v>153474.60413415235</v>
      </c>
      <c r="AF79" s="112"/>
      <c r="AG79" s="112">
        <f>AE79-AE74+AG65-AG70</f>
        <v>201593.75153266199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9.6903812910432555E-2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9.6903812910432555E-2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0.33837213319846327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0.33837213319846327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7.1678306441707293E-2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7.1678306441707293E-2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0.2429937713114208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0.2429937713114208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6.4798339016378876E-3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6.4798339016378876E-3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6.9638608920846298E-3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6.9638608920846298E-3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6.9089658273602918E-3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6.9089658273602918E-3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1.0323217623003962E-2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1.0323217623003962E-2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2.1599446338792959E-3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2.1599446338792959E-3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5.3458629688512577E-3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5.3458629688512577E-3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2.721530238687913E-3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2.721530238687913E-3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3.2399169508189438E-3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3.2399169508189438E-3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6.4798339016378876E-3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6.4798339016378876E-3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7.5166073258999488E-2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7.5166073258999488E-2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6.4798339016378876E-3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6.4798339016378876E-3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0.42909090909090908</v>
      </c>
      <c r="I112" s="22">
        <f t="shared" si="59"/>
        <v>2.6485753002050219</v>
      </c>
      <c r="J112" s="24">
        <f t="shared" si="60"/>
        <v>2.6485753002050219</v>
      </c>
      <c r="K112" s="22">
        <f t="shared" si="61"/>
        <v>6.1725271826811952</v>
      </c>
      <c r="L112" s="22">
        <f t="shared" si="62"/>
        <v>2.6485753002050219</v>
      </c>
      <c r="M112" s="225">
        <f t="shared" si="63"/>
        <v>2.6485753002050219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9.2778464172663995</v>
      </c>
      <c r="J119" s="24">
        <f>SUM(J91:J118)</f>
        <v>9.482730279739414</v>
      </c>
      <c r="K119" s="22">
        <f>SUM(K91:K118)</f>
        <v>20.024105714968115</v>
      </c>
      <c r="L119" s="22">
        <f>SUM(L91:L118)</f>
        <v>9.4929067218890637</v>
      </c>
      <c r="M119" s="57">
        <f t="shared" si="50"/>
        <v>9.482730279739414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8.4695034676625998</v>
      </c>
      <c r="J128" s="226">
        <f>(J30)</f>
        <v>0.56730710786915084</v>
      </c>
      <c r="K128" s="22">
        <f>(B128)</f>
        <v>0.610559792652553</v>
      </c>
      <c r="L128" s="22">
        <f>IF(L124=L119,0,(L119-L124)/(B119-B124)*K128)</f>
        <v>0.27803103392472778</v>
      </c>
      <c r="M128" s="57">
        <f t="shared" si="90"/>
        <v>0.56730710786915084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3.9592380427703029</v>
      </c>
      <c r="K129" s="29">
        <f>(B129)</f>
        <v>12.66090720711294</v>
      </c>
      <c r="L129" s="60">
        <f>IF(SUM(L124:L128)&gt;L130,0,L130-SUM(L124:L128))</f>
        <v>4.2586905588643758</v>
      </c>
      <c r="M129" s="57">
        <f t="shared" si="90"/>
        <v>3.9592380427703029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9.2778464172663995</v>
      </c>
      <c r="J130" s="226">
        <f>(J119)</f>
        <v>9.482730279739414</v>
      </c>
      <c r="K130" s="22">
        <f>(B130)</f>
        <v>20.024105714968115</v>
      </c>
      <c r="L130" s="22">
        <f>(L119)</f>
        <v>9.4929067218890637</v>
      </c>
      <c r="M130" s="57">
        <f t="shared" si="90"/>
        <v>9.482730279739414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6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773.38701570747901</v>
      </c>
      <c r="G72" s="109">
        <f>Poor!T7</f>
        <v>913.35307590166337</v>
      </c>
      <c r="H72" s="109">
        <f>Middle!T7</f>
        <v>1805.3310480209268</v>
      </c>
      <c r="I72" s="109">
        <f>Rich!T7</f>
        <v>4232.3049169649985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20.530120841590008</v>
      </c>
      <c r="G73" s="109">
        <f>Poor!T8</f>
        <v>70</v>
      </c>
      <c r="H73" s="109">
        <f>Middle!T8</f>
        <v>435.95999999999992</v>
      </c>
      <c r="I73" s="109">
        <f>Rich!T8</f>
        <v>11586.126157479301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721.05116360834904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2991.8773297947432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14688.314290649841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5156.1070544960912</v>
      </c>
      <c r="G78" s="109">
        <f>Poor!T13</f>
        <v>9852.4856435968759</v>
      </c>
      <c r="H78" s="109">
        <f>Middle!T13</f>
        <v>18581.372747575155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81774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19583.999999999996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33417.600000000006</v>
      </c>
      <c r="G85" s="109">
        <f>Poor!T20</f>
        <v>33417.600000000006</v>
      </c>
      <c r="H85" s="109">
        <f>Middle!T20</f>
        <v>10053.599999999999</v>
      </c>
      <c r="I85" s="109">
        <f>Rich!T20</f>
        <v>12567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60028.057942827698</v>
      </c>
      <c r="G88" s="109">
        <f>Poor!T23</f>
        <v>50584.542823575423</v>
      </c>
      <c r="H88" s="109">
        <f>Middle!T23</f>
        <v>71726.705077347404</v>
      </c>
      <c r="I88" s="109">
        <f>Rich!T23</f>
        <v>297729.92385849723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11846.947693386115</v>
      </c>
      <c r="G99" s="237">
        <f t="shared" si="0"/>
        <v>21290.46281263839</v>
      </c>
      <c r="H99" s="237">
        <f t="shared" si="0"/>
        <v>148.30055886640912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52769.347693386109</v>
      </c>
      <c r="G100" s="237">
        <f t="shared" si="0"/>
        <v>62212.862812638385</v>
      </c>
      <c r="H100" s="237">
        <f t="shared" si="0"/>
        <v>41070.700558866403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2016-08-10T10:09:11Z</dcterms:modified>
  <cp:category/>
</cp:coreProperties>
</file>