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1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E61" i="7"/>
  <c r="E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E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<sst xmlns="http://schemas.openxmlformats.org/spreadsheetml/2006/main" count="790" uniqueCount="146">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</sst>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0.000131133250311332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0.00273723536737235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666088"/>
        <c:axId val="-2138830680"/>
      </c:barChart>
      <c:catAx>
        <c:axId val="-213666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83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83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66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309688"/>
        <c:axId val="-2071318360"/>
      </c:barChart>
      <c:catAx>
        <c:axId val="-207130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31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31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30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0.00799807723785297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0.0279204107859808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0.00591923741843442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0.0199059575517187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0.000577593525265178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0.000570342576884512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0.000851809142623142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0.000176941844904166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0.000437931066137812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0.00022294672457925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0.00026541276735625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0.00615757620266499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0.218244415383384</c:v>
                </c:pt>
                <c:pt idx="2">
                  <c:v>0.218244415383384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993512"/>
        <c:axId val="-2144030328"/>
      </c:barChart>
      <c:catAx>
        <c:axId val="-200799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03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03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99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060344"/>
        <c:axId val="-2007902632"/>
      </c:barChart>
      <c:catAx>
        <c:axId val="-203406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902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90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6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 without Grants</a:t>
            </a:r>
          </a:p>
        </c:rich>
      </c:tx>
      <c:layout>
        <c:manualLayout>
          <c:xMode val="edge"/>
          <c:yMode val="edge"/>
          <c:x val="0.31326356873784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779.8323638032793</c:v>
                </c:pt>
                <c:pt idx="5">
                  <c:v>910.9024550369001</c:v>
                </c:pt>
                <c:pt idx="6">
                  <c:v>1840.354237499354</c:v>
                </c:pt>
                <c:pt idx="7">
                  <c:v>4237.786278581296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0.0</c:v>
                </c:pt>
                <c:pt idx="5">
                  <c:v>70.0</c:v>
                </c:pt>
                <c:pt idx="6">
                  <c:v>435.9599999999999</c:v>
                </c:pt>
                <c:pt idx="7">
                  <c:v>11525.08521606988</c:v>
                </c:pt>
              </c:numCache>
            </c:numRef>
          </c:val>
        </c:ser>
        <c:ser>
          <c:idx val="5"/>
          <c:order val="3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719.9767549336384</c:v>
                </c:pt>
              </c:numCache>
            </c:numRef>
          </c:val>
        </c:ser>
        <c:ser>
          <c:idx val="16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14707.50278571232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14707.50278571232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5156.107054496091</c:v>
                </c:pt>
                <c:pt idx="5">
                  <c:v>9852.485643596876</c:v>
                </c:pt>
                <c:pt idx="6">
                  <c:v>18581.37274757515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81774.0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180808"/>
        <c:axId val="-2010477928"/>
      </c:barChart>
      <c:lineChart>
        <c:grouping val="standard"/>
        <c:varyColors val="0"/>
        <c:ser>
          <c:idx val="13"/>
          <c:order val="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6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80808"/>
        <c:axId val="-2010477928"/>
      </c:lineChart>
      <c:catAx>
        <c:axId val="-201418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477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47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18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1009672"/>
        <c:axId val="-20105149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009672"/>
        <c:axId val="-2010514904"/>
      </c:lineChart>
      <c:catAx>
        <c:axId val="-201100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51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51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00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9208840"/>
        <c:axId val="-20097242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208840"/>
        <c:axId val="-2009724216"/>
      </c:lineChart>
      <c:catAx>
        <c:axId val="-20092088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72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72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20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0.232781580397855</c:v>
                </c:pt>
                <c:pt idx="2">
                  <c:v>0.206486044996743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-0.754297423869242</c:v>
                </c:pt>
                <c:pt idx="2">
                  <c:v>-0.754297423869243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083592"/>
        <c:axId val="-1998080280"/>
      </c:barChart>
      <c:catAx>
        <c:axId val="-199808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808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08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808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0.0464896137717045</c:v>
                </c:pt>
                <c:pt idx="2">
                  <c:v>0.151478171576173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0.044189201547399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0.0464896137717045</c:v>
                </c:pt>
                <c:pt idx="2">
                  <c:v>0.151478171576173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-0.177814888432151</c:v>
                </c:pt>
                <c:pt idx="2">
                  <c:v>-0.0982259540059705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72824"/>
        <c:axId val="-2037316056"/>
      </c:barChart>
      <c:catAx>
        <c:axId val="-204237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31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31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72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0.021836193305365</c:v>
                </c:pt>
                <c:pt idx="2">
                  <c:v>0.0467576411211506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0.318453041207442</c:v>
                </c:pt>
                <c:pt idx="2">
                  <c:v>0.292594485547928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0.021836193305365</c:v>
                </c:pt>
                <c:pt idx="2">
                  <c:v>0.0467576411211506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3162440"/>
        <c:axId val="-2003158920"/>
      </c:barChart>
      <c:catAx>
        <c:axId val="-200316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315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315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3162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0.403742434363677</c:v>
                </c:pt>
                <c:pt idx="2">
                  <c:v>0.39920244529463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-0.57114004211243</c:v>
                </c:pt>
                <c:pt idx="2">
                  <c:v>-0.571140042112431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8104392"/>
        <c:axId val="-2014828072"/>
      </c:barChart>
      <c:catAx>
        <c:axId val="-200810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82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82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810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0.000251580163318519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0.011386008785327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0.000603703008002726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0.155852707229998</c:v>
                </c:pt>
                <c:pt idx="2" formatCode="0.0%">
                  <c:v>0.507818439669759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800856"/>
        <c:axId val="2083106744"/>
      </c:barChart>
      <c:catAx>
        <c:axId val="-213680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10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10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0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203224"/>
        <c:axId val="-20689699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203224"/>
        <c:axId val="-20689699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203224"/>
        <c:axId val="-2068969960"/>
      </c:scatterChart>
      <c:catAx>
        <c:axId val="-2020203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969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8969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203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520808"/>
        <c:axId val="-20636448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20808"/>
        <c:axId val="-2063644808"/>
      </c:lineChart>
      <c:catAx>
        <c:axId val="-2043520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644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3644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5208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285640"/>
        <c:axId val="-2003282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184360"/>
        <c:axId val="-2014403800"/>
      </c:scatterChart>
      <c:valAx>
        <c:axId val="-20032856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3282312"/>
        <c:crosses val="autoZero"/>
        <c:crossBetween val="midCat"/>
      </c:valAx>
      <c:valAx>
        <c:axId val="-2003282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3285640"/>
        <c:crosses val="autoZero"/>
        <c:crossBetween val="midCat"/>
      </c:valAx>
      <c:valAx>
        <c:axId val="-20031843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4403800"/>
        <c:crosses val="autoZero"/>
        <c:crossBetween val="midCat"/>
      </c:valAx>
      <c:valAx>
        <c:axId val="-20144038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31843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29320"/>
        <c:axId val="-21451230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29320"/>
        <c:axId val="-2145123032"/>
      </c:lineChart>
      <c:catAx>
        <c:axId val="211622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123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123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293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0.00592587559556842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0.0630413080686036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-3.23132127032544E-5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0.000370429147207336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0.000172498349147297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0.00821038494417523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-1.01661160288629E-5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0.0219349049403699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0.00132033295309357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0.0268142643685741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4.71064469541251E-5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0.0095347238799582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0.000187374972280309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0.0313886222952765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0.00702771808911942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0.233564448411658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0.265000147369156</c:v>
                </c:pt>
                <c:pt idx="2" formatCode="0.0%">
                  <c:v>0.567442393207552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578456"/>
        <c:axId val="-2059256792"/>
      </c:barChart>
      <c:catAx>
        <c:axId val="-200757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5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25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57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0.0004613200498132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-0.000116562889165629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0.000391033623910336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014648"/>
        <c:axId val="2117517256"/>
      </c:barChart>
      <c:catAx>
        <c:axId val="-213701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1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1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01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-0.398574344355499</c:v>
                </c:pt>
                <c:pt idx="1">
                  <c:v>-0.367803200567105</c:v>
                </c:pt>
                <c:pt idx="2">
                  <c:v>-0.384780045029172</c:v>
                </c:pt>
                <c:pt idx="3">
                  <c:v>1.151157589951776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3785656"/>
        <c:axId val="-2008795288"/>
      </c:barChart>
      <c:catAx>
        <c:axId val="-2003785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795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879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378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-0.0700184665539562</c:v>
                </c:pt>
                <c:pt idx="1">
                  <c:v>-0.125818177063326</c:v>
                </c:pt>
                <c:pt idx="2">
                  <c:v>-0.115116862719063</c:v>
                </c:pt>
                <c:pt idx="3">
                  <c:v>-0.120467519891195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84648"/>
        <c:axId val="-2008549288"/>
      </c:barChart>
      <c:catAx>
        <c:axId val="-2042384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549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854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38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0.276232681967613</c:v>
                </c:pt>
                <c:pt idx="2">
                  <c:v>0.104167108035667</c:v>
                </c:pt>
                <c:pt idx="3">
                  <c:v>0.122990551868153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8934392"/>
        <c:axId val="-2008776440"/>
      </c:barChart>
      <c:catAx>
        <c:axId val="-2008934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776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877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93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0.00402959540498653</c:v>
                </c:pt>
                <c:pt idx="1">
                  <c:v>0.00402959540498653</c:v>
                </c:pt>
                <c:pt idx="2">
                  <c:v>0.00782215578615032</c:v>
                </c:pt>
                <c:pt idx="3">
                  <c:v>0.00782215578615032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0.252165232274414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-0.000301714663254264</c:v>
                </c:pt>
                <c:pt idx="1">
                  <c:v>0.000172461812441247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0.00148171658882934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0.000462295575714755</c:v>
                </c:pt>
                <c:pt idx="3">
                  <c:v>0.000227697820874431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0.0328415397767009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-4.06644641154514E-5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0.0219349049403699</c:v>
                </c:pt>
                <c:pt idx="1">
                  <c:v>0.0219349049403699</c:v>
                </c:pt>
                <c:pt idx="2">
                  <c:v>0.0219349049403699</c:v>
                </c:pt>
                <c:pt idx="3">
                  <c:v>0.0219349049403699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0.0052813318123743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0.0315443006031906</c:v>
                </c:pt>
                <c:pt idx="1">
                  <c:v>0.0189308706442133</c:v>
                </c:pt>
                <c:pt idx="2">
                  <c:v>0.0252375856237019</c:v>
                </c:pt>
                <c:pt idx="3">
                  <c:v>0.0315443006031906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0.0140554361782388</c:v>
                </c:pt>
                <c:pt idx="3">
                  <c:v>0.0140554361782388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0.233564448411658</c:v>
                </c:pt>
                <c:pt idx="1">
                  <c:v>0.233564448411658</c:v>
                </c:pt>
                <c:pt idx="2">
                  <c:v>0.233564448411658</c:v>
                </c:pt>
                <c:pt idx="3">
                  <c:v>0.233564448411658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0.368684687701162</c:v>
                </c:pt>
                <c:pt idx="1">
                  <c:v>0.69001976095517</c:v>
                </c:pt>
                <c:pt idx="2">
                  <c:v>0.66553455118889</c:v>
                </c:pt>
                <c:pt idx="3">
                  <c:v>0.584607394181755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8180456"/>
        <c:axId val="-2017804360"/>
      </c:barChart>
      <c:catAx>
        <c:axId val="-2008180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804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80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8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570728"/>
        <c:axId val="-2071064984"/>
      </c:barChart>
      <c:catAx>
        <c:axId val="-203357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06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06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Q7" sqref="Q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145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779.83236380327935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4.6132004981320053E-4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4.6132004981320053E-4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-1.1656288916562889E-4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-1.1656288916562889E-4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3.9103362391033626E-4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3.9103362391033626E-4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26800.601909327303</v>
      </c>
      <c r="T23" s="179">
        <f>SUM(T7:T22)</f>
        <v>26596.373170081904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0.65941317907845587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22095.87039355317</v>
      </c>
      <c r="T30" s="232">
        <f t="shared" si="24"/>
        <v>22300.099132798568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-7.0018466553956202E-2</v>
      </c>
      <c r="AB30" s="122">
        <f>IF($Y30=0,0,AC30/($Y$30))</f>
        <v>0</v>
      </c>
      <c r="AC30" s="187">
        <f>IF(AC79*4/$I$83+SUM(AC6:AC29)&lt;1,AC79*4/$I$83,1-SUM(AC6:AC29))</f>
        <v>-0.12581817706332613</v>
      </c>
      <c r="AD30" s="122">
        <f>IF($Y30=0,0,AE30/($Y$30))</f>
        <v>0</v>
      </c>
      <c r="AE30" s="187">
        <f>IF(AE79*4/$I$83+SUM(AE6:AE29)&lt;1,AE79*4/$I$83,1-SUM(AE6:AE29))</f>
        <v>-0.11511686271906342</v>
      </c>
      <c r="AF30" s="122">
        <f>IF($Y30=0,0,AG30/($Y$30))</f>
        <v>0</v>
      </c>
      <c r="AG30" s="187">
        <f>IF(AG79*4/$I$83+SUM(AG6:AG29)&lt;1,AG79*4/$I$83,1-SUM(AG6:AG29))</f>
        <v>-0.12046751989119474</v>
      </c>
      <c r="AH30" s="123">
        <f t="shared" si="12"/>
        <v>0</v>
      </c>
      <c r="AI30" s="183">
        <f t="shared" si="13"/>
        <v>-0.10785525655688512</v>
      </c>
      <c r="AJ30" s="120">
        <f t="shared" si="14"/>
        <v>-9.7918321808641157E-2</v>
      </c>
      <c r="AK30" s="119">
        <f t="shared" si="15"/>
        <v>-0.11779219130512908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0.55267699867556808</v>
      </c>
      <c r="K31" s="22" t="str">
        <f t="shared" si="4"/>
        <v/>
      </c>
      <c r="L31" s="22">
        <f>(1-SUM(L6:L30))</f>
        <v>0.53354012235604587</v>
      </c>
      <c r="M31" s="239">
        <f t="shared" si="6"/>
        <v>0.55267699867556808</v>
      </c>
      <c r="N31" s="167">
        <f>M31*I83</f>
        <v>17063.743245735721</v>
      </c>
      <c r="P31" s="22"/>
      <c r="Q31" s="236" t="s">
        <v>142</v>
      </c>
      <c r="R31" s="232">
        <f t="shared" si="24"/>
        <v>0</v>
      </c>
      <c r="S31" s="232">
        <f t="shared" si="24"/>
        <v>45074.403726886507</v>
      </c>
      <c r="T31" s="232">
        <f>IF(T25&gt;T$23,T25-T$23,0)</f>
        <v>45278.632466131909</v>
      </c>
      <c r="V31" s="56"/>
      <c r="W31" s="129" t="s">
        <v>84</v>
      </c>
      <c r="X31" s="130"/>
      <c r="Y31" s="121">
        <f>M31*4</f>
        <v>2.2107079947022723</v>
      </c>
      <c r="Z31" s="131"/>
      <c r="AA31" s="132">
        <f>1-AA32+IF($Y32&lt;0,$Y32/4,0)</f>
        <v>0.62304806689079451</v>
      </c>
      <c r="AB31" s="131"/>
      <c r="AC31" s="133">
        <f>1-AC32+IF($Y32&lt;0,$Y32/4,0)</f>
        <v>0.7644447297455359</v>
      </c>
      <c r="AD31" s="134"/>
      <c r="AE31" s="133">
        <f>1-AE32+IF($Y32&lt;0,$Y32/4,0)</f>
        <v>0.75116178555320345</v>
      </c>
      <c r="AF31" s="134"/>
      <c r="AG31" s="133">
        <f>1-AG32+IF($Y32&lt;0,$Y32/4,0)</f>
        <v>0.74354272915123776</v>
      </c>
      <c r="AH31" s="123"/>
      <c r="AI31" s="182">
        <f>SUM(AA31,AC31,AE31,AG31)/4</f>
        <v>0.72054932783519288</v>
      </c>
      <c r="AJ31" s="135">
        <f t="shared" si="14"/>
        <v>0.6937463983181652</v>
      </c>
      <c r="AK31" s="136">
        <f t="shared" si="15"/>
        <v>0.74735225735222066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0.44732300132443192</v>
      </c>
      <c r="J32" s="17"/>
      <c r="L32" s="22">
        <f>SUM(L6:L30)</f>
        <v>0.46645987764395413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85996.803726886501</v>
      </c>
      <c r="T32" s="232">
        <f t="shared" si="24"/>
        <v>86201.032466131903</v>
      </c>
      <c r="V32" s="56"/>
      <c r="W32" s="110"/>
      <c r="X32" s="118"/>
      <c r="Y32" s="115">
        <f>SUM(Y6:Y31)</f>
        <v>3.7599317095890412</v>
      </c>
      <c r="Z32" s="137"/>
      <c r="AA32" s="138">
        <f>SUM(AA6:AA30)</f>
        <v>0.37695193310920549</v>
      </c>
      <c r="AB32" s="137"/>
      <c r="AC32" s="139">
        <f>SUM(AC6:AC30)</f>
        <v>0.23555527025446407</v>
      </c>
      <c r="AD32" s="137"/>
      <c r="AE32" s="139">
        <f>SUM(AE6:AE30)</f>
        <v>0.24883821444679655</v>
      </c>
      <c r="AF32" s="137"/>
      <c r="AG32" s="139">
        <f>SUM(AG6:AG30)</f>
        <v>0.2564572708487623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-31.07563011372353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28214.88922039618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0.57326774761644506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19721</v>
      </c>
      <c r="J65" s="39">
        <f>SUM(J37:J64)</f>
        <v>19721</v>
      </c>
      <c r="K65" s="40">
        <f>SUM(K37:K64)</f>
        <v>1</v>
      </c>
      <c r="L65" s="22">
        <f>SUM(L37:L64)</f>
        <v>0.40374243436367685</v>
      </c>
      <c r="M65" s="24">
        <f>SUM(M37:M64)</f>
        <v>0.39920244529462967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4389.8</v>
      </c>
      <c r="AB65" s="137"/>
      <c r="AC65" s="153">
        <f>SUM(AC37:AC64)</f>
        <v>3959.1</v>
      </c>
      <c r="AD65" s="137"/>
      <c r="AE65" s="153">
        <f>SUM(AE37:AE64)</f>
        <v>4041.7</v>
      </c>
      <c r="AF65" s="137"/>
      <c r="AG65" s="153">
        <f>SUM(AG37:AG64)</f>
        <v>4000.4</v>
      </c>
      <c r="AH65" s="137"/>
      <c r="AI65" s="153">
        <f>SUM(AI37:AI64)</f>
        <v>16391</v>
      </c>
      <c r="AJ65" s="153">
        <f>SUM(AJ37:AJ64)</f>
        <v>8348.9</v>
      </c>
      <c r="AK65" s="153">
        <f>SUM(AK37:AK64)</f>
        <v>8042.0999999999995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19721</v>
      </c>
      <c r="J70" s="51">
        <f t="shared" ref="J70:J77" si="44">J124*I$83</f>
        <v>19721</v>
      </c>
      <c r="K70" s="40">
        <f>B70/B$76</f>
        <v>0.36085671902336919</v>
      </c>
      <c r="L70" s="22">
        <f t="shared" ref="L70:L74" si="45">(L124*G$37*F$9/F$7)/B$130</f>
        <v>0.40374243436367679</v>
      </c>
      <c r="M70" s="24">
        <f>J70/B$76</f>
        <v>0.39920244529462967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4930.25</v>
      </c>
      <c r="AB70" s="156">
        <f>Poor!AB70</f>
        <v>0.25</v>
      </c>
      <c r="AC70" s="147">
        <f>$J70*AB70</f>
        <v>4930.25</v>
      </c>
      <c r="AD70" s="156">
        <f>Poor!AD70</f>
        <v>0.25</v>
      </c>
      <c r="AE70" s="147">
        <f>$J70*AD70</f>
        <v>4930.25</v>
      </c>
      <c r="AF70" s="156">
        <f>Poor!AF70</f>
        <v>0.25</v>
      </c>
      <c r="AG70" s="147">
        <f>$J70*AF70</f>
        <v>4930.25</v>
      </c>
      <c r="AH70" s="155">
        <f>SUM(Z70,AB70,AD70,AF70)</f>
        <v>1</v>
      </c>
      <c r="AI70" s="147">
        <f>SUM(AA70,AC70,AE70,AG70)</f>
        <v>19721</v>
      </c>
      <c r="AJ70" s="148">
        <f>(AA70+AC70)</f>
        <v>9860.5</v>
      </c>
      <c r="AK70" s="147">
        <f>(AE70+AG70)</f>
        <v>9860.5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0.39418905150368083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0.24977033456699416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-540.44999999999982</v>
      </c>
      <c r="AB74" s="156"/>
      <c r="AC74" s="147">
        <f>AC30*$I$83/4</f>
        <v>-971.1500000000002</v>
      </c>
      <c r="AD74" s="156"/>
      <c r="AE74" s="147">
        <f>AE30*$I$83/4</f>
        <v>-888.55000000000018</v>
      </c>
      <c r="AF74" s="156"/>
      <c r="AG74" s="147">
        <f>AG30*$I$83/4</f>
        <v>-929.84999999999991</v>
      </c>
      <c r="AH74" s="155"/>
      <c r="AI74" s="147">
        <f>SUM(AA74,AC74,AE74,AG74)</f>
        <v>-3330</v>
      </c>
      <c r="AJ74" s="148">
        <f>(AA74+AC74)</f>
        <v>-1511.6</v>
      </c>
      <c r="AK74" s="147">
        <f>(AE74+AG74)</f>
        <v>-1818.4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19721</v>
      </c>
      <c r="J76" s="51">
        <f t="shared" si="44"/>
        <v>19721</v>
      </c>
      <c r="K76" s="40">
        <f>SUM(K70:K75)</f>
        <v>1.7392141942015522</v>
      </c>
      <c r="L76" s="22">
        <f>SUM(L70:L75)</f>
        <v>0.40374243436367679</v>
      </c>
      <c r="M76" s="24">
        <f>SUM(M70:M75)</f>
        <v>0.39920244529462967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4389.8</v>
      </c>
      <c r="AB76" s="137"/>
      <c r="AC76" s="153">
        <f>AC65</f>
        <v>3959.1</v>
      </c>
      <c r="AD76" s="137"/>
      <c r="AE76" s="153">
        <f>AE65</f>
        <v>4041.7</v>
      </c>
      <c r="AF76" s="137"/>
      <c r="AG76" s="153">
        <f>AG65</f>
        <v>4000.4</v>
      </c>
      <c r="AH76" s="137"/>
      <c r="AI76" s="153">
        <f>SUM(AA76,AC76,AE76,AG76)</f>
        <v>16391</v>
      </c>
      <c r="AJ76" s="154">
        <f>SUM(AA76,AC76)</f>
        <v>8348.9</v>
      </c>
      <c r="AK76" s="154">
        <f>SUM(AE76,AG76)</f>
        <v>8042.1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28214.88922039618</v>
      </c>
      <c r="J77" s="100">
        <f t="shared" si="44"/>
        <v>28214.88922039618</v>
      </c>
      <c r="K77" s="40"/>
      <c r="L77" s="22">
        <f>-(L131*G$37*F$9/F$7)/B$130</f>
        <v>-0.57114004211243041</v>
      </c>
      <c r="M77" s="24">
        <f>-J77/B$76</f>
        <v>-0.57114004211243052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4809.1074301327144</v>
      </c>
      <c r="AB77" s="112"/>
      <c r="AC77" s="111">
        <f>AC31*$I$83/4</f>
        <v>5900.5027462663147</v>
      </c>
      <c r="AD77" s="112"/>
      <c r="AE77" s="111">
        <f>AE31*$I$83/4</f>
        <v>5797.9759766574134</v>
      </c>
      <c r="AF77" s="112"/>
      <c r="AG77" s="111">
        <f>AG31*$I$83/4</f>
        <v>5739.166933342115</v>
      </c>
      <c r="AH77" s="110"/>
      <c r="AI77" s="154">
        <f>SUM(AA77,AC77,AE77,AG77)</f>
        <v>22246.753086398559</v>
      </c>
      <c r="AJ77" s="153">
        <f>SUM(AA77,AC77)</f>
        <v>10709.61017639903</v>
      </c>
      <c r="AK77" s="160">
        <f>SUM(AE77,AG77)</f>
        <v>11537.142909999529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-540.44999999999982</v>
      </c>
      <c r="AB79" s="112"/>
      <c r="AC79" s="112">
        <f>AA79-AA74+AC65-AC70</f>
        <v>-971.15000000000009</v>
      </c>
      <c r="AD79" s="112"/>
      <c r="AE79" s="112">
        <f>AC79-AC74+AE65-AE70</f>
        <v>-888.55000000000018</v>
      </c>
      <c r="AF79" s="112"/>
      <c r="AG79" s="112">
        <f>AE79-AE74+AG65-AG70</f>
        <v>-929.84999999999991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1.5134716001171555</v>
      </c>
      <c r="L115" s="22">
        <f t="shared" si="64"/>
        <v>0</v>
      </c>
      <c r="M115" s="226">
        <f t="shared" si="65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0.63874279716466409</v>
      </c>
      <c r="J119" s="24">
        <f>SUM(J91:J118)</f>
        <v>0.63874279716466409</v>
      </c>
      <c r="K119" s="22">
        <f>SUM(K91:K118)</f>
        <v>2.6400780549925003</v>
      </c>
      <c r="L119" s="22">
        <f>SUM(L91:L118)</f>
        <v>0.64600699444411702</v>
      </c>
      <c r="M119" s="57">
        <f t="shared" si="49"/>
        <v>0.63874279716466409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0.63874279716466409</v>
      </c>
      <c r="J124" s="235">
        <f>IF(SUMPRODUCT($B$124:$B124,$H$124:$H124)&lt;J$119,($B124*$H124),J$119)</f>
        <v>0.63874279716466409</v>
      </c>
      <c r="K124" s="29">
        <f>(B124)</f>
        <v>0.95268990489019156</v>
      </c>
      <c r="L124" s="29">
        <f>IF(SUMPRODUCT($B$124:$B124,$H$124:$H124)&lt;L$119,($B124*$H124),L$119)</f>
        <v>0.64600699444411702</v>
      </c>
      <c r="M124" s="238">
        <f t="shared" si="66"/>
        <v>0.63874279716466409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0.65941317907845587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0.63874279716466409</v>
      </c>
      <c r="J130" s="226">
        <f>(J119)</f>
        <v>0.63874279716466409</v>
      </c>
      <c r="K130" s="29">
        <f>(B130)</f>
        <v>2.6400780549925003</v>
      </c>
      <c r="L130" s="29">
        <f>(L119)</f>
        <v>0.64600699444411702</v>
      </c>
      <c r="M130" s="238">
        <f t="shared" si="66"/>
        <v>0.63874279716466409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0.91385108576273943</v>
      </c>
      <c r="J131" s="235">
        <f>IF(SUMPRODUCT($B124:$B125,$H124:$H125)&gt;(J119-J128),SUMPRODUCT($B124:$B125,$H124:$H125)+J128-J119,0)</f>
        <v>0.91385108576273943</v>
      </c>
      <c r="K131" s="29"/>
      <c r="L131" s="29">
        <f>IF(I131&lt;SUM(L126:L127),0,I131-(SUM(L126:L127)))</f>
        <v>0.91385108576273943</v>
      </c>
      <c r="M131" s="235">
        <f>IF(I131&lt;SUM(M126:M127),0,I131-(SUM(M126:M127)))</f>
        <v>0.91385108576273943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1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910.90245503690005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9852.4856435968759</v>
      </c>
      <c r="T13" s="220">
        <f>IF($B$81=0,0,(SUMIF($N$6:$N$28,$U13,M$6:M$28)+SUMIF($N$91:$N$118,$U13,M$91:M$118))*$I$83*Poor!$B$81/$B$81)</f>
        <v>9852.4856435968759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1.311332503113325E-4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1.311332503113325E-4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5.2453300124533E-4</v>
      </c>
      <c r="Z18" s="116">
        <v>1.2941</v>
      </c>
      <c r="AA18" s="121">
        <f t="shared" ref="AA18:AA20" si="25">$M18*Z18*4</f>
        <v>6.7879815691158159E-4</v>
      </c>
      <c r="AB18" s="116">
        <v>1.1765000000000001</v>
      </c>
      <c r="AC18" s="121">
        <f t="shared" ref="AC18:AC20" si="26">$M18*AB18*4</f>
        <v>6.1711307596513075E-4</v>
      </c>
      <c r="AD18" s="116">
        <v>1.2353000000000001</v>
      </c>
      <c r="AE18" s="121">
        <f t="shared" ref="AE18:AE20" si="27">$M18*AD18*4</f>
        <v>6.4795561643835617E-4</v>
      </c>
      <c r="AF18" s="122">
        <f t="shared" ref="AF18:AF20" si="28">1-SUM(Z18,AB18,AD18)</f>
        <v>-2.7059000000000002</v>
      </c>
      <c r="AG18" s="121">
        <f t="shared" ref="AG18:AG20" si="29">$M18*AF18*4</f>
        <v>-1.4193338480697386E-3</v>
      </c>
      <c r="AH18" s="123">
        <f t="shared" ref="AH18:AH20" si="30">SUM(Z18,AB18,AD18,AF18)</f>
        <v>1</v>
      </c>
      <c r="AI18" s="183">
        <f t="shared" ref="AI18:AI20" si="31">SUM(AA18,AC18,AE18,AG18)/4</f>
        <v>1.311332503113325E-4</v>
      </c>
      <c r="AJ18" s="120">
        <f t="shared" ref="AJ18:AJ20" si="32">(AA18+AC18)/2</f>
        <v>6.4795561643835617E-4</v>
      </c>
      <c r="AK18" s="119">
        <f t="shared" ref="AK18:AK20" si="33">(AE18+AG18)/2</f>
        <v>-3.8568911581569122E-4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2.7372353673723541E-3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2.7372353673723541E-3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1.0948941469489416E-2</v>
      </c>
      <c r="Z19" s="116">
        <v>2.2940999999999998</v>
      </c>
      <c r="AA19" s="121">
        <f t="shared" si="25"/>
        <v>2.5117966625155669E-2</v>
      </c>
      <c r="AB19" s="116">
        <v>2.1764999999999999</v>
      </c>
      <c r="AC19" s="121">
        <f t="shared" si="26"/>
        <v>2.3830371108343712E-2</v>
      </c>
      <c r="AD19" s="116">
        <v>2.2353000000000001</v>
      </c>
      <c r="AE19" s="121">
        <f t="shared" si="27"/>
        <v>2.4474168866749694E-2</v>
      </c>
      <c r="AF19" s="122">
        <f t="shared" si="28"/>
        <v>-5.7058999999999997</v>
      </c>
      <c r="AG19" s="121">
        <f t="shared" si="29"/>
        <v>-6.2473565130759655E-2</v>
      </c>
      <c r="AH19" s="123">
        <f t="shared" si="30"/>
        <v>1</v>
      </c>
      <c r="AI19" s="183">
        <f t="shared" si="31"/>
        <v>2.7372353673723541E-3</v>
      </c>
      <c r="AJ19" s="120">
        <f t="shared" si="32"/>
        <v>2.447416886674969E-2</v>
      </c>
      <c r="AK19" s="119">
        <f t="shared" si="33"/>
        <v>-1.8999698132004979E-2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18440.485274556318</v>
      </c>
      <c r="T23" s="179">
        <f>SUM(T7:T22)</f>
        <v>17164.492202710655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0.71440989937733512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30455.987028324154</v>
      </c>
      <c r="T30" s="232">
        <f t="shared" si="50"/>
        <v>31731.980100169818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-0.39857434435549877</v>
      </c>
      <c r="AB30" s="122">
        <f>IF($Y30=0,0,AC30/($Y$30))</f>
        <v>0</v>
      </c>
      <c r="AC30" s="187">
        <f>IF(AC79*4/$I$83+SUM(AC6:AC29)&lt;1,AC79*4/$I$83,1-SUM(AC6:AC29))</f>
        <v>-0.36780320056710525</v>
      </c>
      <c r="AD30" s="122">
        <f>IF($Y30=0,0,AE30/($Y$30))</f>
        <v>0</v>
      </c>
      <c r="AE30" s="187">
        <f>IF(AE79*4/$I$83+SUM(AE6:AE29)&lt;1,AE79*4/$I$83,1-SUM(AE6:AE29))</f>
        <v>-0.38478004502917229</v>
      </c>
      <c r="AF30" s="122">
        <f>IF($Y30=0,0,AG30/($Y$30))</f>
        <v>0</v>
      </c>
      <c r="AG30" s="187">
        <f>IF(AG79*4/$I$83+SUM(AG6:AG29)&lt;1,AG79*4/$I$83,1-SUM(AG6:AG29))</f>
        <v>1.1511575899517761</v>
      </c>
      <c r="AH30" s="123">
        <f t="shared" si="12"/>
        <v>0</v>
      </c>
      <c r="AI30" s="183">
        <f t="shared" si="13"/>
        <v>0</v>
      </c>
      <c r="AJ30" s="120">
        <f t="shared" si="14"/>
        <v>-0.38318877246130201</v>
      </c>
      <c r="AK30" s="119">
        <f t="shared" si="15"/>
        <v>0.3831887724613019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0.55309760073036252</v>
      </c>
      <c r="K31" s="22" t="str">
        <f t="shared" si="4"/>
        <v/>
      </c>
      <c r="L31" s="22">
        <f>(1-SUM(L6:L30))</f>
        <v>0.51811243908082794</v>
      </c>
      <c r="M31" s="178">
        <f t="shared" si="6"/>
        <v>0.55309760073036252</v>
      </c>
      <c r="N31" s="167">
        <f>M31*I83</f>
        <v>17076.72921310697</v>
      </c>
      <c r="P31" s="29"/>
      <c r="Q31" s="236" t="s">
        <v>142</v>
      </c>
      <c r="R31" s="232">
        <f t="shared" si="50"/>
        <v>0</v>
      </c>
      <c r="S31" s="232">
        <f t="shared" si="50"/>
        <v>53434.520361657495</v>
      </c>
      <c r="T31" s="232">
        <f>IF(T25&gt;T$23,T25-T$23,0)</f>
        <v>54710.513433503162</v>
      </c>
      <c r="V31" s="56"/>
      <c r="W31" s="129" t="s">
        <v>84</v>
      </c>
      <c r="X31" s="130"/>
      <c r="Y31" s="121">
        <f>M31*4</f>
        <v>2.2123904029214501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2.2123904029214509</v>
      </c>
      <c r="AH31" s="123"/>
      <c r="AI31" s="182">
        <f>SUM(AA31,AC31,AE31,AG31)/4</f>
        <v>0.55309760073036274</v>
      </c>
      <c r="AJ31" s="135">
        <f t="shared" si="14"/>
        <v>0</v>
      </c>
      <c r="AK31" s="136">
        <f t="shared" si="15"/>
        <v>1.1061952014607255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0.44690239926963748</v>
      </c>
      <c r="J32" s="17"/>
      <c r="L32" s="22">
        <f>SUM(L6:L30)</f>
        <v>0.48188756091917206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94356.920361657481</v>
      </c>
      <c r="T32" s="232">
        <f t="shared" si="50"/>
        <v>95632.913433503156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-1.2123904029214507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-17.595197750970225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37633.784220396185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1.4142406173272533E-3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1.2907751666082076E-3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0.2</v>
      </c>
      <c r="F53" s="26">
        <v>1.4</v>
      </c>
      <c r="G53" s="22">
        <f t="shared" si="59"/>
        <v>1.65</v>
      </c>
      <c r="H53" s="24">
        <f t="shared" si="69"/>
        <v>0.27999999999999997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7.8568923184847413E-4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0.2</v>
      </c>
      <c r="F54" s="26">
        <v>1.4</v>
      </c>
      <c r="G54" s="22">
        <f t="shared" si="59"/>
        <v>1.65</v>
      </c>
      <c r="H54" s="24">
        <f t="shared" si="69"/>
        <v>0.27999999999999997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6393.6</v>
      </c>
      <c r="J55" s="38">
        <f t="shared" si="71"/>
        <v>6393.6000000000013</v>
      </c>
      <c r="K55" s="40">
        <f t="shared" si="72"/>
        <v>0.23089642731873528</v>
      </c>
      <c r="L55" s="22">
        <f t="shared" si="73"/>
        <v>0.12814751716189809</v>
      </c>
      <c r="M55" s="24">
        <f t="shared" si="74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9"/>
        <v>0.55500000000000005</v>
      </c>
      <c r="I57" s="39">
        <f t="shared" si="70"/>
        <v>1998.0000000000002</v>
      </c>
      <c r="J57" s="38">
        <f t="shared" si="71"/>
        <v>1998.0000000000005</v>
      </c>
      <c r="K57" s="40">
        <f t="shared" si="72"/>
        <v>7.2155133537104774E-2</v>
      </c>
      <c r="L57" s="22">
        <f t="shared" si="73"/>
        <v>4.0046099113093155E-2</v>
      </c>
      <c r="M57" s="24">
        <f t="shared" si="74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9"/>
        <v>0.70799999999999996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0</v>
      </c>
      <c r="F61" s="26">
        <v>1.18</v>
      </c>
      <c r="G61" s="22">
        <f t="shared" si="59"/>
        <v>1.65</v>
      </c>
      <c r="H61" s="24">
        <f t="shared" si="69"/>
        <v>0</v>
      </c>
      <c r="I61" s="39">
        <f t="shared" si="70"/>
        <v>0</v>
      </c>
      <c r="J61" s="38">
        <f t="shared" si="71"/>
        <v>0</v>
      </c>
      <c r="K61" s="40">
        <f t="shared" si="72"/>
        <v>0.56762038382522428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10302.105</v>
      </c>
      <c r="J65" s="39">
        <f>SUM(J37:J64)</f>
        <v>10302.105000000001</v>
      </c>
      <c r="K65" s="40">
        <f>SUM(K37:K64)</f>
        <v>1</v>
      </c>
      <c r="L65" s="22">
        <f>SUM(L37:L64)</f>
        <v>0.2327815803978554</v>
      </c>
      <c r="M65" s="24">
        <f>SUM(M37:M64)</f>
        <v>0.206486044996743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2156.7000000000003</v>
      </c>
      <c r="AB65" s="137"/>
      <c r="AC65" s="153">
        <f>SUM(AC37:AC64)</f>
        <v>2115.4000000000005</v>
      </c>
      <c r="AD65" s="137"/>
      <c r="AE65" s="153">
        <f>SUM(AE37:AE64)</f>
        <v>2198.0000000000005</v>
      </c>
      <c r="AF65" s="137"/>
      <c r="AG65" s="153">
        <f>SUM(AG37:AG64)</f>
        <v>3832.0050000000001</v>
      </c>
      <c r="AH65" s="137"/>
      <c r="AI65" s="153">
        <f>SUM(AI37:AI64)</f>
        <v>10302.105000000001</v>
      </c>
      <c r="AJ65" s="153">
        <f>SUM(AJ37:AJ64)</f>
        <v>4272.1000000000013</v>
      </c>
      <c r="AK65" s="153">
        <f>SUM(AK37:AK64)</f>
        <v>6030.005000000001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10302.105000000001</v>
      </c>
      <c r="J70" s="51">
        <f t="shared" ref="J70:J77" si="76">J124*I$83</f>
        <v>10302.105000000001</v>
      </c>
      <c r="K70" s="40">
        <f>B70/B$76</f>
        <v>0.35730185451668017</v>
      </c>
      <c r="L70" s="22">
        <f t="shared" ref="L70:L75" si="77">(L124*G$37*F$9/F$7)/B$130</f>
        <v>0.2327815803978554</v>
      </c>
      <c r="M70" s="24">
        <f>J70/B$76</f>
        <v>0.20648604499674303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2575.5262500000003</v>
      </c>
      <c r="AB70" s="116">
        <v>0.25</v>
      </c>
      <c r="AC70" s="147">
        <f>$J70*AB70</f>
        <v>2575.5262500000003</v>
      </c>
      <c r="AD70" s="116">
        <v>0.25</v>
      </c>
      <c r="AE70" s="147">
        <f>$J70*AD70</f>
        <v>2575.5262500000003</v>
      </c>
      <c r="AF70" s="122">
        <f>1-SUM(Z70,AB70,AD70)</f>
        <v>0.25</v>
      </c>
      <c r="AG70" s="147">
        <f>$J70*AF70</f>
        <v>2575.5262500000003</v>
      </c>
      <c r="AH70" s="155">
        <f>SUM(Z70,AB70,AD70,AF70)</f>
        <v>1</v>
      </c>
      <c r="AI70" s="147">
        <f>SUM(AA70,AC70,AE70,AG70)</f>
        <v>10302.105000000001</v>
      </c>
      <c r="AJ70" s="148">
        <f>(AA70+AC70)</f>
        <v>5151.0525000000007</v>
      </c>
      <c r="AK70" s="147">
        <f>(AE70+AG70)</f>
        <v>5151.0525000000007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0</v>
      </c>
      <c r="J71" s="51">
        <f t="shared" si="76"/>
        <v>0</v>
      </c>
      <c r="K71" s="40">
        <f t="shared" ref="K71:K72" si="79">B71/B$76</f>
        <v>0.39030582418867238</v>
      </c>
      <c r="L71" s="22">
        <f t="shared" si="77"/>
        <v>0</v>
      </c>
      <c r="M71" s="24">
        <f t="shared" ref="M71:M72" si="80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6"/>
        <v>0</v>
      </c>
      <c r="K74" s="40">
        <f>B74/B$76</f>
        <v>0.26793606253444902</v>
      </c>
      <c r="L74" s="22">
        <f t="shared" si="77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-3076.4670380339558</v>
      </c>
      <c r="AB74" s="156"/>
      <c r="AC74" s="147">
        <f>AC30*$I$83/4</f>
        <v>-2838.9544862898811</v>
      </c>
      <c r="AD74" s="156"/>
      <c r="AE74" s="147">
        <f>AE30*$I$83/4</f>
        <v>-2969.9932827830003</v>
      </c>
      <c r="AF74" s="156"/>
      <c r="AG74" s="147">
        <f>AG30*$I$83/4</f>
        <v>8885.4148071068357</v>
      </c>
      <c r="AH74" s="155"/>
      <c r="AI74" s="147">
        <f>SUM(AA74,AC74,AE74,AG74)</f>
        <v>0</v>
      </c>
      <c r="AJ74" s="148">
        <f>(AA74+AC74)</f>
        <v>-5915.4215243238368</v>
      </c>
      <c r="AK74" s="147">
        <f>(AE74+AG74)</f>
        <v>5915.4215243238359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2657.6407880339557</v>
      </c>
      <c r="AB75" s="158"/>
      <c r="AC75" s="149">
        <f>AA75+AC65-SUM(AC70,AC74)</f>
        <v>5036.4690243238365</v>
      </c>
      <c r="AD75" s="158"/>
      <c r="AE75" s="149">
        <f>AC75+AE65-SUM(AE70,AE74)</f>
        <v>7628.9360571068364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5036.4690243238365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10302.105000000001</v>
      </c>
      <c r="J76" s="51">
        <f t="shared" si="76"/>
        <v>10302.105000000001</v>
      </c>
      <c r="K76" s="40">
        <f>SUM(K70:K75)</f>
        <v>1.7617480805693599</v>
      </c>
      <c r="L76" s="22">
        <f>SUM(L70:L75)</f>
        <v>0.2327815803978554</v>
      </c>
      <c r="M76" s="24">
        <f>SUM(M70:M75)</f>
        <v>0.20648604499674303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2156.7000000000003</v>
      </c>
      <c r="AB76" s="137"/>
      <c r="AC76" s="153">
        <f>AC65</f>
        <v>2115.4000000000005</v>
      </c>
      <c r="AD76" s="137"/>
      <c r="AE76" s="153">
        <f>AE65</f>
        <v>2198.0000000000005</v>
      </c>
      <c r="AF76" s="137"/>
      <c r="AG76" s="153">
        <f>AG65</f>
        <v>3832.0050000000001</v>
      </c>
      <c r="AH76" s="137"/>
      <c r="AI76" s="153">
        <f>SUM(AA76,AC76,AE76,AG76)</f>
        <v>10302.105</v>
      </c>
      <c r="AJ76" s="154">
        <f>SUM(AA76,AC76)</f>
        <v>4272.1000000000004</v>
      </c>
      <c r="AK76" s="154">
        <f>SUM(AE76,AG76)</f>
        <v>6030.005000000001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37633.784220396185</v>
      </c>
      <c r="J77" s="100">
        <f t="shared" si="76"/>
        <v>37633.784220396185</v>
      </c>
      <c r="K77" s="40"/>
      <c r="L77" s="22">
        <f>-(L131*G$37*F$9/F$7)/B$130</f>
        <v>-0.75429742386924248</v>
      </c>
      <c r="M77" s="24">
        <f>-J77/B$76</f>
        <v>-0.75429742386924259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17076.729213106977</v>
      </c>
      <c r="AH77" s="110"/>
      <c r="AI77" s="154">
        <f>SUM(AA77,AC77,AE77,AG77)</f>
        <v>17076.729213106977</v>
      </c>
      <c r="AJ77" s="153">
        <f>SUM(AA77,AC77)</f>
        <v>0</v>
      </c>
      <c r="AK77" s="160">
        <f>SUM(AE77,AG77)</f>
        <v>17076.729213106977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2657.6407880339557</v>
      </c>
      <c r="AD78" s="112"/>
      <c r="AE78" s="112">
        <f>AC75</f>
        <v>5036.4690243238365</v>
      </c>
      <c r="AF78" s="112"/>
      <c r="AG78" s="112">
        <f>AE75</f>
        <v>7628.9360571068364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-418.82625000000007</v>
      </c>
      <c r="AB79" s="112"/>
      <c r="AC79" s="112">
        <f>AA79-AA74+AC65-AC70</f>
        <v>2197.5145380339559</v>
      </c>
      <c r="AD79" s="112"/>
      <c r="AE79" s="112">
        <f>AC79-AC74+AE65-AE70</f>
        <v>4658.9427743238357</v>
      </c>
      <c r="AF79" s="112"/>
      <c r="AG79" s="112">
        <f>AE79-AE74+AG65-AG70</f>
        <v>8885.4148071068357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0.14303030303030304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0.3575757575757576</v>
      </c>
      <c r="I93" s="22">
        <f t="shared" si="89"/>
        <v>6.6883214651641973E-2</v>
      </c>
      <c r="J93" s="24">
        <f t="shared" si="90"/>
        <v>6.6883214651641973E-2</v>
      </c>
      <c r="K93" s="22">
        <f t="shared" si="91"/>
        <v>0.18704627826306652</v>
      </c>
      <c r="L93" s="22">
        <f t="shared" si="92"/>
        <v>6.6883214651641973E-2</v>
      </c>
      <c r="M93" s="225">
        <f t="shared" si="93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0.3575757575757576</v>
      </c>
      <c r="I94" s="22">
        <f t="shared" si="89"/>
        <v>-1.2621818079259864E-2</v>
      </c>
      <c r="J94" s="24">
        <f t="shared" si="90"/>
        <v>-1.2621818079259864E-2</v>
      </c>
      <c r="K94" s="22">
        <f t="shared" si="91"/>
        <v>3.5298304797930127E-2</v>
      </c>
      <c r="L94" s="22">
        <f t="shared" si="92"/>
        <v>1.2621818079259864E-2</v>
      </c>
      <c r="M94" s="225">
        <f t="shared" si="93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0.3575757575757576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0.25454545454545457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4.3530770213950024E-3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0.16969696969696968</v>
      </c>
      <c r="I99" s="22">
        <f t="shared" si="89"/>
        <v>1.3603365691859386E-3</v>
      </c>
      <c r="J99" s="24">
        <f t="shared" si="90"/>
        <v>1.3603365691859386E-3</v>
      </c>
      <c r="K99" s="22">
        <f t="shared" si="91"/>
        <v>5.3441793789447578E-2</v>
      </c>
      <c r="L99" s="22">
        <f t="shared" si="92"/>
        <v>9.0689104612395877E-3</v>
      </c>
      <c r="M99" s="225">
        <f t="shared" si="93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0.16969696969696968</v>
      </c>
      <c r="I100" s="22">
        <f t="shared" si="89"/>
        <v>9.0689104612395877E-4</v>
      </c>
      <c r="J100" s="24">
        <f t="shared" si="90"/>
        <v>9.0689104612395877E-4</v>
      </c>
      <c r="K100" s="22">
        <f t="shared" si="91"/>
        <v>2.6720896894723788E-3</v>
      </c>
      <c r="L100" s="22">
        <f t="shared" si="92"/>
        <v>4.5344552306197938E-4</v>
      </c>
      <c r="M100" s="225">
        <f t="shared" si="93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0.16969696969696968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2.2853654362323763E-3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2.0858494060851055E-3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0.16969696969696968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1.2696474645735422E-3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0.16969696969696968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0.33636363636363642</v>
      </c>
      <c r="I109" s="22">
        <f t="shared" si="89"/>
        <v>0.20708209258921947</v>
      </c>
      <c r="J109" s="24">
        <f t="shared" si="90"/>
        <v>0.20708209258921947</v>
      </c>
      <c r="K109" s="22">
        <f t="shared" si="91"/>
        <v>0.61564946445443613</v>
      </c>
      <c r="L109" s="22">
        <f t="shared" si="92"/>
        <v>0.20708209258921947</v>
      </c>
      <c r="M109" s="225">
        <f t="shared" si="93"/>
        <v>0.20708209258921947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0.33636363636363642</v>
      </c>
      <c r="I111" s="22">
        <f t="shared" si="89"/>
        <v>6.4713153934131087E-2</v>
      </c>
      <c r="J111" s="24">
        <f t="shared" si="90"/>
        <v>6.4713153934131087E-2</v>
      </c>
      <c r="K111" s="22">
        <f t="shared" si="91"/>
        <v>0.19239045764201129</v>
      </c>
      <c r="L111" s="22">
        <f t="shared" si="92"/>
        <v>6.4713153934131087E-2</v>
      </c>
      <c r="M111" s="225">
        <f t="shared" si="93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0.42909090909090908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</v>
      </c>
      <c r="I115" s="22">
        <f t="shared" si="89"/>
        <v>0</v>
      </c>
      <c r="J115" s="24">
        <f t="shared" si="90"/>
        <v>0</v>
      </c>
      <c r="K115" s="22">
        <f t="shared" si="91"/>
        <v>1.5134716001171555</v>
      </c>
      <c r="L115" s="22">
        <f t="shared" si="92"/>
        <v>0</v>
      </c>
      <c r="M115" s="225">
        <f t="shared" si="93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0.33367452788317392</v>
      </c>
      <c r="J119" s="24">
        <f>SUM(J91:J118)</f>
        <v>0.33367452788317392</v>
      </c>
      <c r="K119" s="22">
        <f>SUM(K91:K118)</f>
        <v>2.6663446966400137</v>
      </c>
      <c r="L119" s="22">
        <f>SUM(L91:L118)</f>
        <v>0.37616723173897137</v>
      </c>
      <c r="M119" s="57">
        <f t="shared" si="81"/>
        <v>0.33367452788317392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0.33367452788317392</v>
      </c>
      <c r="J124" s="235">
        <f>IF(SUMPRODUCT($B$124:$B124,$H$124:$H124)&lt;J$119,($B124*$H124),J$119)</f>
        <v>0.33367452788317392</v>
      </c>
      <c r="K124" s="29">
        <f>(B124)</f>
        <v>0.95268990489019179</v>
      </c>
      <c r="L124" s="29">
        <f>IF(SUMPRODUCT($B$124:$B124,$H$124:$H124)&lt;L$119,($B124*$H124),L$119)</f>
        <v>0.37616723173897137</v>
      </c>
      <c r="M124" s="238">
        <f t="shared" si="94"/>
        <v>0.33367452788317392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94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0.71440989937733512</v>
      </c>
      <c r="L128" s="29">
        <f>IF(L124=L119,0,(L119-L124)/(B119-B124)*K128)</f>
        <v>0</v>
      </c>
      <c r="M128" s="238">
        <f t="shared" si="94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0.33367452788317392</v>
      </c>
      <c r="J130" s="226">
        <f>(J119)</f>
        <v>0.33367452788317392</v>
      </c>
      <c r="K130" s="29">
        <f>(B130)</f>
        <v>2.6663446966400137</v>
      </c>
      <c r="L130" s="29">
        <f>(L119)</f>
        <v>0.37616723173897137</v>
      </c>
      <c r="M130" s="238">
        <f t="shared" si="94"/>
        <v>0.33367452788317392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1.2189193550442299</v>
      </c>
      <c r="J131" s="235">
        <f>IF(SUMPRODUCT($B124:$B125,$H124:$H125)&gt;(J119-J128),SUMPRODUCT($B124:$B125,$H124:$H125)+J128-J119,0)</f>
        <v>1.2189193550442299</v>
      </c>
      <c r="K131" s="29"/>
      <c r="L131" s="29">
        <f>IF(I131&lt;SUM(L126:L127),0,I131-(SUM(L126:L127)))</f>
        <v>1.2189193550442299</v>
      </c>
      <c r="M131" s="235">
        <f>IF(I131&lt;SUM(M126:M127),0,I131-(SUM(M126:M127)))</f>
        <v>1.2189193550442299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1840.3542374993544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18581.372747575155</v>
      </c>
      <c r="T13" s="220">
        <f>IF($B$81=0,0,(SUMIF($N$6:$N$28,$U13,M$6:M$28)+SUMIF($N$91:$N$118,$U13,M$91:M$118))*$I$83*Poor!$B$81/$B$81)</f>
        <v>18581.372747575155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19583.999999999996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2.5158016331851859E-4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2.5158016331851859E-4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1.1386008785327048E-2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1.1386008785327048E-2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6.0370300800272579E-4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6.0370300800272579E-4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172461.14243344529</v>
      </c>
      <c r="S23" s="179">
        <f>SUM(S7:S22)</f>
        <v>65333.787997362582</v>
      </c>
      <c r="T23" s="179">
        <f>SUM(T7:T22)</f>
        <v>61708.128266825828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0.92277472823128248</v>
      </c>
      <c r="J30" s="229">
        <f>IF(I$32&lt;=1,I30,1-SUM(J6:J29))</f>
        <v>0.50781843966975881</v>
      </c>
      <c r="K30" s="22">
        <f t="shared" si="4"/>
        <v>0.6807752441843089</v>
      </c>
      <c r="L30" s="22">
        <f>IF(L124=L119,0,IF(K30="",0,(L119-L124)/(B119-B124)*K30))</f>
        <v>0.15585270722999817</v>
      </c>
      <c r="M30" s="175">
        <f t="shared" si="6"/>
        <v>0.50781843966975881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2.0312737586790353</v>
      </c>
      <c r="Z30" s="122">
        <f>IF($Y30=0,0,AA30/($Y$30))</f>
        <v>0.24243949163450901</v>
      </c>
      <c r="AA30" s="187">
        <f>IF(AA79*4/$I$84+SUM(AA6:AA29)&lt;1,AA79*4/$I$84,1-SUM(AA6:AA29))</f>
        <v>0.49246097742466366</v>
      </c>
      <c r="AB30" s="122">
        <f>IF($Y30=0,0,AC30/($Y$30))</f>
        <v>0.13598988358282682</v>
      </c>
      <c r="AC30" s="187">
        <f>IF(AC79*4/$I$84+SUM(AC6:AC29)&lt;1,AC79*4/$I$84,1-SUM(AC6:AC29))</f>
        <v>0.27623268196761308</v>
      </c>
      <c r="AD30" s="122">
        <f>IF($Y30=0,0,AE30/($Y$30))</f>
        <v>5.1281668751241169E-2</v>
      </c>
      <c r="AE30" s="187">
        <f>IF(AE79*4/$I$84+SUM(AE6:AE29)&lt;1,AE79*4/$I$84,1-SUM(AE6:AE29))</f>
        <v>0.10416710803566688</v>
      </c>
      <c r="AF30" s="122">
        <f>IF($Y30=0,0,AG30/($Y$30))</f>
        <v>6.0548486555616107E-2</v>
      </c>
      <c r="AG30" s="187">
        <f>IF(AG79*4/$I$84+SUM(AG6:AG29)&lt;1,AG79*4/$I$84,1-SUM(AG6:AG29))</f>
        <v>0.12299055186815336</v>
      </c>
      <c r="AH30" s="123">
        <f t="shared" si="12"/>
        <v>0.49025953052419313</v>
      </c>
      <c r="AI30" s="183">
        <f t="shared" si="13"/>
        <v>0.24896282982402423</v>
      </c>
      <c r="AJ30" s="120">
        <f t="shared" si="14"/>
        <v>0.38434682969613837</v>
      </c>
      <c r="AK30" s="119">
        <f t="shared" si="15"/>
        <v>0.11357882995191013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0.34404658130229149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6541.2176388512307</v>
      </c>
      <c r="T31" s="232">
        <f>IF(T25&gt;T$23,T25-T$23,0)</f>
        <v>10166.877369387985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0.36629400222334363</v>
      </c>
      <c r="AD31" s="134"/>
      <c r="AE31" s="133">
        <f>1-AE32+IF($Y32&lt;0,$Y32/4,0)</f>
        <v>0.53376796525616155</v>
      </c>
      <c r="AF31" s="134"/>
      <c r="AG31" s="133">
        <f>1-AG32+IF($Y32&lt;0,$Y32/4,0)</f>
        <v>0.47768840685331393</v>
      </c>
      <c r="AH31" s="123"/>
      <c r="AI31" s="182">
        <f>SUM(AA31,AC31,AE31,AG31)/4</f>
        <v>0.3444375935832048</v>
      </c>
      <c r="AJ31" s="135">
        <f t="shared" si="14"/>
        <v>0.18314700111167181</v>
      </c>
      <c r="AK31" s="136">
        <f t="shared" si="15"/>
        <v>0.50572818605473779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1.4130432287343897</v>
      </c>
      <c r="J32" s="17"/>
      <c r="L32" s="22">
        <f>SUM(L6:L30)</f>
        <v>0.65595341869770851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47463.617638851225</v>
      </c>
      <c r="T32" s="232">
        <f t="shared" si="24"/>
        <v>51089.277369387979</v>
      </c>
      <c r="V32" s="56"/>
      <c r="W32" s="110"/>
      <c r="X32" s="118"/>
      <c r="Y32" s="115">
        <f>SUM(Y6:Y31)</f>
        <v>3.6576720650501189</v>
      </c>
      <c r="Z32" s="137"/>
      <c r="AA32" s="138">
        <f>SUM(AA6:AA30)</f>
        <v>1</v>
      </c>
      <c r="AB32" s="137"/>
      <c r="AC32" s="139">
        <f>SUM(AC6:AC30)</f>
        <v>0.63370599777665637</v>
      </c>
      <c r="AD32" s="137"/>
      <c r="AE32" s="139">
        <f>SUM(AE6:AE30)</f>
        <v>0.4662320347438384</v>
      </c>
      <c r="AF32" s="137"/>
      <c r="AG32" s="139">
        <f>SUM(AG6:AG30)</f>
        <v>0.52231159314668607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1.9688760244418282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10166.877369387979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8.2314864016231101E-2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53447.76</v>
      </c>
      <c r="J65" s="39">
        <f>SUM(J37:J64)</f>
        <v>53447.76</v>
      </c>
      <c r="K65" s="40">
        <f>SUM(K37:K64)</f>
        <v>0.99999999999999989</v>
      </c>
      <c r="L65" s="22">
        <f>SUM(L37:L64)</f>
        <v>0.55380513018694744</v>
      </c>
      <c r="M65" s="24">
        <f>SUM(M37:M64)</f>
        <v>0.51637853243804643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12840.39</v>
      </c>
      <c r="AB65" s="137"/>
      <c r="AC65" s="153">
        <f>SUM(AC37:AC64)</f>
        <v>9034.89</v>
      </c>
      <c r="AD65" s="137"/>
      <c r="AE65" s="153">
        <f>SUM(AE37:AE64)</f>
        <v>7512.6899999999987</v>
      </c>
      <c r="AF65" s="137"/>
      <c r="AG65" s="153">
        <f>SUM(AG37:AG64)</f>
        <v>7742.7899999999991</v>
      </c>
      <c r="AH65" s="137"/>
      <c r="AI65" s="153">
        <f>SUM(AI37:AI64)</f>
        <v>37130.759999999995</v>
      </c>
      <c r="AJ65" s="153">
        <f>SUM(AJ37:AJ64)</f>
        <v>21875.279999999995</v>
      </c>
      <c r="AK65" s="153">
        <f>SUM(AK37:AK64)</f>
        <v>15255.479999999998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4.4189201547399005E-2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28490.404112937144</v>
      </c>
      <c r="J74" s="51">
        <f t="shared" si="44"/>
        <v>15678.748148991786</v>
      </c>
      <c r="K74" s="40">
        <f>B74/B$76</f>
        <v>0.12307260637485801</v>
      </c>
      <c r="L74" s="22">
        <f t="shared" si="45"/>
        <v>4.6489613771704519E-2</v>
      </c>
      <c r="M74" s="24">
        <f>J74/B$76</f>
        <v>0.15147817157617299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3376.700920744946</v>
      </c>
      <c r="AD74" s="156"/>
      <c r="AE74" s="147">
        <f>AE30*$I$84/4</f>
        <v>1273.3510282342859</v>
      </c>
      <c r="AF74" s="156"/>
      <c r="AG74" s="147">
        <f>AG30*$I$84/4</f>
        <v>1503.4510282342862</v>
      </c>
      <c r="AH74" s="155"/>
      <c r="AI74" s="147">
        <f>SUM(AA74,AC74,AE74,AG74)</f>
        <v>12173.404112937144</v>
      </c>
      <c r="AJ74" s="148">
        <f>(AA74+AC74)</f>
        <v>9396.6020564685732</v>
      </c>
      <c r="AK74" s="147">
        <f>(AE74+AG74)</f>
        <v>2776.8020564685721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581.1498925106589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53447.759999999995</v>
      </c>
      <c r="J76" s="51">
        <f t="shared" si="44"/>
        <v>53447.759999999995</v>
      </c>
      <c r="K76" s="40">
        <f>SUM(K70:K75)</f>
        <v>1.1083391742682622</v>
      </c>
      <c r="L76" s="22">
        <f>SUM(L70:L75)</f>
        <v>0.55380513018694733</v>
      </c>
      <c r="M76" s="24">
        <f>SUM(M70:M75)</f>
        <v>0.614604486444017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12840.39</v>
      </c>
      <c r="AB76" s="137"/>
      <c r="AC76" s="153">
        <f>AC65</f>
        <v>9034.89</v>
      </c>
      <c r="AD76" s="137"/>
      <c r="AE76" s="153">
        <f>AE65</f>
        <v>7512.6899999999987</v>
      </c>
      <c r="AF76" s="137"/>
      <c r="AG76" s="153">
        <f>AG65</f>
        <v>7742.7899999999991</v>
      </c>
      <c r="AH76" s="137"/>
      <c r="AI76" s="153">
        <f>SUM(AA76,AC76,AE76,AG76)</f>
        <v>37130.759999999995</v>
      </c>
      <c r="AJ76" s="154">
        <f>SUM(AA76,AC76)</f>
        <v>21875.279999999999</v>
      </c>
      <c r="AK76" s="154">
        <f>SUM(AE76,AG76)</f>
        <v>15255.479999999998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10166.877369387979</v>
      </c>
      <c r="K77" s="40"/>
      <c r="L77" s="22">
        <f>-(L131*G$37*F$9/F$7)/B$130</f>
        <v>-0.17781488843215112</v>
      </c>
      <c r="M77" s="24">
        <f>-J77/B$76</f>
        <v>-9.822595400597052E-2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4477.6211336062397</v>
      </c>
      <c r="AD77" s="112"/>
      <c r="AE77" s="111">
        <f>AE31*$I$84/4</f>
        <v>6524.8426323281928</v>
      </c>
      <c r="AF77" s="112"/>
      <c r="AG77" s="111">
        <f>AG31*$I$84/4</f>
        <v>5839.3194887775408</v>
      </c>
      <c r="AH77" s="110"/>
      <c r="AI77" s="154">
        <f>SUM(AA77,AC77,AE77,AG77)</f>
        <v>16841.783254711976</v>
      </c>
      <c r="AJ77" s="153">
        <f>SUM(AA77,AC77)</f>
        <v>4477.6211336062397</v>
      </c>
      <c r="AK77" s="160">
        <f>SUM(AE77,AG77)</f>
        <v>12364.162121105734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581.1498925106589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6601.0510282342866</v>
      </c>
      <c r="AB79" s="112"/>
      <c r="AC79" s="112">
        <f>AA79-AA74+AC65-AC70</f>
        <v>3376.7009207449455</v>
      </c>
      <c r="AD79" s="112"/>
      <c r="AE79" s="112">
        <f>AC79-AC74+AE65-AE70</f>
        <v>1273.3510282342859</v>
      </c>
      <c r="AF79" s="112"/>
      <c r="AG79" s="112">
        <f>AE79-AE74+AG65-AG70</f>
        <v>1503.4510282342862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0.42909090909090908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0.45532408308609335</v>
      </c>
      <c r="L115" s="22">
        <f t="shared" si="61"/>
        <v>0</v>
      </c>
      <c r="M115" s="225">
        <f t="shared" si="62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1.7311176778350816</v>
      </c>
      <c r="J119" s="24">
        <f>SUM(J91:J118)</f>
        <v>1.7311176778350816</v>
      </c>
      <c r="K119" s="22">
        <f>SUM(K91:K118)</f>
        <v>5.5314928661767722</v>
      </c>
      <c r="L119" s="22">
        <f>SUM(L91:L118)</f>
        <v>1.8565873496249687</v>
      </c>
      <c r="M119" s="57">
        <f t="shared" si="49"/>
        <v>1.7311176778350816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0.14814075946756677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0.92277472823128248</v>
      </c>
      <c r="J128" s="226">
        <f>(J30)</f>
        <v>0.50781843966975881</v>
      </c>
      <c r="K128" s="22">
        <f>(B128)</f>
        <v>0.6807752441843089</v>
      </c>
      <c r="L128" s="22">
        <f>IF(L124=L119,0,(L119-L124)/(B119-B124)*K128)</f>
        <v>0.15585270722999817</v>
      </c>
      <c r="M128" s="57">
        <f t="shared" si="63"/>
        <v>0.50781843966975881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1.7311176778350816</v>
      </c>
      <c r="J130" s="226">
        <f>(J119)</f>
        <v>1.7311176778350816</v>
      </c>
      <c r="K130" s="22">
        <f>(B130)</f>
        <v>5.5314928661767722</v>
      </c>
      <c r="L130" s="22">
        <f>(L119)</f>
        <v>1.8565873496249687</v>
      </c>
      <c r="M130" s="57">
        <f t="shared" si="63"/>
        <v>1.7311176778350816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0.32929464476208103</v>
      </c>
      <c r="K131" s="29"/>
      <c r="L131" s="29">
        <f>IF(I131&lt;SUM(L126:L127),0,I131-(SUM(L126:L127)))</f>
        <v>0.59611017385603793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5.9258755955684233E-3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5.9258755955684233E-3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2.3703502382273693E-2</v>
      </c>
      <c r="Z6" s="156">
        <f>Poor!Z6</f>
        <v>0.17</v>
      </c>
      <c r="AA6" s="121">
        <f>$M6*Z6*4</f>
        <v>4.0295954049865282E-3</v>
      </c>
      <c r="AB6" s="156">
        <f>Poor!AB6</f>
        <v>0.17</v>
      </c>
      <c r="AC6" s="121">
        <f t="shared" ref="AC6:AC29" si="7">$M6*AB6*4</f>
        <v>4.0295954049865282E-3</v>
      </c>
      <c r="AD6" s="156">
        <f>Poor!AD6</f>
        <v>0.33</v>
      </c>
      <c r="AE6" s="121">
        <f t="shared" ref="AE6:AE29" si="8">$M6*AD6*4</f>
        <v>7.8221557861503192E-3</v>
      </c>
      <c r="AF6" s="122">
        <f>1-SUM(Z6,AB6,AD6)</f>
        <v>0.32999999999999996</v>
      </c>
      <c r="AG6" s="121">
        <f>$M6*AF6*4</f>
        <v>7.8221557861503175E-3</v>
      </c>
      <c r="AH6" s="123">
        <f>SUM(Z6,AB6,AD6,AF6)</f>
        <v>1</v>
      </c>
      <c r="AI6" s="183">
        <f>SUM(AA6,AC6,AE6,AG6)/4</f>
        <v>5.9258755955684233E-3</v>
      </c>
      <c r="AJ6" s="120">
        <f>(AA6+AC6)/2</f>
        <v>4.0295954049865282E-3</v>
      </c>
      <c r="AK6" s="119">
        <f>(AE6+AG6)/2</f>
        <v>7.8221557861503192E-3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4237.7862785812968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11525.085216069881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6.3041308068603627E-2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6.3041308068603627E-2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719.9767549336384</v>
      </c>
      <c r="U9" s="221">
        <v>3</v>
      </c>
      <c r="V9" s="56"/>
      <c r="W9" s="115"/>
      <c r="X9" s="118">
        <f>Poor!X9</f>
        <v>1</v>
      </c>
      <c r="Y9" s="183">
        <f t="shared" si="9"/>
        <v>0.25216523227441451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0.25216523227441451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6.3041308068603627E-2</v>
      </c>
      <c r="AJ9" s="120">
        <f t="shared" si="14"/>
        <v>0.12608261613720725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-3.231321270325437E-5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-3.231321270325437E-5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2996.7995602511314</v>
      </c>
      <c r="U10" s="221">
        <v>4</v>
      </c>
      <c r="V10" s="56"/>
      <c r="W10" s="115"/>
      <c r="X10" s="118">
        <f>Poor!X10</f>
        <v>1</v>
      </c>
      <c r="Y10" s="183">
        <f t="shared" si="9"/>
        <v>-1.2925285081301748E-4</v>
      </c>
      <c r="Z10" s="125">
        <f>IF($Y10=0,0,AA10/$Y10)</f>
        <v>2.3342979389347254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-3.0171466325426425E-4</v>
      </c>
      <c r="AB10" s="125">
        <f>IF($Y10=0,0,AC10/$Y10)</f>
        <v>-1.3342979389347254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1.7246181244124677E-4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-3.231321270325437E-5</v>
      </c>
      <c r="AJ10" s="120">
        <f t="shared" si="14"/>
        <v>-6.462642540650874E-5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3.704291472073357E-4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3.704291472073357E-4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14707.502785712324</v>
      </c>
      <c r="U11" s="221">
        <v>5</v>
      </c>
      <c r="V11" s="56"/>
      <c r="W11" s="115"/>
      <c r="X11" s="118">
        <f>Poor!X11</f>
        <v>1</v>
      </c>
      <c r="Y11" s="183">
        <f t="shared" si="9"/>
        <v>1.4817165888293428E-3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1.4817165888293428E-3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3.704291472073357E-4</v>
      </c>
      <c r="AJ11" s="120">
        <f t="shared" si="14"/>
        <v>7.4085829441467141E-4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1.7249834914729662E-4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1.7249834914729662E-4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6.8999339658918648E-4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4.6229557571475499E-4</v>
      </c>
      <c r="AF12" s="122">
        <f>1-SUM(Z12,AB12,AD12)</f>
        <v>0.32999999999999996</v>
      </c>
      <c r="AG12" s="121">
        <f>$M12*AF12*4</f>
        <v>2.2769782087443151E-4</v>
      </c>
      <c r="AH12" s="123">
        <f t="shared" si="12"/>
        <v>1</v>
      </c>
      <c r="AI12" s="183">
        <f t="shared" si="13"/>
        <v>1.7249834914729662E-4</v>
      </c>
      <c r="AJ12" s="120">
        <f t="shared" si="14"/>
        <v>0</v>
      </c>
      <c r="AK12" s="119">
        <f t="shared" si="15"/>
        <v>3.4499669829459324E-4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8.2103849441752304E-3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8.2103849441752304E-3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3.2841539776700922E-2</v>
      </c>
      <c r="Z13" s="156">
        <f>Poor!Z13</f>
        <v>1</v>
      </c>
      <c r="AA13" s="121">
        <f>$M13*Z13*4</f>
        <v>3.2841539776700922E-2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8.2103849441752304E-3</v>
      </c>
      <c r="AJ13" s="120">
        <f t="shared" si="14"/>
        <v>1.6420769888350461E-2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-1.0166116028862862E-5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-1.0166116028862862E-5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81774</v>
      </c>
      <c r="T14" s="220">
        <f>IF($B$81=0,0,(SUMIF($N$6:$N$28,$U14,M$6:M$28)+SUMIF($N$91:$N$118,$U14,M$91:M$118))*$I$83*Poor!$B$81/$B$81)</f>
        <v>81774</v>
      </c>
      <c r="U14" s="221">
        <v>8</v>
      </c>
      <c r="V14" s="56"/>
      <c r="W14" s="110"/>
      <c r="X14" s="118"/>
      <c r="Y14" s="183">
        <f>M14*4</f>
        <v>-4.0664464115451449E-5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-4.0664464115451449E-5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-1.0166116028862862E-5</v>
      </c>
      <c r="AJ14" s="120">
        <f t="shared" si="14"/>
        <v>-2.0332232057725725E-5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2.1934904940369874E-2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2.1934904940369874E-2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8.7739619761479495E-2</v>
      </c>
      <c r="Z15" s="156">
        <f>Poor!Z15</f>
        <v>0.25</v>
      </c>
      <c r="AA15" s="121">
        <f t="shared" si="16"/>
        <v>2.1934904940369874E-2</v>
      </c>
      <c r="AB15" s="156">
        <f>Poor!AB15</f>
        <v>0.25</v>
      </c>
      <c r="AC15" s="121">
        <f t="shared" si="7"/>
        <v>2.1934904940369874E-2</v>
      </c>
      <c r="AD15" s="156">
        <f>Poor!AD15</f>
        <v>0.25</v>
      </c>
      <c r="AE15" s="121">
        <f t="shared" si="8"/>
        <v>2.1934904940369874E-2</v>
      </c>
      <c r="AF15" s="122">
        <f t="shared" si="10"/>
        <v>0.25</v>
      </c>
      <c r="AG15" s="121">
        <f t="shared" si="11"/>
        <v>2.1934904940369874E-2</v>
      </c>
      <c r="AH15" s="123">
        <f t="shared" si="12"/>
        <v>1</v>
      </c>
      <c r="AI15" s="183">
        <f t="shared" si="13"/>
        <v>2.1934904940369874E-2</v>
      </c>
      <c r="AJ15" s="120">
        <f t="shared" si="14"/>
        <v>2.1934904940369874E-2</v>
      </c>
      <c r="AK15" s="119">
        <f t="shared" si="15"/>
        <v>2.1934904940369874E-2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1.3203329530935752E-3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1.3203329530935752E-3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5.2813318123743009E-3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5.2813318123743009E-3</v>
      </c>
      <c r="AH16" s="123">
        <f t="shared" si="12"/>
        <v>1</v>
      </c>
      <c r="AI16" s="183">
        <f t="shared" si="13"/>
        <v>1.3203329530935752E-3</v>
      </c>
      <c r="AJ16" s="120">
        <f t="shared" si="14"/>
        <v>0</v>
      </c>
      <c r="AK16" s="119">
        <f t="shared" si="15"/>
        <v>2.6406659061871504E-3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2.681426436857411E-2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2.681426436857411E-2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0.10725705747429644</v>
      </c>
      <c r="Z17" s="156">
        <f>Poor!Z17</f>
        <v>0.29409999999999997</v>
      </c>
      <c r="AA17" s="121">
        <f t="shared" si="16"/>
        <v>3.1544300603190578E-2</v>
      </c>
      <c r="AB17" s="156">
        <f>Poor!AB17</f>
        <v>0.17649999999999999</v>
      </c>
      <c r="AC17" s="121">
        <f t="shared" si="7"/>
        <v>1.8930870644213321E-2</v>
      </c>
      <c r="AD17" s="156">
        <f>Poor!AD17</f>
        <v>0.23530000000000001</v>
      </c>
      <c r="AE17" s="121">
        <f t="shared" si="8"/>
        <v>2.5237585623701955E-2</v>
      </c>
      <c r="AF17" s="122">
        <f t="shared" si="10"/>
        <v>0.29410000000000003</v>
      </c>
      <c r="AG17" s="121">
        <f t="shared" si="11"/>
        <v>3.1544300603190585E-2</v>
      </c>
      <c r="AH17" s="123">
        <f t="shared" si="12"/>
        <v>1</v>
      </c>
      <c r="AI17" s="183">
        <f t="shared" si="13"/>
        <v>2.6814264368574113E-2</v>
      </c>
      <c r="AJ17" s="120">
        <f t="shared" si="14"/>
        <v>2.5237585623701951E-2</v>
      </c>
      <c r="AK17" s="119">
        <f t="shared" si="15"/>
        <v>2.8390943113446268E-2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4.7106446954125104E-5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4.7106446954125104E-5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9.5347238799582072E-3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9.5347238799582072E-3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1.8737497228030948E-4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1.8737497228030948E-4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285439.62512646551</v>
      </c>
      <c r="T23" s="179">
        <f>SUM(T7:T22)</f>
        <v>285130.40059554827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3.1388622295276489E-2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3.1388622295276489E-2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0.12555448918110595</v>
      </c>
      <c r="Z27" s="156">
        <f>Poor!Z27</f>
        <v>0.25</v>
      </c>
      <c r="AA27" s="121">
        <f t="shared" si="16"/>
        <v>3.1388622295276489E-2</v>
      </c>
      <c r="AB27" s="156">
        <f>Poor!AB27</f>
        <v>0.25</v>
      </c>
      <c r="AC27" s="121">
        <f t="shared" si="7"/>
        <v>3.1388622295276489E-2</v>
      </c>
      <c r="AD27" s="156">
        <f>Poor!AD27</f>
        <v>0.25</v>
      </c>
      <c r="AE27" s="121">
        <f t="shared" si="8"/>
        <v>3.1388622295276489E-2</v>
      </c>
      <c r="AF27" s="122">
        <f t="shared" si="10"/>
        <v>0.25</v>
      </c>
      <c r="AG27" s="121">
        <f t="shared" si="11"/>
        <v>3.1388622295276489E-2</v>
      </c>
      <c r="AH27" s="123">
        <f t="shared" si="12"/>
        <v>1</v>
      </c>
      <c r="AI27" s="183">
        <f t="shared" si="13"/>
        <v>3.1388622295276489E-2</v>
      </c>
      <c r="AJ27" s="120">
        <f t="shared" si="14"/>
        <v>3.1388622295276489E-2</v>
      </c>
      <c r="AK27" s="119">
        <f t="shared" si="15"/>
        <v>3.1388622295276489E-2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7.0277180891194259E-3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7.0277180891194259E-3</v>
      </c>
      <c r="N28" s="227"/>
      <c r="O28" s="2"/>
      <c r="P28" s="22"/>
      <c r="V28" s="56"/>
      <c r="W28" s="110"/>
      <c r="X28" s="118"/>
      <c r="Y28" s="183">
        <f t="shared" si="9"/>
        <v>2.8110872356477704E-2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1.4055436178238852E-2</v>
      </c>
      <c r="AF28" s="122">
        <f t="shared" si="10"/>
        <v>0.5</v>
      </c>
      <c r="AG28" s="121">
        <f t="shared" si="11"/>
        <v>1.4055436178238852E-2</v>
      </c>
      <c r="AH28" s="123">
        <f t="shared" si="12"/>
        <v>1</v>
      </c>
      <c r="AI28" s="183">
        <f t="shared" si="13"/>
        <v>7.0277180891194259E-3</v>
      </c>
      <c r="AJ28" s="120">
        <f t="shared" si="14"/>
        <v>0</v>
      </c>
      <c r="AK28" s="119">
        <f t="shared" si="15"/>
        <v>1.4055436178238852E-2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0.23356444841165763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0.23356444841165763</v>
      </c>
      <c r="N29" s="227"/>
      <c r="P29" s="22"/>
      <c r="V29" s="56"/>
      <c r="W29" s="110"/>
      <c r="X29" s="118"/>
      <c r="Y29" s="183">
        <f t="shared" si="9"/>
        <v>0.93425779364663053</v>
      </c>
      <c r="Z29" s="156">
        <f>Poor!Z29</f>
        <v>0.25</v>
      </c>
      <c r="AA29" s="121">
        <f t="shared" si="16"/>
        <v>0.23356444841165763</v>
      </c>
      <c r="AB29" s="156">
        <f>Poor!AB29</f>
        <v>0.25</v>
      </c>
      <c r="AC29" s="121">
        <f t="shared" si="7"/>
        <v>0.23356444841165763</v>
      </c>
      <c r="AD29" s="156">
        <f>Poor!AD29</f>
        <v>0.25</v>
      </c>
      <c r="AE29" s="121">
        <f t="shared" si="8"/>
        <v>0.23356444841165763</v>
      </c>
      <c r="AF29" s="122">
        <f t="shared" si="10"/>
        <v>0.25</v>
      </c>
      <c r="AG29" s="121">
        <f t="shared" si="11"/>
        <v>0.23356444841165763</v>
      </c>
      <c r="AH29" s="123">
        <f t="shared" si="12"/>
        <v>1</v>
      </c>
      <c r="AI29" s="183">
        <f t="shared" si="13"/>
        <v>0.23356444841165763</v>
      </c>
      <c r="AJ29" s="120">
        <f t="shared" si="14"/>
        <v>0.23356444841165763</v>
      </c>
      <c r="AK29" s="119">
        <f t="shared" si="15"/>
        <v>0.23356444841165763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8.0624713327826072</v>
      </c>
      <c r="J30" s="229">
        <f>IF(I$32&lt;=1,I30,1-SUM(J6:J29))</f>
        <v>0.56744239320755174</v>
      </c>
      <c r="K30" s="22">
        <f t="shared" si="4"/>
        <v>0.610559792652553</v>
      </c>
      <c r="L30" s="22">
        <f>IF(L124=L119,0,IF(K30="",0,(L119-L124)/(B119-B124)*K30))</f>
        <v>0.26500014736915645</v>
      </c>
      <c r="M30" s="175">
        <f t="shared" si="6"/>
        <v>0.56744239320755174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2.269769572830207</v>
      </c>
      <c r="Z30" s="122">
        <f>IF($Y30=0,0,AA30/($Y$30))</f>
        <v>0.16243265048330155</v>
      </c>
      <c r="AA30" s="187">
        <f>IF(AA79*4/$I$83+SUM(AA6:AA29)&lt;1,AA79*4/$I$83,1-SUM(AA6:AA29))</f>
        <v>0.3686846877011617</v>
      </c>
      <c r="AB30" s="122">
        <f>IF($Y30=0,0,AC30/($Y$30))</f>
        <v>0.30400432238360442</v>
      </c>
      <c r="AC30" s="187">
        <f>IF(AC79*4/$I$83+SUM(AC6:AC29)&lt;1,AC79*4/$I$83,1-SUM(AC6:AC29))</f>
        <v>0.69001976095517037</v>
      </c>
      <c r="AD30" s="122">
        <f>IF($Y30=0,0,AE30/($Y$30))</f>
        <v>0.2932167913234584</v>
      </c>
      <c r="AE30" s="187">
        <f>IF(AE79*4/$I$83+SUM(AE6:AE29)&lt;1,AE79*4/$I$83,1-SUM(AE6:AE29))</f>
        <v>0.66553455118889016</v>
      </c>
      <c r="AF30" s="122">
        <f>IF($Y30=0,0,AG30/($Y$30))</f>
        <v>0.25756244209970636</v>
      </c>
      <c r="AG30" s="187">
        <f>IF(AG79*4/$I$83+SUM(AG6:AG29)&lt;1,AG79*4/$I$83,1-SUM(AG6:AG29))</f>
        <v>0.58460739418175545</v>
      </c>
      <c r="AH30" s="123">
        <f t="shared" si="12"/>
        <v>1.0172162062900707</v>
      </c>
      <c r="AI30" s="183">
        <f t="shared" si="13"/>
        <v>0.57721159850674442</v>
      </c>
      <c r="AJ30" s="120">
        <f t="shared" si="14"/>
        <v>0.52935222432816609</v>
      </c>
      <c r="AK30" s="119">
        <f t="shared" si="15"/>
        <v>0.62507097268532275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0.30115598051585812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8.4719913692816817</v>
      </c>
      <c r="J32" s="17"/>
      <c r="L32" s="22">
        <f>SUM(L6:L30)</f>
        <v>0.69884401948414188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3.9609231788032293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5.2880859040826109E-2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2397.4396482009051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7.9980772378529762E-3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2397.4396482009051</v>
      </c>
      <c r="AH37" s="123">
        <f>SUM(Z37,AB37,AD37,AF37)</f>
        <v>1</v>
      </c>
      <c r="AI37" s="112">
        <f>SUM(AA37,AC37,AE37,AG37)</f>
        <v>2397.4396482009051</v>
      </c>
      <c r="AJ37" s="148">
        <f>(AA37+AC37)</f>
        <v>0</v>
      </c>
      <c r="AK37" s="147">
        <f>(AE37+AG37)</f>
        <v>2397.4396482009051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8369.1989739193068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2.7920410785980766E-2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8369.1989739193068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8369.1989739193068</v>
      </c>
      <c r="AJ39" s="148">
        <f t="shared" si="36"/>
        <v>8369.1989739193068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1774.3032546505551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5.9192374184344225E-3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1774.3032546505551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1774.3032546505551</v>
      </c>
      <c r="AJ40" s="148">
        <f t="shared" si="36"/>
        <v>1774.3032546505551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5966.8505880427956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1.9905957551718739E-2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1491.7126470106989</v>
      </c>
      <c r="AB43" s="156">
        <f>Poor!AB43</f>
        <v>0.25</v>
      </c>
      <c r="AC43" s="147">
        <f t="shared" si="39"/>
        <v>1491.7126470106989</v>
      </c>
      <c r="AD43" s="156">
        <f>Poor!AD43</f>
        <v>0.25</v>
      </c>
      <c r="AE43" s="147">
        <f t="shared" si="40"/>
        <v>1491.7126470106989</v>
      </c>
      <c r="AF43" s="122">
        <f t="shared" si="31"/>
        <v>0.25</v>
      </c>
      <c r="AG43" s="147">
        <f t="shared" si="34"/>
        <v>1491.7126470106989</v>
      </c>
      <c r="AH43" s="123">
        <f t="shared" si="35"/>
        <v>1</v>
      </c>
      <c r="AI43" s="112">
        <f t="shared" si="35"/>
        <v>5966.8505880427956</v>
      </c>
      <c r="AJ43" s="148">
        <f t="shared" si="36"/>
        <v>2983.4252940213978</v>
      </c>
      <c r="AK43" s="147">
        <f t="shared" si="37"/>
        <v>2983.4252940213978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159.11601568114119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5.3082553471249961E-4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39.779003920285298</v>
      </c>
      <c r="AB44" s="156">
        <f>Poor!AB44</f>
        <v>0.25</v>
      </c>
      <c r="AC44" s="147">
        <f t="shared" si="39"/>
        <v>39.779003920285298</v>
      </c>
      <c r="AD44" s="156">
        <f>Poor!AD44</f>
        <v>0.25</v>
      </c>
      <c r="AE44" s="147">
        <f t="shared" si="40"/>
        <v>39.779003920285298</v>
      </c>
      <c r="AF44" s="122">
        <f t="shared" si="31"/>
        <v>0.25</v>
      </c>
      <c r="AG44" s="147">
        <f t="shared" si="34"/>
        <v>39.779003920285298</v>
      </c>
      <c r="AH44" s="123">
        <f t="shared" si="35"/>
        <v>1</v>
      </c>
      <c r="AI44" s="112">
        <f t="shared" si="35"/>
        <v>159.11601568114119</v>
      </c>
      <c r="AJ44" s="148">
        <f t="shared" si="36"/>
        <v>79.558007840570596</v>
      </c>
      <c r="AK44" s="147">
        <f t="shared" si="37"/>
        <v>79.558007840570596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173.13481438528768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5.7759352526517819E-4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43.283703596321921</v>
      </c>
      <c r="AB45" s="156">
        <f>Poor!AB45</f>
        <v>0.25</v>
      </c>
      <c r="AC45" s="147">
        <f t="shared" si="39"/>
        <v>43.283703596321921</v>
      </c>
      <c r="AD45" s="156">
        <f>Poor!AD45</f>
        <v>0.25</v>
      </c>
      <c r="AE45" s="147">
        <f t="shared" si="40"/>
        <v>43.283703596321921</v>
      </c>
      <c r="AF45" s="122">
        <f t="shared" si="31"/>
        <v>0.25</v>
      </c>
      <c r="AG45" s="147">
        <f t="shared" si="34"/>
        <v>43.283703596321921</v>
      </c>
      <c r="AH45" s="123">
        <f t="shared" si="35"/>
        <v>1</v>
      </c>
      <c r="AI45" s="112">
        <f t="shared" si="35"/>
        <v>173.13481438528768</v>
      </c>
      <c r="AJ45" s="148">
        <f t="shared" si="36"/>
        <v>86.567407192643842</v>
      </c>
      <c r="AK45" s="147">
        <f t="shared" si="37"/>
        <v>86.567407192643842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170.96132810628623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5.70342576884512E-4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42.740332026571558</v>
      </c>
      <c r="AB46" s="156">
        <f>Poor!AB46</f>
        <v>0.25</v>
      </c>
      <c r="AC46" s="147">
        <f t="shared" si="39"/>
        <v>42.740332026571558</v>
      </c>
      <c r="AD46" s="156">
        <f>Poor!AD46</f>
        <v>0.25</v>
      </c>
      <c r="AE46" s="147">
        <f t="shared" si="40"/>
        <v>42.740332026571558</v>
      </c>
      <c r="AF46" s="122">
        <f t="shared" si="31"/>
        <v>0.25</v>
      </c>
      <c r="AG46" s="147">
        <f t="shared" si="34"/>
        <v>42.740332026571558</v>
      </c>
      <c r="AH46" s="123">
        <f t="shared" si="35"/>
        <v>1</v>
      </c>
      <c r="AI46" s="112">
        <f t="shared" si="35"/>
        <v>170.96132810628623</v>
      </c>
      <c r="AJ46" s="148">
        <f t="shared" si="36"/>
        <v>85.480664053143116</v>
      </c>
      <c r="AK46" s="147">
        <f t="shared" si="37"/>
        <v>85.480664053143116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255.331494119572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8.5180914262314184E-4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63.832873529893</v>
      </c>
      <c r="AB47" s="156">
        <f>Poor!AB47</f>
        <v>0.25</v>
      </c>
      <c r="AC47" s="147">
        <f t="shared" si="39"/>
        <v>63.832873529893</v>
      </c>
      <c r="AD47" s="156">
        <f>Poor!AD47</f>
        <v>0.25</v>
      </c>
      <c r="AE47" s="147">
        <f t="shared" si="40"/>
        <v>63.832873529893</v>
      </c>
      <c r="AF47" s="122">
        <f t="shared" si="31"/>
        <v>0.25</v>
      </c>
      <c r="AG47" s="147">
        <f t="shared" si="34"/>
        <v>63.832873529893</v>
      </c>
      <c r="AH47" s="123">
        <f t="shared" si="35"/>
        <v>1</v>
      </c>
      <c r="AI47" s="112">
        <f t="shared" si="35"/>
        <v>255.331494119572</v>
      </c>
      <c r="AJ47" s="148">
        <f t="shared" si="36"/>
        <v>127.665747059786</v>
      </c>
      <c r="AK47" s="147">
        <f t="shared" si="37"/>
        <v>127.665747059786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53.038671893713726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1.7694184490416653E-4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13.259667973428432</v>
      </c>
      <c r="AB48" s="156">
        <f>Poor!AB48</f>
        <v>0.25</v>
      </c>
      <c r="AC48" s="147">
        <f t="shared" si="39"/>
        <v>13.259667973428432</v>
      </c>
      <c r="AD48" s="156">
        <f>Poor!AD48</f>
        <v>0.25</v>
      </c>
      <c r="AE48" s="147">
        <f t="shared" si="40"/>
        <v>13.259667973428432</v>
      </c>
      <c r="AF48" s="122">
        <f t="shared" si="31"/>
        <v>0.25</v>
      </c>
      <c r="AG48" s="147">
        <f t="shared" si="34"/>
        <v>13.259667973428432</v>
      </c>
      <c r="AH48" s="123">
        <f t="shared" si="35"/>
        <v>1</v>
      </c>
      <c r="AI48" s="112">
        <f t="shared" si="35"/>
        <v>53.038671893713726</v>
      </c>
      <c r="AJ48" s="148">
        <f t="shared" si="36"/>
        <v>26.519335946856863</v>
      </c>
      <c r="AK48" s="147">
        <f t="shared" si="37"/>
        <v>26.519335946856863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131.27071293694152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4.3793106613781231E-4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32.81767823423538</v>
      </c>
      <c r="AB49" s="156">
        <f>Poor!AB49</f>
        <v>0.25</v>
      </c>
      <c r="AC49" s="147">
        <f t="shared" si="39"/>
        <v>32.81767823423538</v>
      </c>
      <c r="AD49" s="156">
        <f>Poor!AD49</f>
        <v>0.25</v>
      </c>
      <c r="AE49" s="147">
        <f t="shared" si="40"/>
        <v>32.81767823423538</v>
      </c>
      <c r="AF49" s="122">
        <f t="shared" si="31"/>
        <v>0.25</v>
      </c>
      <c r="AG49" s="147">
        <f t="shared" si="34"/>
        <v>32.81767823423538</v>
      </c>
      <c r="AH49" s="123">
        <f t="shared" si="35"/>
        <v>1</v>
      </c>
      <c r="AI49" s="112">
        <f t="shared" si="35"/>
        <v>131.27071293694152</v>
      </c>
      <c r="AJ49" s="148">
        <f t="shared" si="36"/>
        <v>65.635356468470761</v>
      </c>
      <c r="AK49" s="147">
        <f t="shared" si="37"/>
        <v>65.635356468470761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66.828726586079298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2.2294672457924983E-4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16.707181646519825</v>
      </c>
      <c r="AB50" s="156">
        <f>Poor!AB55</f>
        <v>0.25</v>
      </c>
      <c r="AC50" s="147">
        <f t="shared" si="39"/>
        <v>16.707181646519825</v>
      </c>
      <c r="AD50" s="156">
        <f>Poor!AD55</f>
        <v>0.25</v>
      </c>
      <c r="AE50" s="147">
        <f t="shared" si="40"/>
        <v>16.707181646519825</v>
      </c>
      <c r="AF50" s="122">
        <f t="shared" si="31"/>
        <v>0.25</v>
      </c>
      <c r="AG50" s="147">
        <f t="shared" si="34"/>
        <v>16.707181646519825</v>
      </c>
      <c r="AH50" s="123">
        <f t="shared" si="35"/>
        <v>1</v>
      </c>
      <c r="AI50" s="112">
        <f t="shared" si="35"/>
        <v>66.828726586079298</v>
      </c>
      <c r="AJ50" s="148">
        <f t="shared" si="36"/>
        <v>33.414363293039649</v>
      </c>
      <c r="AK50" s="147">
        <f t="shared" si="37"/>
        <v>33.414363293039649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79.558007840570596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2.654127673562498E-4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19.889501960142649</v>
      </c>
      <c r="AB51" s="156">
        <f>Poor!AB56</f>
        <v>0.25</v>
      </c>
      <c r="AC51" s="147">
        <f t="shared" si="39"/>
        <v>19.889501960142649</v>
      </c>
      <c r="AD51" s="156">
        <f>Poor!AD56</f>
        <v>0.25</v>
      </c>
      <c r="AE51" s="147">
        <f t="shared" si="40"/>
        <v>19.889501960142649</v>
      </c>
      <c r="AF51" s="122">
        <f t="shared" si="31"/>
        <v>0.25</v>
      </c>
      <c r="AG51" s="147">
        <f t="shared" si="34"/>
        <v>19.889501960142649</v>
      </c>
      <c r="AH51" s="123">
        <f t="shared" si="35"/>
        <v>1</v>
      </c>
      <c r="AI51" s="112">
        <f t="shared" si="35"/>
        <v>79.558007840570596</v>
      </c>
      <c r="AJ51" s="148">
        <f t="shared" si="36"/>
        <v>39.779003920285298</v>
      </c>
      <c r="AK51" s="147">
        <f t="shared" si="37"/>
        <v>39.779003920285298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159.11601568114119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5.3082553471249961E-4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39.779003920285298</v>
      </c>
      <c r="AB52" s="156">
        <f>Poor!AB57</f>
        <v>0.25</v>
      </c>
      <c r="AC52" s="147">
        <f t="shared" si="39"/>
        <v>39.779003920285298</v>
      </c>
      <c r="AD52" s="156">
        <f>Poor!AD57</f>
        <v>0.25</v>
      </c>
      <c r="AE52" s="147">
        <f t="shared" si="40"/>
        <v>39.779003920285298</v>
      </c>
      <c r="AF52" s="122">
        <f t="shared" si="31"/>
        <v>0.25</v>
      </c>
      <c r="AG52" s="147">
        <f t="shared" si="34"/>
        <v>39.779003920285298</v>
      </c>
      <c r="AH52" s="123">
        <f t="shared" si="35"/>
        <v>1</v>
      </c>
      <c r="AI52" s="112">
        <f t="shared" si="35"/>
        <v>159.11601568114119</v>
      </c>
      <c r="AJ52" s="148">
        <f t="shared" si="36"/>
        <v>79.558007840570596</v>
      </c>
      <c r="AK52" s="147">
        <f t="shared" si="37"/>
        <v>79.558007840570596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1845.7457819012379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6.1575762026649964E-3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159.11601568114119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5.3082553471249961E-4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65419.199999999997</v>
      </c>
      <c r="J58" s="38">
        <f t="shared" si="33"/>
        <v>65419.199999999997</v>
      </c>
      <c r="K58" s="40">
        <f t="shared" si="43"/>
        <v>0.30825482398782994</v>
      </c>
      <c r="L58" s="22">
        <f t="shared" si="44"/>
        <v>0.2182444153833836</v>
      </c>
      <c r="M58" s="24">
        <f t="shared" si="45"/>
        <v>0.2182444153833836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16354.8</v>
      </c>
      <c r="AB58" s="156">
        <f>Poor!AB58</f>
        <v>0.25</v>
      </c>
      <c r="AC58" s="147">
        <f t="shared" si="39"/>
        <v>16354.8</v>
      </c>
      <c r="AD58" s="156">
        <f>Poor!AD58</f>
        <v>0.25</v>
      </c>
      <c r="AE58" s="147">
        <f t="shared" si="40"/>
        <v>16354.8</v>
      </c>
      <c r="AF58" s="122">
        <f t="shared" si="31"/>
        <v>0.25</v>
      </c>
      <c r="AG58" s="147">
        <f t="shared" si="34"/>
        <v>16354.8</v>
      </c>
      <c r="AH58" s="123">
        <f t="shared" si="35"/>
        <v>1</v>
      </c>
      <c r="AI58" s="112">
        <f t="shared" si="35"/>
        <v>65419.199999999997</v>
      </c>
      <c r="AJ58" s="148">
        <f t="shared" si="36"/>
        <v>32709.599999999999</v>
      </c>
      <c r="AK58" s="147">
        <f t="shared" si="37"/>
        <v>32709.599999999999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2.8423496757319384E-2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219107.07</v>
      </c>
      <c r="J65" s="39">
        <f>SUM(J37:J64)</f>
        <v>224138.11004962667</v>
      </c>
      <c r="K65" s="40">
        <f>SUM(K37:K64)</f>
        <v>1</v>
      </c>
      <c r="L65" s="22">
        <f>SUM(L37:L64)</f>
        <v>0.74868227734927539</v>
      </c>
      <c r="M65" s="24">
        <f>SUM(M37:M64)</f>
        <v>0.74774516950554681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62829.203822388241</v>
      </c>
      <c r="AB65" s="137"/>
      <c r="AC65" s="153">
        <f>SUM(AC37:AC64)</f>
        <v>51992.451593818376</v>
      </c>
      <c r="AD65" s="137"/>
      <c r="AE65" s="153">
        <f>SUM(AE37:AE64)</f>
        <v>52611.951593818376</v>
      </c>
      <c r="AF65" s="137"/>
      <c r="AG65" s="153">
        <f>SUM(AG37:AG64)</f>
        <v>54699.641242019286</v>
      </c>
      <c r="AH65" s="137"/>
      <c r="AI65" s="153">
        <f>SUM(AI37:AI64)</f>
        <v>222133.24825204429</v>
      </c>
      <c r="AJ65" s="153">
        <f>SUM(AJ37:AJ64)</f>
        <v>114821.65541620662</v>
      </c>
      <c r="AK65" s="153">
        <f>SUM(AK37:AK64)</f>
        <v>107311.59283583767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199141.18529034973</v>
      </c>
      <c r="J74" s="51">
        <f>J128*I$83</f>
        <v>14015.696441347143</v>
      </c>
      <c r="K74" s="40">
        <f>B74/B$76</f>
        <v>3.0491238976837635E-2</v>
      </c>
      <c r="L74" s="22">
        <f>(L128*G$37*F$9/F$7)/B$130</f>
        <v>2.1836193305365015E-2</v>
      </c>
      <c r="M74" s="24">
        <f>J74/B$76</f>
        <v>4.6757641121150627E-2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2276.606721337394</v>
      </c>
      <c r="AB74" s="156"/>
      <c r="AC74" s="147">
        <f>AC30*$I$83/4</f>
        <v>4260.8322993860347</v>
      </c>
      <c r="AD74" s="156"/>
      <c r="AE74" s="147">
        <f>AE30*$I$83/4</f>
        <v>4109.6375386954242</v>
      </c>
      <c r="AF74" s="156"/>
      <c r="AG74" s="147">
        <f>AG30*$I$83/4</f>
        <v>3609.9170031615345</v>
      </c>
      <c r="AH74" s="155"/>
      <c r="AI74" s="147">
        <f>SUM(AA74,AC74,AE74,AG74)</f>
        <v>14256.993562580386</v>
      </c>
      <c r="AJ74" s="148">
        <f>(AA74+AC74)</f>
        <v>6537.4390207234283</v>
      </c>
      <c r="AK74" s="147">
        <f>(AE74+AG74)</f>
        <v>7719.5545418569582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87705.782231962585</v>
      </c>
      <c r="K75" s="40">
        <f>B75/B$76</f>
        <v>0.63228327833131914</v>
      </c>
      <c r="L75" s="22">
        <f>(L129*G$37*F$9/F$7)/B$130</f>
        <v>0.31845304120744239</v>
      </c>
      <c r="M75" s="24">
        <f>J75/B$76</f>
        <v>0.29259448554792822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55561.125923638276</v>
      </c>
      <c r="AB75" s="158"/>
      <c r="AC75" s="149">
        <f>AA75+AC65-SUM(AC70,AC74)</f>
        <v>98301.274040658041</v>
      </c>
      <c r="AD75" s="158"/>
      <c r="AE75" s="149">
        <f>AC75+AE65-SUM(AE70,AE74)</f>
        <v>141812.11691836841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187910.36997981361</v>
      </c>
      <c r="AJ75" s="151">
        <f>AJ76-SUM(AJ70,AJ74)</f>
        <v>98301.274040658056</v>
      </c>
      <c r="AK75" s="149">
        <f>AJ75+AK76-SUM(AK70,AK74)</f>
        <v>187910.36997981361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219107.07000000004</v>
      </c>
      <c r="J76" s="51">
        <f>J130*I$83</f>
        <v>224138.11004962664</v>
      </c>
      <c r="K76" s="40">
        <f>SUM(K70:K75)</f>
        <v>0.85547163432882312</v>
      </c>
      <c r="L76" s="22">
        <f>SUM(L70:L75)</f>
        <v>0.5781388058572865</v>
      </c>
      <c r="M76" s="24">
        <f>SUM(M70:M75)</f>
        <v>0.57720169801355792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62829.203822388241</v>
      </c>
      <c r="AB76" s="137"/>
      <c r="AC76" s="153">
        <f>AC65</f>
        <v>51992.451593818376</v>
      </c>
      <c r="AD76" s="137"/>
      <c r="AE76" s="153">
        <f>AE65</f>
        <v>52611.951593818376</v>
      </c>
      <c r="AF76" s="137"/>
      <c r="AG76" s="153">
        <f>AG65</f>
        <v>54699.641242019286</v>
      </c>
      <c r="AH76" s="137"/>
      <c r="AI76" s="153">
        <f>SUM(AA76,AC76,AE76,AG76)</f>
        <v>222133.24825204429</v>
      </c>
      <c r="AJ76" s="154">
        <f>SUM(AA76,AC76)</f>
        <v>114821.65541620662</v>
      </c>
      <c r="AK76" s="154">
        <f>SUM(AE76,AG76)</f>
        <v>107311.59283583766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55561.125923638276</v>
      </c>
      <c r="AD78" s="112"/>
      <c r="AE78" s="112">
        <f>AC75</f>
        <v>98301.274040658041</v>
      </c>
      <c r="AF78" s="112"/>
      <c r="AG78" s="112">
        <f>AE75</f>
        <v>141812.11691836841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57837.732644975673</v>
      </c>
      <c r="AB79" s="112"/>
      <c r="AC79" s="112">
        <f>AA79-AA74+AC65-AC70</f>
        <v>102562.10634004408</v>
      </c>
      <c r="AD79" s="112"/>
      <c r="AE79" s="112">
        <f>AC79-AC74+AE65-AE70</f>
        <v>145921.75445706383</v>
      </c>
      <c r="AF79" s="112"/>
      <c r="AG79" s="112">
        <f>AE79-AE74+AG65-AG70</f>
        <v>191520.28698297511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9.7063238864998874E-2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9.7063238864998874E-2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0.33883712556594836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0.33883712556594836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7.1834809587106557E-2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7.1834809587106557E-2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0.24157515052926296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0.24157515052926296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6.4420040141136775E-3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6.4420040141136775E-3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7.0095720061763836E-3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7.0095720061763836E-3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6.9215757898683618E-3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6.9215757898683618E-3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1.0337403830825541E-2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1.0337403830825541E-2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2.1473346713712258E-3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2.1473346713712258E-3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5.3146533116437853E-3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5.3146533116437853E-3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2.7056416859277447E-3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2.7056416859277447E-3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3.2210020070568388E-3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3.2210020070568388E-3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6.4420040141136775E-3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6.4420040141136775E-3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7.4727246563718666E-2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7.4727246563718666E-2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6.4420040141136775E-3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6.4420040141136775E-3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0.42909090909090908</v>
      </c>
      <c r="I112" s="22">
        <f t="shared" si="59"/>
        <v>2.6485753002050219</v>
      </c>
      <c r="J112" s="24">
        <f t="shared" si="60"/>
        <v>2.6485753002050219</v>
      </c>
      <c r="K112" s="22">
        <f t="shared" si="61"/>
        <v>6.1725271826811952</v>
      </c>
      <c r="L112" s="22">
        <f t="shared" si="62"/>
        <v>2.6485753002050219</v>
      </c>
      <c r="M112" s="225">
        <f t="shared" si="63"/>
        <v>2.6485753002050219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0.5691551038576167</v>
      </c>
      <c r="L115" s="22">
        <f t="shared" si="62"/>
        <v>0</v>
      </c>
      <c r="M115" s="225">
        <f t="shared" si="63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8.8708142823864069</v>
      </c>
      <c r="J119" s="24">
        <f>SUM(J91:J118)</f>
        <v>9.0745020133550423</v>
      </c>
      <c r="K119" s="22">
        <f>SUM(K91:K118)</f>
        <v>20.024105714968115</v>
      </c>
      <c r="L119" s="22">
        <f>SUM(L91:L118)</f>
        <v>9.0858745870090711</v>
      </c>
      <c r="M119" s="57">
        <f t="shared" si="50"/>
        <v>9.0745020133550423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8.0624713327826072</v>
      </c>
      <c r="J128" s="226">
        <f>(J30)</f>
        <v>0.56744239320755174</v>
      </c>
      <c r="K128" s="22">
        <f>(B128)</f>
        <v>0.610559792652553</v>
      </c>
      <c r="L128" s="22">
        <f>IF(L124=L119,0,(L119-L124)/(B119-B124)*K128)</f>
        <v>0.26500014736915645</v>
      </c>
      <c r="M128" s="57">
        <f t="shared" si="90"/>
        <v>0.56744239320755174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3.5508744910475301</v>
      </c>
      <c r="K129" s="29">
        <f>(B129)</f>
        <v>12.66090720711294</v>
      </c>
      <c r="L129" s="60">
        <f>IF(SUM(L124:L128)&gt;L130,0,L130-SUM(L124:L128))</f>
        <v>3.864689310539954</v>
      </c>
      <c r="M129" s="57">
        <f t="shared" si="90"/>
        <v>3.5508744910475301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8.8708142823864069</v>
      </c>
      <c r="J130" s="226">
        <f>(J119)</f>
        <v>9.0745020133550423</v>
      </c>
      <c r="K130" s="22">
        <f>(B130)</f>
        <v>20.024105714968115</v>
      </c>
      <c r="L130" s="22">
        <f>(L119)</f>
        <v>9.0858745870090711</v>
      </c>
      <c r="M130" s="57">
        <f t="shared" si="90"/>
        <v>9.0745020133550423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6" workbookViewId="0">
      <selection activeCell="S86" sqref="S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779.83236380327935</v>
      </c>
      <c r="G72" s="109">
        <f>Poor!T7</f>
        <v>910.90245503690005</v>
      </c>
      <c r="H72" s="109">
        <f>Middle!T7</f>
        <v>1840.3542374993544</v>
      </c>
      <c r="I72" s="109">
        <f>Rich!T7</f>
        <v>4237.7862785812968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0</v>
      </c>
      <c r="G73" s="109">
        <f>Poor!T8</f>
        <v>70</v>
      </c>
      <c r="H73" s="109">
        <f>Middle!T8</f>
        <v>435.95999999999992</v>
      </c>
      <c r="I73" s="109">
        <f>Rich!T8</f>
        <v>11525.085216069881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719.9767549336384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2996.7995602511314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14707.502785712324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5156.1070544960912</v>
      </c>
      <c r="G78" s="109">
        <f>Poor!T13</f>
        <v>9852.4856435968759</v>
      </c>
      <c r="H78" s="109">
        <f>Middle!T13</f>
        <v>18581.372747575155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81774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19583.999999999996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26596.373170081904</v>
      </c>
      <c r="G88" s="109">
        <f>Poor!T23</f>
        <v>17164.492202710655</v>
      </c>
      <c r="H88" s="109">
        <f>Middle!T23</f>
        <v>61708.128266825828</v>
      </c>
      <c r="I88" s="109">
        <f>Rich!T23</f>
        <v>285130.40059554827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22300.099132798568</v>
      </c>
      <c r="G98" s="237">
        <f t="shared" si="0"/>
        <v>31731.980100169818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45278.632466131909</v>
      </c>
      <c r="G99" s="237">
        <f t="shared" si="0"/>
        <v>54710.513433503162</v>
      </c>
      <c r="H99" s="237">
        <f t="shared" si="0"/>
        <v>10166.877369387985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86201.032466131903</v>
      </c>
      <c r="G100" s="237">
        <f t="shared" si="0"/>
        <v>95632.913433503156</v>
      </c>
      <c r="H100" s="237">
        <f t="shared" si="0"/>
        <v>51089.277369387979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2016-08-10T10:08:48Z</dcterms:modified>
  <cp:category/>
</cp:coreProperties>
</file>