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795" windowHeight="17175"/>
  </bookViews>
  <sheets>
    <sheet name="Original Sensitometry Meas." sheetId="1" r:id="rId1"/>
    <sheet name="Gammex Phant. 120KvP" sheetId="2" r:id="rId2"/>
    <sheet name="Sheet1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G18" i="3" l="1"/>
  <c r="G16" i="3"/>
  <c r="G14" i="3"/>
  <c r="G12" i="3"/>
  <c r="I221" i="1" l="1"/>
  <c r="I220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3" i="1"/>
  <c r="I202" i="1"/>
  <c r="I201" i="1"/>
  <c r="I200" i="1"/>
  <c r="I199" i="1"/>
  <c r="I197" i="1"/>
  <c r="I196" i="1"/>
  <c r="I195" i="1"/>
  <c r="I194" i="1"/>
  <c r="I193" i="1"/>
  <c r="I191" i="1"/>
  <c r="I190" i="1"/>
  <c r="I189" i="1"/>
  <c r="I188" i="1"/>
  <c r="I187" i="1"/>
  <c r="I185" i="1"/>
  <c r="I184" i="1"/>
  <c r="I183" i="1"/>
  <c r="I182" i="1"/>
  <c r="I181" i="1"/>
  <c r="I179" i="1"/>
  <c r="I178" i="1"/>
  <c r="I177" i="1"/>
  <c r="I176" i="1"/>
  <c r="I175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F152" i="1"/>
  <c r="F151" i="1"/>
  <c r="F150" i="1"/>
  <c r="F149" i="1"/>
  <c r="F148" i="1"/>
  <c r="F147" i="1"/>
  <c r="F146" i="1"/>
  <c r="F145" i="1"/>
  <c r="F144" i="1"/>
  <c r="V143" i="1"/>
  <c r="W143" i="1" s="1"/>
  <c r="F143" i="1"/>
  <c r="W142" i="1"/>
  <c r="V142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AA115" i="1"/>
  <c r="Z115" i="1"/>
  <c r="Y115" i="1"/>
  <c r="F115" i="1"/>
  <c r="F114" i="1"/>
  <c r="F113" i="1"/>
  <c r="AD112" i="1"/>
  <c r="AE112" i="1" s="1"/>
  <c r="F112" i="1"/>
  <c r="F111" i="1"/>
  <c r="AA110" i="1"/>
  <c r="Z110" i="1"/>
  <c r="Y110" i="1"/>
  <c r="F110" i="1"/>
  <c r="F109" i="1"/>
  <c r="V141" i="1" s="1"/>
  <c r="W141" i="1" s="1"/>
  <c r="F108" i="1"/>
  <c r="AD110" i="1" s="1"/>
  <c r="AE110" i="1" s="1"/>
  <c r="F107" i="1"/>
  <c r="AD119" i="1" s="1"/>
  <c r="AE119" i="1" s="1"/>
  <c r="F106" i="1"/>
  <c r="AD118" i="1" s="1"/>
  <c r="AE118" i="1" s="1"/>
  <c r="F105" i="1"/>
  <c r="AD117" i="1" s="1"/>
  <c r="AE117" i="1" s="1"/>
  <c r="F104" i="1"/>
  <c r="AD111" i="1" s="1"/>
  <c r="AE111" i="1" s="1"/>
  <c r="F103" i="1"/>
  <c r="F102" i="1"/>
  <c r="N134" i="1" s="1"/>
  <c r="O134" i="1" s="1"/>
  <c r="F101" i="1"/>
  <c r="AD113" i="1" s="1"/>
  <c r="AE113" i="1" s="1"/>
  <c r="F100" i="1"/>
  <c r="F99" i="1"/>
  <c r="AD116" i="1" s="1"/>
  <c r="AE116" i="1" s="1"/>
  <c r="F98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H72" i="1"/>
  <c r="I72" i="1" s="1"/>
  <c r="S71" i="1"/>
  <c r="R71" i="1"/>
  <c r="I71" i="1"/>
  <c r="H71" i="1"/>
  <c r="S70" i="1"/>
  <c r="R70" i="1"/>
  <c r="I70" i="1"/>
  <c r="H70" i="1"/>
  <c r="R69" i="1"/>
  <c r="S69" i="1" s="1"/>
  <c r="H69" i="1"/>
  <c r="I69" i="1" s="1"/>
  <c r="S68" i="1"/>
  <c r="R68" i="1"/>
  <c r="I68" i="1"/>
  <c r="H68" i="1"/>
  <c r="S67" i="1"/>
  <c r="R67" i="1"/>
  <c r="I67" i="1"/>
  <c r="H67" i="1"/>
  <c r="R66" i="1"/>
  <c r="S66" i="1" s="1"/>
  <c r="H66" i="1"/>
  <c r="I66" i="1" s="1"/>
  <c r="AB65" i="1"/>
  <c r="R65" i="1"/>
  <c r="S65" i="1" s="1"/>
  <c r="H65" i="1"/>
  <c r="I65" i="1" s="1"/>
  <c r="AB64" i="1"/>
  <c r="S64" i="1"/>
  <c r="R64" i="1"/>
  <c r="H64" i="1"/>
  <c r="I64" i="1" s="1"/>
  <c r="AB63" i="1"/>
  <c r="R63" i="1"/>
  <c r="S63" i="1" s="1"/>
  <c r="H63" i="1"/>
  <c r="I63" i="1" s="1"/>
  <c r="AB62" i="1"/>
  <c r="S62" i="1"/>
  <c r="R62" i="1"/>
  <c r="I62" i="1"/>
  <c r="H62" i="1"/>
  <c r="AC61" i="1"/>
  <c r="AB61" i="1"/>
  <c r="R61" i="1"/>
  <c r="S61" i="1" s="1"/>
  <c r="I61" i="1"/>
  <c r="H61" i="1"/>
  <c r="I58" i="1"/>
  <c r="H58" i="1"/>
  <c r="S57" i="1"/>
  <c r="R57" i="1"/>
  <c r="I57" i="1"/>
  <c r="H57" i="1"/>
  <c r="R56" i="1"/>
  <c r="S56" i="1" s="1"/>
  <c r="H56" i="1"/>
  <c r="I56" i="1" s="1"/>
  <c r="S55" i="1"/>
  <c r="R55" i="1"/>
  <c r="I55" i="1"/>
  <c r="H55" i="1"/>
  <c r="S54" i="1"/>
  <c r="R54" i="1"/>
  <c r="I54" i="1"/>
  <c r="H54" i="1"/>
  <c r="R53" i="1"/>
  <c r="S53" i="1" s="1"/>
  <c r="H53" i="1"/>
  <c r="I53" i="1" s="1"/>
  <c r="S52" i="1"/>
  <c r="R52" i="1"/>
  <c r="I52" i="1"/>
  <c r="H52" i="1"/>
  <c r="AB51" i="1"/>
  <c r="R51" i="1"/>
  <c r="S51" i="1" s="1"/>
  <c r="I51" i="1"/>
  <c r="H51" i="1"/>
  <c r="AB50" i="1"/>
  <c r="R50" i="1"/>
  <c r="S50" i="1" s="1"/>
  <c r="I50" i="1"/>
  <c r="H50" i="1"/>
  <c r="AB49" i="1"/>
  <c r="R49" i="1"/>
  <c r="S49" i="1" s="1"/>
  <c r="H49" i="1"/>
  <c r="I49" i="1" s="1"/>
  <c r="AB48" i="1"/>
  <c r="R48" i="1"/>
  <c r="S48" i="1" s="1"/>
  <c r="H48" i="1"/>
  <c r="I48" i="1" s="1"/>
  <c r="AC47" i="1"/>
  <c r="AB47" i="1"/>
  <c r="S47" i="1"/>
  <c r="R47" i="1"/>
  <c r="I47" i="1"/>
  <c r="H47" i="1"/>
  <c r="I44" i="1"/>
  <c r="H44" i="1"/>
  <c r="R43" i="1"/>
  <c r="S43" i="1" s="1"/>
  <c r="H43" i="1"/>
  <c r="I43" i="1" s="1"/>
  <c r="S42" i="1"/>
  <c r="R42" i="1"/>
  <c r="I42" i="1"/>
  <c r="H42" i="1"/>
  <c r="S41" i="1"/>
  <c r="R41" i="1"/>
  <c r="I41" i="1"/>
  <c r="H41" i="1"/>
  <c r="R40" i="1"/>
  <c r="S40" i="1" s="1"/>
  <c r="H40" i="1"/>
  <c r="I40" i="1" s="1"/>
  <c r="S39" i="1"/>
  <c r="R39" i="1"/>
  <c r="I39" i="1"/>
  <c r="H39" i="1"/>
  <c r="S38" i="1"/>
  <c r="R38" i="1"/>
  <c r="I38" i="1"/>
  <c r="H38" i="1"/>
  <c r="AB37" i="1"/>
  <c r="R37" i="1"/>
  <c r="S37" i="1" s="1"/>
  <c r="H37" i="1"/>
  <c r="I37" i="1" s="1"/>
  <c r="AB36" i="1"/>
  <c r="S36" i="1"/>
  <c r="R36" i="1"/>
  <c r="I36" i="1"/>
  <c r="H36" i="1"/>
  <c r="AB35" i="1"/>
  <c r="S35" i="1"/>
  <c r="R35" i="1"/>
  <c r="H35" i="1"/>
  <c r="I35" i="1" s="1"/>
  <c r="AB34" i="1"/>
  <c r="S34" i="1"/>
  <c r="R34" i="1"/>
  <c r="I34" i="1"/>
  <c r="H34" i="1"/>
  <c r="AC33" i="1"/>
  <c r="AB33" i="1"/>
  <c r="S33" i="1"/>
  <c r="R33" i="1"/>
  <c r="H33" i="1"/>
  <c r="I33" i="1" s="1"/>
  <c r="H30" i="1"/>
  <c r="I30" i="1" s="1"/>
  <c r="S29" i="1"/>
  <c r="R29" i="1"/>
  <c r="I29" i="1"/>
  <c r="H29" i="1"/>
  <c r="S28" i="1"/>
  <c r="R28" i="1"/>
  <c r="I28" i="1"/>
  <c r="H28" i="1"/>
  <c r="R27" i="1"/>
  <c r="S27" i="1" s="1"/>
  <c r="H27" i="1"/>
  <c r="I27" i="1" s="1"/>
  <c r="S26" i="1"/>
  <c r="R26" i="1"/>
  <c r="I26" i="1"/>
  <c r="H26" i="1"/>
  <c r="S25" i="1"/>
  <c r="R25" i="1"/>
  <c r="I25" i="1"/>
  <c r="H25" i="1"/>
  <c r="R24" i="1"/>
  <c r="S24" i="1" s="1"/>
  <c r="H24" i="1"/>
  <c r="I24" i="1" s="1"/>
  <c r="AC23" i="1"/>
  <c r="AB23" i="1"/>
  <c r="S23" i="1"/>
  <c r="R23" i="1"/>
  <c r="I23" i="1"/>
  <c r="H23" i="1"/>
  <c r="AC22" i="1"/>
  <c r="AB22" i="1"/>
  <c r="R22" i="1"/>
  <c r="S22" i="1" s="1"/>
  <c r="H22" i="1"/>
  <c r="I22" i="1" s="1"/>
  <c r="AC21" i="1"/>
  <c r="AB21" i="1"/>
  <c r="S21" i="1"/>
  <c r="R21" i="1"/>
  <c r="I21" i="1"/>
  <c r="H21" i="1"/>
  <c r="AC20" i="1"/>
  <c r="AB20" i="1"/>
  <c r="R20" i="1"/>
  <c r="S20" i="1" s="1"/>
  <c r="H20" i="1"/>
  <c r="I20" i="1" s="1"/>
  <c r="AC19" i="1"/>
  <c r="AB19" i="1"/>
  <c r="S19" i="1"/>
  <c r="R19" i="1"/>
  <c r="I19" i="1"/>
  <c r="H19" i="1"/>
  <c r="I16" i="1"/>
  <c r="H16" i="1"/>
  <c r="R15" i="1"/>
  <c r="S15" i="1" s="1"/>
  <c r="H15" i="1"/>
  <c r="I15" i="1" s="1"/>
  <c r="S14" i="1"/>
  <c r="R14" i="1"/>
  <c r="I14" i="1"/>
  <c r="H14" i="1"/>
  <c r="S13" i="1"/>
  <c r="R13" i="1"/>
  <c r="I13" i="1"/>
  <c r="H13" i="1"/>
  <c r="R12" i="1"/>
  <c r="S12" i="1" s="1"/>
  <c r="H12" i="1"/>
  <c r="I12" i="1" s="1"/>
  <c r="S11" i="1"/>
  <c r="R11" i="1"/>
  <c r="I11" i="1"/>
  <c r="H11" i="1"/>
  <c r="S10" i="1"/>
  <c r="R10" i="1"/>
  <c r="I10" i="1"/>
  <c r="H10" i="1"/>
  <c r="AB9" i="1"/>
  <c r="R9" i="1"/>
  <c r="S9" i="1" s="1"/>
  <c r="H9" i="1"/>
  <c r="I9" i="1" s="1"/>
  <c r="AB8" i="1"/>
  <c r="S8" i="1"/>
  <c r="R8" i="1"/>
  <c r="I8" i="1"/>
  <c r="H8" i="1"/>
  <c r="AB7" i="1"/>
  <c r="S7" i="1"/>
  <c r="R7" i="1"/>
  <c r="H7" i="1"/>
  <c r="I7" i="1" s="1"/>
  <c r="AB6" i="1"/>
  <c r="S6" i="1"/>
  <c r="R6" i="1"/>
  <c r="I6" i="1"/>
  <c r="H6" i="1"/>
  <c r="AC5" i="1"/>
  <c r="AB5" i="1"/>
  <c r="S5" i="1"/>
  <c r="R5" i="1"/>
  <c r="H5" i="1"/>
  <c r="I5" i="1" s="1"/>
  <c r="AD115" i="1" l="1"/>
  <c r="AE115" i="1" s="1"/>
  <c r="V140" i="1"/>
  <c r="W140" i="1" s="1"/>
  <c r="V144" i="1"/>
  <c r="W144" i="1" s="1"/>
  <c r="AD114" i="1"/>
  <c r="AE114" i="1" s="1"/>
  <c r="N124" i="1"/>
  <c r="O124" i="1" s="1"/>
</calcChain>
</file>

<file path=xl/sharedStrings.xml><?xml version="1.0" encoding="utf-8"?>
<sst xmlns="http://schemas.openxmlformats.org/spreadsheetml/2006/main" count="497" uniqueCount="94">
  <si>
    <t>Material</t>
  </si>
  <si>
    <t>Muscle</t>
  </si>
  <si>
    <t>Lung</t>
  </si>
  <si>
    <t>Gammex Sensitometry Phantom</t>
  </si>
  <si>
    <t>CatPhan 700 Phantom</t>
  </si>
  <si>
    <t>Gammex ACR Phantom</t>
  </si>
  <si>
    <t>Expected HU</t>
  </si>
  <si>
    <t>140 kVp-Medium Filter</t>
  </si>
  <si>
    <t>Difference (HU)</t>
  </si>
  <si>
    <t>Pass/Fail</t>
  </si>
  <si>
    <t>Measured (HU)</t>
  </si>
  <si>
    <r>
      <rPr>
        <sz val="11"/>
        <color indexed="8"/>
        <rFont val="Calibri"/>
        <family val="2"/>
      </rPr>
      <t>ρ</t>
    </r>
    <r>
      <rPr>
        <sz val="12.65"/>
        <color indexed="8"/>
        <rFont val="Cambria"/>
        <family val="1"/>
      </rPr>
      <t xml:space="preserve"> (g/cc)</t>
    </r>
  </si>
  <si>
    <t>μ/ρ (cm2/g)</t>
  </si>
  <si>
    <r>
      <rPr>
        <sz val="11"/>
        <color indexed="8"/>
        <rFont val="Calibri"/>
        <family val="2"/>
      </rPr>
      <t>μ</t>
    </r>
    <r>
      <rPr>
        <sz val="11"/>
        <color indexed="8"/>
        <rFont val="Cambria"/>
        <family val="1"/>
      </rPr>
      <t xml:space="preserve"> (1/cm)</t>
    </r>
  </si>
  <si>
    <t>Lung-300</t>
  </si>
  <si>
    <t>Air</t>
  </si>
  <si>
    <t>Bone</t>
  </si>
  <si>
    <t>Lung-450</t>
  </si>
  <si>
    <t>Acrylic</t>
  </si>
  <si>
    <t>Adipose</t>
  </si>
  <si>
    <t>PMP</t>
  </si>
  <si>
    <t>Solid Water</t>
  </si>
  <si>
    <t>Breast</t>
  </si>
  <si>
    <t>LDPE</t>
  </si>
  <si>
    <t>Polystyrene</t>
  </si>
  <si>
    <t>Brain</t>
  </si>
  <si>
    <t>Liver</t>
  </si>
  <si>
    <t>Bone Inner</t>
  </si>
  <si>
    <t>Bone20%</t>
  </si>
  <si>
    <t>Delrin</t>
  </si>
  <si>
    <t>Cortical Bone 30%</t>
  </si>
  <si>
    <t>Bone50%</t>
  </si>
  <si>
    <t>Cortical Bone 50%</t>
  </si>
  <si>
    <t>Teflon</t>
  </si>
  <si>
    <t xml:space="preserve">Cortical Bone </t>
  </si>
  <si>
    <t>120 kVp-Medium Filter</t>
  </si>
  <si>
    <t>100 kVp-Medium Filter</t>
  </si>
  <si>
    <t>80 kVp-Medium Filter</t>
  </si>
  <si>
    <t>70 kVp-Medium Filter</t>
  </si>
  <si>
    <t>Gammex-Tissue mimicking materials</t>
  </si>
  <si>
    <r>
      <rPr>
        <sz val="10"/>
        <rFont val="Calibri"/>
        <family val="2"/>
      </rPr>
      <t xml:space="preserve">ρ </t>
    </r>
    <r>
      <rPr>
        <sz val="10"/>
        <rFont val="Arial"/>
        <family val="2"/>
      </rPr>
      <t>(g/cc)</t>
    </r>
  </si>
  <si>
    <t>ρ_e</t>
  </si>
  <si>
    <t>H</t>
  </si>
  <si>
    <t>O</t>
  </si>
  <si>
    <t>C</t>
  </si>
  <si>
    <t>N</t>
  </si>
  <si>
    <t>Cl</t>
  </si>
  <si>
    <t>Ca</t>
  </si>
  <si>
    <t>P</t>
  </si>
  <si>
    <t>Na</t>
  </si>
  <si>
    <t>Mg</t>
  </si>
  <si>
    <t>Si</t>
  </si>
  <si>
    <t>B</t>
  </si>
  <si>
    <t>S</t>
  </si>
  <si>
    <t>Al</t>
  </si>
  <si>
    <t>I</t>
  </si>
  <si>
    <t>Bone-cortical</t>
  </si>
  <si>
    <t>Bone-inner</t>
  </si>
  <si>
    <t>Bone-50%</t>
  </si>
  <si>
    <t>Bone-30%</t>
  </si>
  <si>
    <t>Bone-mineral (B200)</t>
  </si>
  <si>
    <t>Brain-HE</t>
  </si>
  <si>
    <t>464-ACR</t>
  </si>
  <si>
    <t>Poly-LDPE</t>
  </si>
  <si>
    <t>Solid Water-SIG</t>
  </si>
  <si>
    <t>.</t>
  </si>
  <si>
    <t>kVp</t>
  </si>
  <si>
    <r>
      <t xml:space="preserve"> </t>
    </r>
    <r>
      <rPr>
        <b/>
        <sz val="10"/>
        <rFont val="Arial Unicode MS"/>
        <family val="2"/>
      </rPr>
      <t>Energy</t>
    </r>
    <r>
      <rPr>
        <vertAlign val="subscript"/>
        <sz val="10"/>
        <rFont val="Arial Unicode MS"/>
        <family val="2"/>
      </rPr>
      <t> </t>
    </r>
    <r>
      <rPr>
        <sz val="10"/>
        <rFont val="Arial Unicode MS"/>
        <family val="2"/>
      </rPr>
      <t xml:space="preserve">       </t>
    </r>
    <r>
      <rPr>
        <i/>
        <sz val="10"/>
        <rFont val="Arial Unicode MS"/>
        <family val="2"/>
      </rPr>
      <t>μ</t>
    </r>
    <r>
      <rPr>
        <sz val="10"/>
        <rFont val="Arial Unicode MS"/>
        <family val="2"/>
      </rPr>
      <t>/</t>
    </r>
    <r>
      <rPr>
        <i/>
        <sz val="10"/>
        <rFont val="Arial Unicode MS"/>
        <family val="2"/>
      </rPr>
      <t>ρ</t>
    </r>
    <r>
      <rPr>
        <sz val="10"/>
        <rFont val="Arial Unicode MS"/>
        <family val="2"/>
      </rPr>
      <t xml:space="preserve">      </t>
    </r>
  </si>
  <si>
    <r>
      <t xml:space="preserve"> </t>
    </r>
    <r>
      <rPr>
        <b/>
        <sz val="10"/>
        <rFont val="Arial Unicode MS"/>
        <family val="2"/>
      </rPr>
      <t>Energy</t>
    </r>
    <r>
      <rPr>
        <vertAlign val="subscript"/>
        <sz val="10"/>
        <rFont val="Arial Unicode MS"/>
        <family val="2"/>
      </rPr>
      <t> </t>
    </r>
    <r>
      <rPr>
        <sz val="10"/>
        <rFont val="Arial Unicode MS"/>
        <family val="2"/>
      </rPr>
      <t xml:space="preserve">       </t>
    </r>
    <r>
      <rPr>
        <i/>
        <sz val="10"/>
        <rFont val="Arial Unicode MS"/>
        <family val="2"/>
      </rPr>
      <t>μ</t>
    </r>
    <r>
      <rPr>
        <sz val="10"/>
        <rFont val="Arial Unicode MS"/>
        <family val="2"/>
      </rPr>
      <t>/</t>
    </r>
    <r>
      <rPr>
        <i/>
        <sz val="10"/>
        <rFont val="Arial Unicode MS"/>
        <family val="2"/>
      </rPr>
      <t>ρ</t>
    </r>
    <r>
      <rPr>
        <sz val="10"/>
        <rFont val="Arial Unicode MS"/>
        <family val="2"/>
      </rPr>
      <t xml:space="preserve">        </t>
    </r>
    <r>
      <rPr>
        <i/>
        <sz val="10"/>
        <rFont val="Arial Unicode MS"/>
        <family val="2"/>
      </rPr>
      <t>μ</t>
    </r>
    <r>
      <rPr>
        <vertAlign val="subscript"/>
        <sz val="10"/>
        <rFont val="Arial Unicode MS"/>
        <family val="2"/>
      </rPr>
      <t>en</t>
    </r>
    <r>
      <rPr>
        <sz val="10"/>
        <rFont val="Arial Unicode MS"/>
        <family val="2"/>
      </rPr>
      <t>/</t>
    </r>
    <r>
      <rPr>
        <i/>
        <sz val="10"/>
        <rFont val="Arial Unicode MS"/>
        <family val="2"/>
      </rPr>
      <t>ρ</t>
    </r>
    <r>
      <rPr>
        <sz val="10"/>
        <rFont val="Arial Unicode MS"/>
        <family val="2"/>
      </rPr>
      <t xml:space="preserve"> </t>
    </r>
  </si>
  <si>
    <r>
      <t xml:space="preserve">   </t>
    </r>
    <r>
      <rPr>
        <vertAlign val="superscript"/>
        <sz val="10"/>
        <rFont val="Arial Unicode MS"/>
        <family val="2"/>
      </rPr>
      <t> </t>
    </r>
    <r>
      <rPr>
        <sz val="10"/>
        <rFont val="Arial Unicode MS"/>
        <family val="2"/>
      </rPr>
      <t>(MeV)      (cm</t>
    </r>
    <r>
      <rPr>
        <vertAlign val="superscript"/>
        <sz val="10"/>
        <rFont val="Arial Unicode MS"/>
        <family val="2"/>
      </rPr>
      <t>2</t>
    </r>
    <r>
      <rPr>
        <sz val="10"/>
        <rFont val="Arial Unicode MS"/>
        <family val="2"/>
      </rPr>
      <t xml:space="preserve">/g)     </t>
    </r>
  </si>
  <si>
    <r>
      <t xml:space="preserve">   </t>
    </r>
    <r>
      <rPr>
        <vertAlign val="superscript"/>
        <sz val="10"/>
        <rFont val="Arial Unicode MS"/>
        <family val="2"/>
      </rPr>
      <t> </t>
    </r>
    <r>
      <rPr>
        <sz val="10"/>
        <rFont val="Arial Unicode MS"/>
        <family val="2"/>
      </rPr>
      <t>(MeV)      (cm</t>
    </r>
    <r>
      <rPr>
        <vertAlign val="superscript"/>
        <sz val="10"/>
        <rFont val="Arial Unicode MS"/>
        <family val="2"/>
      </rPr>
      <t>2</t>
    </r>
    <r>
      <rPr>
        <sz val="10"/>
        <rFont val="Arial Unicode MS"/>
        <family val="2"/>
      </rPr>
      <t>/g)     (cm</t>
    </r>
    <r>
      <rPr>
        <vertAlign val="superscript"/>
        <sz val="10"/>
        <rFont val="Arial Unicode MS"/>
        <family val="2"/>
      </rPr>
      <t>2</t>
    </r>
    <r>
      <rPr>
        <sz val="10"/>
        <rFont val="Arial Unicode MS"/>
        <family val="2"/>
      </rPr>
      <t>/g)</t>
    </r>
  </si>
  <si>
    <t xml:space="preserve"> Energy        μ/ρ      </t>
  </si>
  <si>
    <t xml:space="preserve">μ/ρ       </t>
  </si>
  <si>
    <t>μ</t>
  </si>
  <si>
    <t>ρ (g/cc)</t>
  </si>
  <si>
    <t xml:space="preserve">    (MeV)      (cm2/g)     </t>
  </si>
  <si>
    <t xml:space="preserve">(cm2/g)     </t>
  </si>
  <si>
    <t>(1/cm)</t>
  </si>
  <si>
    <t>CatPhan 700 phantom-Tissue mimicking materials</t>
  </si>
  <si>
    <t>Bone 50%</t>
  </si>
  <si>
    <t>Density (g/cc)</t>
  </si>
  <si>
    <t>Relative Electron Densiy</t>
  </si>
  <si>
    <t>Effective Atomic Number</t>
  </si>
  <si>
    <r>
      <t xml:space="preserve"> Energy (MeV)</t>
    </r>
    <r>
      <rPr>
        <b/>
        <vertAlign val="subscript"/>
        <sz val="10"/>
        <rFont val="Arial Unicode MS"/>
        <family val="2"/>
      </rPr>
      <t> </t>
    </r>
  </si>
  <si>
    <t xml:space="preserve">   μ/ρ (cm2/g)</t>
  </si>
  <si>
    <t>μ (1/cm)</t>
  </si>
  <si>
    <t>Water</t>
  </si>
  <si>
    <t>Poly</t>
  </si>
  <si>
    <t>Bone20</t>
  </si>
  <si>
    <t>Bone50</t>
  </si>
  <si>
    <t>Bone 20%</t>
  </si>
  <si>
    <t>A</t>
  </si>
  <si>
    <t>Z</t>
  </si>
  <si>
    <t>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</si>
</sst>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1"/>
      <color indexed="8"/>
      <name val="Calibri"/>
      <family val="2"/>
    </font>
    <font>
      <sz val="12.65"/>
      <color indexed="8"/>
      <name val="Cambria"/>
      <family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sz val="11"/>
      <name val="Cambria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 Unicode MS"/>
      <family val="2"/>
    </font>
    <font>
      <b/>
      <sz val="10"/>
      <name val="Arial Unicode MS"/>
      <family val="2"/>
    </font>
    <font>
      <vertAlign val="subscript"/>
      <sz val="10"/>
      <name val="Arial Unicode MS"/>
      <family val="2"/>
    </font>
    <font>
      <i/>
      <sz val="10"/>
      <name val="Arial Unicode MS"/>
      <family val="2"/>
    </font>
    <font>
      <vertAlign val="superscript"/>
      <sz val="10"/>
      <name val="Arial Unicode MS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vertAlign val="subscript"/>
      <sz val="10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76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right" vertical="center" wrapText="1"/>
    </xf>
    <xf numFmtId="165" fontId="9" fillId="0" borderId="1" xfId="0" applyNumberFormat="1" applyFont="1" applyFill="1" applyBorder="1" applyAlignment="1">
      <alignment horizontal="right" vertical="center" wrapText="1"/>
    </xf>
    <xf numFmtId="164" fontId="0" fillId="0" borderId="3" xfId="0" applyNumberFormat="1" applyBorder="1"/>
    <xf numFmtId="0" fontId="0" fillId="0" borderId="1" xfId="0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3" fillId="0" borderId="4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right"/>
    </xf>
    <xf numFmtId="165" fontId="11" fillId="0" borderId="1" xfId="0" applyNumberFormat="1" applyFont="1" applyBorder="1" applyAlignment="1">
      <alignment horizontal="right"/>
    </xf>
    <xf numFmtId="1" fontId="10" fillId="0" borderId="1" xfId="0" applyNumberFormat="1" applyFont="1" applyBorder="1"/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/>
    <xf numFmtId="165" fontId="10" fillId="0" borderId="1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1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11" fontId="0" fillId="0" borderId="0" xfId="0" applyNumberFormat="1"/>
    <xf numFmtId="0" fontId="11" fillId="0" borderId="5" xfId="0" applyFont="1" applyBorder="1"/>
    <xf numFmtId="0" fontId="0" fillId="0" borderId="6" xfId="0" applyBorder="1"/>
    <xf numFmtId="166" fontId="14" fillId="0" borderId="7" xfId="0" applyNumberFormat="1" applyFont="1" applyBorder="1" applyAlignment="1">
      <alignment vertical="center"/>
    </xf>
    <xf numFmtId="11" fontId="14" fillId="0" borderId="0" xfId="0" applyNumberFormat="1" applyFont="1" applyAlignment="1">
      <alignment vertical="center"/>
    </xf>
    <xf numFmtId="0" fontId="0" fillId="0" borderId="8" xfId="0" applyBorder="1"/>
    <xf numFmtId="0" fontId="0" fillId="0" borderId="0" xfId="0" applyBorder="1"/>
    <xf numFmtId="166" fontId="14" fillId="0" borderId="9" xfId="0" applyNumberFormat="1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166" fontId="14" fillId="0" borderId="12" xfId="0" applyNumberFormat="1" applyFont="1" applyBorder="1" applyAlignment="1">
      <alignment vertical="center"/>
    </xf>
    <xf numFmtId="0" fontId="0" fillId="0" borderId="5" xfId="0" applyBorder="1"/>
    <xf numFmtId="165" fontId="0" fillId="0" borderId="6" xfId="0" applyNumberFormat="1" applyBorder="1"/>
    <xf numFmtId="165" fontId="19" fillId="0" borderId="7" xfId="0" applyNumberFormat="1" applyFont="1" applyBorder="1"/>
    <xf numFmtId="165" fontId="0" fillId="0" borderId="0" xfId="0" applyNumberFormat="1" applyBorder="1"/>
    <xf numFmtId="165" fontId="19" fillId="0" borderId="9" xfId="0" applyNumberFormat="1" applyFont="1" applyBorder="1"/>
    <xf numFmtId="0" fontId="11" fillId="0" borderId="10" xfId="0" applyFont="1" applyBorder="1"/>
    <xf numFmtId="165" fontId="0" fillId="0" borderId="11" xfId="0" applyNumberFormat="1" applyBorder="1"/>
    <xf numFmtId="165" fontId="19" fillId="0" borderId="12" xfId="0" applyNumberFormat="1" applyFont="1" applyBorder="1"/>
    <xf numFmtId="0" fontId="11" fillId="0" borderId="8" xfId="0" applyFont="1" applyBorder="1"/>
    <xf numFmtId="0" fontId="20" fillId="0" borderId="0" xfId="0" applyFont="1"/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14" fillId="0" borderId="0" xfId="0" applyNumberFormat="1" applyFont="1" applyBorder="1" applyAlignment="1">
      <alignment vertical="center"/>
    </xf>
    <xf numFmtId="166" fontId="0" fillId="0" borderId="0" xfId="0" applyNumberFormat="1"/>
    <xf numFmtId="2" fontId="0" fillId="0" borderId="0" xfId="0" applyNumberFormat="1" applyAlignment="1">
      <alignment horizontal="center" vertical="center" wrapText="1"/>
    </xf>
    <xf numFmtId="166" fontId="20" fillId="0" borderId="0" xfId="0" applyNumberFormat="1" applyFont="1"/>
    <xf numFmtId="11" fontId="22" fillId="0" borderId="0" xfId="1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100 kVp (60 keV)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8716874871516"/>
          <c:y val="0.15367587526135504"/>
          <c:w val="0.80679718313899285"/>
          <c:h val="0.65111401752747"/>
        </c:manualLayout>
      </c:layout>
      <c:scatterChart>
        <c:scatterStyle val="lineMarker"/>
        <c:varyColors val="0"/>
        <c:ser>
          <c:idx val="2"/>
          <c:order val="0"/>
          <c:tx>
            <c:v>Gammex Sensitometry</c:v>
          </c:tx>
          <c:spPr>
            <a:ln w="28575">
              <a:noFill/>
            </a:ln>
          </c:spPr>
          <c:marker>
            <c:symbol val="triangle"/>
            <c:size val="9"/>
            <c:spPr>
              <a:noFill/>
            </c:spPr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[1]Sensitometry!$G$33:$G$44</c:f>
              <c:numCache>
                <c:formatCode>General</c:formatCode>
                <c:ptCount val="12"/>
                <c:pt idx="0">
                  <c:v>5.9769667999999998E-2</c:v>
                </c:pt>
                <c:pt idx="1">
                  <c:v>9.1664562000000005E-2</c:v>
                </c:pt>
                <c:pt idx="2">
                  <c:v>0.18979728000000001</c:v>
                </c:pt>
                <c:pt idx="3">
                  <c:v>0.19910265599999999</c:v>
                </c:pt>
                <c:pt idx="4">
                  <c:v>0.213217191</c:v>
                </c:pt>
                <c:pt idx="5">
                  <c:v>0.21064368</c:v>
                </c:pt>
                <c:pt idx="6">
                  <c:v>0.230476395</c:v>
                </c:pt>
                <c:pt idx="7">
                  <c:v>0.28278382299999999</c:v>
                </c:pt>
                <c:pt idx="8">
                  <c:v>0.28547882000000002</c:v>
                </c:pt>
                <c:pt idx="9">
                  <c:v>0.34377789600000003</c:v>
                </c:pt>
                <c:pt idx="10">
                  <c:v>0.46499412000000001</c:v>
                </c:pt>
                <c:pt idx="11">
                  <c:v>0.61251599499999998</c:v>
                </c:pt>
              </c:numCache>
            </c:numRef>
          </c:xVal>
          <c:yVal>
            <c:numRef>
              <c:f>[1]Sensitometry!$D$33:$D$44</c:f>
              <c:numCache>
                <c:formatCode>General</c:formatCode>
                <c:ptCount val="12"/>
                <c:pt idx="0">
                  <c:v>-704.56</c:v>
                </c:pt>
                <c:pt idx="1">
                  <c:v>-534.73900000000003</c:v>
                </c:pt>
                <c:pt idx="2">
                  <c:v>-97.341999999999999</c:v>
                </c:pt>
                <c:pt idx="3">
                  <c:v>-51.938000000000002</c:v>
                </c:pt>
                <c:pt idx="4">
                  <c:v>5.3209999999999997</c:v>
                </c:pt>
                <c:pt idx="5">
                  <c:v>14.374000000000001</c:v>
                </c:pt>
                <c:pt idx="6">
                  <c:v>77.927999999999997</c:v>
                </c:pt>
                <c:pt idx="7">
                  <c:v>269.48</c:v>
                </c:pt>
                <c:pt idx="8">
                  <c:v>277.61200000000002</c:v>
                </c:pt>
                <c:pt idx="9">
                  <c:v>545.53399999999999</c:v>
                </c:pt>
                <c:pt idx="10">
                  <c:v>1025.1790000000001</c:v>
                </c:pt>
                <c:pt idx="11">
                  <c:v>1588.258</c:v>
                </c:pt>
              </c:numCache>
            </c:numRef>
          </c:yVal>
          <c:smooth val="0"/>
        </c:ser>
        <c:ser>
          <c:idx val="4"/>
          <c:order val="1"/>
          <c:tx>
            <c:v>Gammex ACR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[1]Sensitometry!$AA$33:$AA$37</c:f>
              <c:numCache>
                <c:formatCode>General</c:formatCode>
                <c:ptCount val="5"/>
                <c:pt idx="0">
                  <c:v>0.46499412000000001</c:v>
                </c:pt>
                <c:pt idx="1">
                  <c:v>0.24202624581263663</c:v>
                </c:pt>
                <c:pt idx="2">
                  <c:v>0.21677478944954517</c:v>
                </c:pt>
                <c:pt idx="3">
                  <c:v>0.18594723113416958</c:v>
                </c:pt>
                <c:pt idx="4">
                  <c:v>2.4244999999999998E-4</c:v>
                </c:pt>
              </c:numCache>
            </c:numRef>
          </c:xVal>
          <c:yVal>
            <c:numRef>
              <c:f>[1]Sensitometry!$X$33:$X$37</c:f>
              <c:numCache>
                <c:formatCode>General</c:formatCode>
                <c:ptCount val="5"/>
                <c:pt idx="0">
                  <c:v>1021</c:v>
                </c:pt>
                <c:pt idx="1">
                  <c:v>120.28400000000001</c:v>
                </c:pt>
                <c:pt idx="2">
                  <c:v>1.4079999999999999</c:v>
                </c:pt>
                <c:pt idx="3">
                  <c:v>-106.944</c:v>
                </c:pt>
                <c:pt idx="4">
                  <c:v>-999.38900000000001</c:v>
                </c:pt>
              </c:numCache>
            </c:numRef>
          </c:yVal>
          <c:smooth val="0"/>
        </c:ser>
        <c:ser>
          <c:idx val="0"/>
          <c:order val="2"/>
          <c:tx>
            <c:v>Phantom Lab Catphan 700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[1]Sensitometry!$Q$33:$Q$43</c:f>
              <c:numCache>
                <c:formatCode>General</c:formatCode>
                <c:ptCount val="11"/>
                <c:pt idx="0">
                  <c:v>2.431E-4</c:v>
                </c:pt>
                <c:pt idx="1">
                  <c:v>3.5529999999999999E-2</c:v>
                </c:pt>
                <c:pt idx="2">
                  <c:v>0.16350999999999999</c:v>
                </c:pt>
                <c:pt idx="3">
                  <c:v>0.18124000000000001</c:v>
                </c:pt>
                <c:pt idx="4">
                  <c:v>0.20599999999999999</c:v>
                </c:pt>
                <c:pt idx="5">
                  <c:v>0.19261</c:v>
                </c:pt>
                <c:pt idx="6">
                  <c:v>0.22655999999999998</c:v>
                </c:pt>
                <c:pt idx="7">
                  <c:v>0.25079999999999997</c:v>
                </c:pt>
                <c:pt idx="8">
                  <c:v>0.27548</c:v>
                </c:pt>
                <c:pt idx="9">
                  <c:v>0.37240000000000001</c:v>
                </c:pt>
                <c:pt idx="10">
                  <c:v>0.40608000000000005</c:v>
                </c:pt>
              </c:numCache>
            </c:numRef>
          </c:xVal>
          <c:yVal>
            <c:numRef>
              <c:f>[1]Sensitometry!$N$33:$N$43</c:f>
              <c:numCache>
                <c:formatCode>General</c:formatCode>
                <c:ptCount val="11"/>
                <c:pt idx="0">
                  <c:v>-1001.601</c:v>
                </c:pt>
                <c:pt idx="1">
                  <c:v>-829.64599999999996</c:v>
                </c:pt>
                <c:pt idx="2">
                  <c:v>-201.34399999999999</c:v>
                </c:pt>
                <c:pt idx="3">
                  <c:v>-114.65600000000001</c:v>
                </c:pt>
                <c:pt idx="5">
                  <c:v>-56.198</c:v>
                </c:pt>
                <c:pt idx="6">
                  <c:v>111.30200000000001</c:v>
                </c:pt>
                <c:pt idx="7">
                  <c:v>184.37799999999999</c:v>
                </c:pt>
                <c:pt idx="8">
                  <c:v>301.06200000000001</c:v>
                </c:pt>
                <c:pt idx="9">
                  <c:v>764.38900000000001</c:v>
                </c:pt>
                <c:pt idx="10">
                  <c:v>907.98299999999995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62080"/>
        <c:axId val="379962472"/>
      </c:scatterChart>
      <c:valAx>
        <c:axId val="3799620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Attenuation Coefficient (1/cm)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9962472"/>
        <c:crossesAt val="-1000"/>
        <c:crossBetween val="midCat"/>
      </c:valAx>
      <c:valAx>
        <c:axId val="379962472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CT Number (HU)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9962080"/>
        <c:crossesAt val="-100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512322571700396"/>
          <c:y val="0.63371634101292884"/>
          <c:w val="0.27787004766480694"/>
          <c:h val="0.142436084378341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8024979552549"/>
          <c:y val="6.328054498805627E-2"/>
          <c:w val="0.75579544416796041"/>
          <c:h val="0.74150962871214132"/>
        </c:manualLayout>
      </c:layout>
      <c:scatterChart>
        <c:scatterStyle val="lineMarker"/>
        <c:varyColors val="0"/>
        <c:ser>
          <c:idx val="1"/>
          <c:order val="0"/>
          <c:tx>
            <c:v>140 kVp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trendlin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[1]Sensitometry!$G$5:$G$16</c:f>
              <c:numCache>
                <c:formatCode>General</c:formatCode>
                <c:ptCount val="12"/>
                <c:pt idx="0">
                  <c:v>4.47E-3</c:v>
                </c:pt>
                <c:pt idx="1">
                  <c:v>6.8654875000000004E-2</c:v>
                </c:pt>
                <c:pt idx="2">
                  <c:v>0.15389839799999999</c:v>
                </c:pt>
                <c:pt idx="3">
                  <c:v>0.15806726400000001</c:v>
                </c:pt>
                <c:pt idx="4">
                  <c:v>0.16451364600000001</c:v>
                </c:pt>
                <c:pt idx="5">
                  <c:v>0.170764256</c:v>
                </c:pt>
                <c:pt idx="6">
                  <c:v>0.177806822</c:v>
                </c:pt>
                <c:pt idx="7">
                  <c:v>0.190768312</c:v>
                </c:pt>
                <c:pt idx="8">
                  <c:v>0.19250649</c:v>
                </c:pt>
                <c:pt idx="9">
                  <c:v>0.22561484400000001</c:v>
                </c:pt>
                <c:pt idx="10">
                  <c:v>0.27681065500000002</c:v>
                </c:pt>
                <c:pt idx="11">
                  <c:v>0.34006636299999998</c:v>
                </c:pt>
              </c:numCache>
            </c:numRef>
          </c:xVal>
          <c:yVal>
            <c:numRef>
              <c:f>[1]Sensitometry!$D$5:$D$16</c:f>
              <c:numCache>
                <c:formatCode>General</c:formatCode>
                <c:ptCount val="12"/>
                <c:pt idx="0">
                  <c:v>-708.09299999999996</c:v>
                </c:pt>
                <c:pt idx="1">
                  <c:v>-535.81899999999996</c:v>
                </c:pt>
                <c:pt idx="2">
                  <c:v>-87.262</c:v>
                </c:pt>
                <c:pt idx="3">
                  <c:v>-50.877000000000002</c:v>
                </c:pt>
                <c:pt idx="4">
                  <c:v>-3</c:v>
                </c:pt>
                <c:pt idx="5">
                  <c:v>23.597000000000001</c:v>
                </c:pt>
                <c:pt idx="6">
                  <c:v>64.498000000000005</c:v>
                </c:pt>
                <c:pt idx="7">
                  <c:v>212.20599999999999</c:v>
                </c:pt>
                <c:pt idx="8">
                  <c:v>220.761</c:v>
                </c:pt>
                <c:pt idx="9">
                  <c:v>454.91699999999997</c:v>
                </c:pt>
                <c:pt idx="10">
                  <c:v>828.976</c:v>
                </c:pt>
                <c:pt idx="11">
                  <c:v>1260.172</c:v>
                </c:pt>
              </c:numCache>
            </c:numRef>
          </c:yVal>
          <c:smooth val="0"/>
        </c:ser>
        <c:ser>
          <c:idx val="3"/>
          <c:order val="1"/>
          <c:tx>
            <c:v>120 kVp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</c:spPr>
          </c:marker>
          <c:trendline>
            <c:spPr>
              <a:ln w="1905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[1]Sensitometry!$G$5:$G$16</c:f>
              <c:numCache>
                <c:formatCode>General</c:formatCode>
                <c:ptCount val="12"/>
                <c:pt idx="0">
                  <c:v>4.47E-3</c:v>
                </c:pt>
                <c:pt idx="1">
                  <c:v>6.8654875000000004E-2</c:v>
                </c:pt>
                <c:pt idx="2">
                  <c:v>0.15389839799999999</c:v>
                </c:pt>
                <c:pt idx="3">
                  <c:v>0.15806726400000001</c:v>
                </c:pt>
                <c:pt idx="4">
                  <c:v>0.16451364600000001</c:v>
                </c:pt>
                <c:pt idx="5">
                  <c:v>0.170764256</c:v>
                </c:pt>
                <c:pt idx="6">
                  <c:v>0.177806822</c:v>
                </c:pt>
                <c:pt idx="7">
                  <c:v>0.190768312</c:v>
                </c:pt>
                <c:pt idx="8">
                  <c:v>0.19250649</c:v>
                </c:pt>
                <c:pt idx="9">
                  <c:v>0.22561484400000001</c:v>
                </c:pt>
                <c:pt idx="10">
                  <c:v>0.27681065500000002</c:v>
                </c:pt>
                <c:pt idx="11">
                  <c:v>0.34006636299999998</c:v>
                </c:pt>
              </c:numCache>
            </c:numRef>
          </c:xVal>
          <c:yVal>
            <c:numRef>
              <c:f>[1]Sensitometry!$D$5:$D$16</c:f>
              <c:numCache>
                <c:formatCode>General</c:formatCode>
                <c:ptCount val="12"/>
                <c:pt idx="0">
                  <c:v>-708.09299999999996</c:v>
                </c:pt>
                <c:pt idx="1">
                  <c:v>-535.81899999999996</c:v>
                </c:pt>
                <c:pt idx="2">
                  <c:v>-87.262</c:v>
                </c:pt>
                <c:pt idx="3">
                  <c:v>-50.877000000000002</c:v>
                </c:pt>
                <c:pt idx="4">
                  <c:v>-3</c:v>
                </c:pt>
                <c:pt idx="5">
                  <c:v>23.597000000000001</c:v>
                </c:pt>
                <c:pt idx="6">
                  <c:v>64.498000000000005</c:v>
                </c:pt>
                <c:pt idx="7">
                  <c:v>212.20599999999999</c:v>
                </c:pt>
                <c:pt idx="8">
                  <c:v>220.761</c:v>
                </c:pt>
                <c:pt idx="9">
                  <c:v>454.91699999999997</c:v>
                </c:pt>
                <c:pt idx="10">
                  <c:v>828.976</c:v>
                </c:pt>
                <c:pt idx="11">
                  <c:v>1260.172</c:v>
                </c:pt>
              </c:numCache>
            </c:numRef>
          </c:yVal>
          <c:smooth val="0"/>
        </c:ser>
        <c:ser>
          <c:idx val="2"/>
          <c:order val="2"/>
          <c:tx>
            <c:v>100 kVp</c:v>
          </c:tx>
          <c:spPr>
            <a:ln w="28575">
              <a:noFill/>
            </a:ln>
          </c:spPr>
          <c:marker>
            <c:symbol val="triangle"/>
            <c:size val="9"/>
            <c:spPr>
              <a:noFill/>
            </c:spPr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[1]Sensitometry!$G$33:$G$44</c:f>
              <c:numCache>
                <c:formatCode>General</c:formatCode>
                <c:ptCount val="12"/>
                <c:pt idx="0">
                  <c:v>5.9769667999999998E-2</c:v>
                </c:pt>
                <c:pt idx="1">
                  <c:v>9.1664562000000005E-2</c:v>
                </c:pt>
                <c:pt idx="2">
                  <c:v>0.18979728000000001</c:v>
                </c:pt>
                <c:pt idx="3">
                  <c:v>0.19910265599999999</c:v>
                </c:pt>
                <c:pt idx="4">
                  <c:v>0.213217191</c:v>
                </c:pt>
                <c:pt idx="5">
                  <c:v>0.21064368</c:v>
                </c:pt>
                <c:pt idx="6">
                  <c:v>0.230476395</c:v>
                </c:pt>
                <c:pt idx="7">
                  <c:v>0.28278382299999999</c:v>
                </c:pt>
                <c:pt idx="8">
                  <c:v>0.28547882000000002</c:v>
                </c:pt>
                <c:pt idx="9">
                  <c:v>0.34377789600000003</c:v>
                </c:pt>
                <c:pt idx="10">
                  <c:v>0.46499412000000001</c:v>
                </c:pt>
                <c:pt idx="11">
                  <c:v>0.61251599499999998</c:v>
                </c:pt>
              </c:numCache>
            </c:numRef>
          </c:xVal>
          <c:yVal>
            <c:numRef>
              <c:f>[1]Sensitometry!$D$33:$D$44</c:f>
              <c:numCache>
                <c:formatCode>General</c:formatCode>
                <c:ptCount val="12"/>
                <c:pt idx="0">
                  <c:v>-704.56</c:v>
                </c:pt>
                <c:pt idx="1">
                  <c:v>-534.73900000000003</c:v>
                </c:pt>
                <c:pt idx="2">
                  <c:v>-97.341999999999999</c:v>
                </c:pt>
                <c:pt idx="3">
                  <c:v>-51.938000000000002</c:v>
                </c:pt>
                <c:pt idx="4">
                  <c:v>5.3209999999999997</c:v>
                </c:pt>
                <c:pt idx="5">
                  <c:v>14.374000000000001</c:v>
                </c:pt>
                <c:pt idx="6">
                  <c:v>77.927999999999997</c:v>
                </c:pt>
                <c:pt idx="7">
                  <c:v>269.48</c:v>
                </c:pt>
                <c:pt idx="8">
                  <c:v>277.61200000000002</c:v>
                </c:pt>
                <c:pt idx="9">
                  <c:v>545.53399999999999</c:v>
                </c:pt>
                <c:pt idx="10">
                  <c:v>1025.1790000000001</c:v>
                </c:pt>
                <c:pt idx="11">
                  <c:v>1588.258</c:v>
                </c:pt>
              </c:numCache>
            </c:numRef>
          </c:yVal>
          <c:smooth val="0"/>
        </c:ser>
        <c:ser>
          <c:idx val="0"/>
          <c:order val="3"/>
          <c:tx>
            <c:v>80 kVp</c:v>
          </c:tx>
          <c:spPr>
            <a:ln w="28575">
              <a:noFill/>
            </a:ln>
          </c:spPr>
          <c:marker>
            <c:symbol val="diamond"/>
            <c:size val="9"/>
            <c:spPr>
              <a:noFill/>
            </c:spPr>
          </c:marke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[1]Sensitometry!$G$47:$G$58</c:f>
              <c:numCache>
                <c:formatCode>General</c:formatCode>
                <c:ptCount val="12"/>
                <c:pt idx="0">
                  <c:v>7.3911039999999997E-2</c:v>
                </c:pt>
                <c:pt idx="1">
                  <c:v>0.11321637700000001</c:v>
                </c:pt>
                <c:pt idx="2">
                  <c:v>0.21825324199999999</c:v>
                </c:pt>
                <c:pt idx="3">
                  <c:v>0.23412777600000001</c:v>
                </c:pt>
                <c:pt idx="4">
                  <c:v>0.25807349699999999</c:v>
                </c:pt>
                <c:pt idx="5">
                  <c:v>0.24223825600000001</c:v>
                </c:pt>
                <c:pt idx="6">
                  <c:v>0.278989553</c:v>
                </c:pt>
                <c:pt idx="7">
                  <c:v>0.385301375</c:v>
                </c:pt>
                <c:pt idx="8">
                  <c:v>0.38907814000000002</c:v>
                </c:pt>
                <c:pt idx="9">
                  <c:v>0.47822191200000003</c:v>
                </c:pt>
                <c:pt idx="10">
                  <c:v>0.69199655000000004</c:v>
                </c:pt>
                <c:pt idx="11">
                  <c:v>0.95065068799999997</c:v>
                </c:pt>
              </c:numCache>
            </c:numRef>
          </c:xVal>
          <c:yVal>
            <c:numRef>
              <c:f>[1]Sensitometry!$D$47:$D$58</c:f>
              <c:numCache>
                <c:formatCode>General</c:formatCode>
                <c:ptCount val="12"/>
                <c:pt idx="0">
                  <c:v>-703.10199999999998</c:v>
                </c:pt>
                <c:pt idx="1">
                  <c:v>-538.24199999999996</c:v>
                </c:pt>
                <c:pt idx="2">
                  <c:v>-111.238</c:v>
                </c:pt>
                <c:pt idx="3">
                  <c:v>-58.649000000000001</c:v>
                </c:pt>
                <c:pt idx="4">
                  <c:v>5.9950000000000001</c:v>
                </c:pt>
                <c:pt idx="5">
                  <c:v>4.5579999999999998</c:v>
                </c:pt>
                <c:pt idx="6">
                  <c:v>82.523300000000006</c:v>
                </c:pt>
                <c:pt idx="7">
                  <c:v>337.94</c:v>
                </c:pt>
                <c:pt idx="8">
                  <c:v>336.58800000000002</c:v>
                </c:pt>
                <c:pt idx="9">
                  <c:v>646.53</c:v>
                </c:pt>
                <c:pt idx="10">
                  <c:v>1238.703</c:v>
                </c:pt>
                <c:pt idx="11">
                  <c:v>1927.7</c:v>
                </c:pt>
              </c:numCache>
            </c:numRef>
          </c:yVal>
          <c:smooth val="0"/>
        </c:ser>
        <c:ser>
          <c:idx val="4"/>
          <c:order val="4"/>
          <c:tx>
            <c:v>70 kVp</c:v>
          </c:tx>
          <c:spPr>
            <a:ln w="28575">
              <a:noFill/>
            </a:ln>
          </c:spPr>
          <c:marker>
            <c:symbol val="star"/>
            <c:size val="9"/>
            <c:spPr>
              <a:ln>
                <a:solidFill>
                  <a:schemeClr val="accent6"/>
                </a:solidFill>
              </a:ln>
            </c:spPr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log"/>
            <c:dispRSqr val="0"/>
            <c:dispEq val="0"/>
          </c:trendline>
          <c:xVal>
            <c:numRef>
              <c:f>[1]Sensitometry!$G$61:$G$72</c:f>
              <c:numCache>
                <c:formatCode>General</c:formatCode>
                <c:ptCount val="12"/>
                <c:pt idx="0">
                  <c:v>0.21346648400000001</c:v>
                </c:pt>
                <c:pt idx="1">
                  <c:v>0.32457032099999999</c:v>
                </c:pt>
                <c:pt idx="2">
                  <c:v>0.392320844</c:v>
                </c:pt>
                <c:pt idx="3">
                  <c:v>0.53009817599999998</c:v>
                </c:pt>
                <c:pt idx="4">
                  <c:v>0.73755316800000004</c:v>
                </c:pt>
                <c:pt idx="5">
                  <c:v>0.433439136</c:v>
                </c:pt>
                <c:pt idx="6">
                  <c:v>0.79748469600000005</c:v>
                </c:pt>
                <c:pt idx="7">
                  <c:v>1.9526258910000001</c:v>
                </c:pt>
                <c:pt idx="8">
                  <c:v>1.9731000299999999</c:v>
                </c:pt>
                <c:pt idx="9">
                  <c:v>2.6508462119999998</c:v>
                </c:pt>
                <c:pt idx="10">
                  <c:v>5.0199999999999996</c:v>
                </c:pt>
                <c:pt idx="11">
                  <c:v>7.6304999999999996</c:v>
                </c:pt>
              </c:numCache>
            </c:numRef>
          </c:xVal>
          <c:yVal>
            <c:numRef>
              <c:f>[1]Sensitometry!$D$61:$D$72</c:f>
              <c:numCache>
                <c:formatCode>General</c:formatCode>
                <c:ptCount val="12"/>
                <c:pt idx="0">
                  <c:v>-711.01599999999996</c:v>
                </c:pt>
                <c:pt idx="1">
                  <c:v>-536.48699999999997</c:v>
                </c:pt>
                <c:pt idx="2">
                  <c:v>-126.405</c:v>
                </c:pt>
                <c:pt idx="3">
                  <c:v>-63.552999999999997</c:v>
                </c:pt>
                <c:pt idx="4">
                  <c:v>15</c:v>
                </c:pt>
                <c:pt idx="5">
                  <c:v>-2.0449999999999999</c:v>
                </c:pt>
                <c:pt idx="6">
                  <c:v>82.948999999999998</c:v>
                </c:pt>
                <c:pt idx="7">
                  <c:v>427</c:v>
                </c:pt>
                <c:pt idx="8">
                  <c:v>430</c:v>
                </c:pt>
                <c:pt idx="9">
                  <c:v>790.62</c:v>
                </c:pt>
                <c:pt idx="10">
                  <c:v>1521.635</c:v>
                </c:pt>
                <c:pt idx="11">
                  <c:v>2375.9180000000001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8000"/>
        <c:axId val="41711528"/>
      </c:scatterChart>
      <c:valAx>
        <c:axId val="417080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Attenuation Coefficient (1/cm)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11528"/>
        <c:crossesAt val="-1000"/>
        <c:crossBetween val="midCat"/>
      </c:valAx>
      <c:valAx>
        <c:axId val="41711528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CT Number (HU)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8000"/>
        <c:crossesAt val="-100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5627067525650205"/>
          <c:y val="0.36622680785591455"/>
          <c:w val="0.14672259603913151"/>
          <c:h val="0.319390593417202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5529308836395"/>
          <c:y val="5.1400554097404488E-2"/>
          <c:w val="0.7733991688538932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H</c:v>
          </c:tx>
          <c:spPr>
            <a:ln w="28575">
              <a:noFill/>
            </a:ln>
          </c:spPr>
          <c:xVal>
            <c:numRef>
              <c:f>'[2]Gammex sensitometry phantom'!$H$95:$H$103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phantom'!$I$95:$I$103</c:f>
              <c:numCache>
                <c:formatCode>General</c:formatCode>
                <c:ptCount val="9"/>
                <c:pt idx="0">
                  <c:v>0.38540000000000002</c:v>
                </c:pt>
                <c:pt idx="1">
                  <c:v>0.37640000000000001</c:v>
                </c:pt>
                <c:pt idx="2">
                  <c:v>0.3695</c:v>
                </c:pt>
                <c:pt idx="3">
                  <c:v>0.35699999999999998</c:v>
                </c:pt>
                <c:pt idx="4">
                  <c:v>0.3458</c:v>
                </c:pt>
                <c:pt idx="5">
                  <c:v>0.33550000000000002</c:v>
                </c:pt>
                <c:pt idx="6">
                  <c:v>0.32600000000000001</c:v>
                </c:pt>
                <c:pt idx="7">
                  <c:v>0.30909999999999999</c:v>
                </c:pt>
                <c:pt idx="8">
                  <c:v>0.2944</c:v>
                </c:pt>
              </c:numCache>
            </c:numRef>
          </c:yVal>
          <c:smooth val="0"/>
        </c:ser>
        <c:ser>
          <c:idx val="2"/>
          <c:order val="1"/>
          <c:tx>
            <c:v>O</c:v>
          </c:tx>
          <c:spPr>
            <a:ln w="28575">
              <a:noFill/>
            </a:ln>
          </c:spPr>
          <c:xVal>
            <c:numRef>
              <c:f>'[2]Gammex sensitometry phantom'!$K$97:$K$103</c:f>
              <c:numCache>
                <c:formatCode>General</c:formatCode>
                <c:ptCount val="7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'[2]Gammex sensitometry phantom'!$L$97:$L$103</c:f>
              <c:numCache>
                <c:formatCode>General</c:formatCode>
                <c:ptCount val="7"/>
                <c:pt idx="0">
                  <c:v>0.86509999999999998</c:v>
                </c:pt>
                <c:pt idx="1">
                  <c:v>0.37790000000000001</c:v>
                </c:pt>
                <c:pt idx="2">
                  <c:v>0.25850000000000001</c:v>
                </c:pt>
                <c:pt idx="3">
                  <c:v>0.2132</c:v>
                </c:pt>
                <c:pt idx="4">
                  <c:v>0.19070000000000001</c:v>
                </c:pt>
                <c:pt idx="5">
                  <c:v>0.1678</c:v>
                </c:pt>
                <c:pt idx="6">
                  <c:v>0.15509999999999999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'[2]Gammex sensitometry phantom'!$N$92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'[2]Gammex sensitometry phantom'!$N$97:$N$103</c:f>
              <c:numCache>
                <c:formatCode>General</c:formatCode>
                <c:ptCount val="7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'[2]Gammex sensitometry phantom'!$O$97:$O$103</c:f>
              <c:numCache>
                <c:formatCode>General</c:formatCode>
                <c:ptCount val="7"/>
                <c:pt idx="0">
                  <c:v>0.442</c:v>
                </c:pt>
                <c:pt idx="1">
                  <c:v>0.25619999999999998</c:v>
                </c:pt>
                <c:pt idx="2">
                  <c:v>0.20760000000000001</c:v>
                </c:pt>
                <c:pt idx="3">
                  <c:v>0.18709999999999999</c:v>
                </c:pt>
                <c:pt idx="4">
                  <c:v>0.17530000000000001</c:v>
                </c:pt>
                <c:pt idx="5">
                  <c:v>0.161</c:v>
                </c:pt>
                <c:pt idx="6">
                  <c:v>0.15140000000000001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'[2]Gammex sensitometry phantom'!$Q$92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phantom'!$Q$97:$Q$103</c:f>
              <c:numCache>
                <c:formatCode>General</c:formatCode>
                <c:ptCount val="7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'[2]Gammex sensitometry phantom'!$R$97:$R$103</c:f>
              <c:numCache>
                <c:formatCode>General</c:formatCode>
                <c:ptCount val="7"/>
                <c:pt idx="0">
                  <c:v>0.61780000000000002</c:v>
                </c:pt>
                <c:pt idx="1">
                  <c:v>0.30659999999999998</c:v>
                </c:pt>
                <c:pt idx="2">
                  <c:v>0.2288</c:v>
                </c:pt>
                <c:pt idx="3">
                  <c:v>0.19800000000000001</c:v>
                </c:pt>
                <c:pt idx="4">
                  <c:v>0.1817</c:v>
                </c:pt>
                <c:pt idx="5">
                  <c:v>0.16389999999999999</c:v>
                </c:pt>
                <c:pt idx="6">
                  <c:v>0.15290000000000001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'[2]Gammex sensitometry phantom'!$T$92</c:f>
              <c:strCache>
                <c:ptCount val="1"/>
                <c:pt idx="0">
                  <c:v>Cl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phantom'!$T$95:$T$103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phantom'!$U$95:$U$103</c:f>
              <c:numCache>
                <c:formatCode>General</c:formatCode>
                <c:ptCount val="9"/>
                <c:pt idx="0">
                  <c:v>57.25</c:v>
                </c:pt>
                <c:pt idx="1">
                  <c:v>17.84</c:v>
                </c:pt>
                <c:pt idx="2">
                  <c:v>7.7389999999999999</c:v>
                </c:pt>
                <c:pt idx="3">
                  <c:v>2.4249999999999998</c:v>
                </c:pt>
                <c:pt idx="4">
                  <c:v>1.117</c:v>
                </c:pt>
                <c:pt idx="5">
                  <c:v>0.64829999999999999</c:v>
                </c:pt>
                <c:pt idx="6">
                  <c:v>0.4395</c:v>
                </c:pt>
                <c:pt idx="7">
                  <c:v>0.26960000000000001</c:v>
                </c:pt>
                <c:pt idx="8">
                  <c:v>0.20499999999999999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'[2]Gammex sensitometry phantom'!$W$92</c:f>
              <c:strCache>
                <c:ptCount val="1"/>
                <c:pt idx="0">
                  <c:v>Ca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phantom'!$W$95:$W$103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phantom'!$X$95:$X$103</c:f>
              <c:numCache>
                <c:formatCode>General</c:formatCode>
                <c:ptCount val="9"/>
                <c:pt idx="0">
                  <c:v>93.41</c:v>
                </c:pt>
                <c:pt idx="1">
                  <c:v>29.79</c:v>
                </c:pt>
                <c:pt idx="2">
                  <c:v>13.06</c:v>
                </c:pt>
                <c:pt idx="3">
                  <c:v>4.08</c:v>
                </c:pt>
                <c:pt idx="4">
                  <c:v>1.83</c:v>
                </c:pt>
                <c:pt idx="5">
                  <c:v>1.0189999999999999</c:v>
                </c:pt>
                <c:pt idx="6">
                  <c:v>0.65780000000000005</c:v>
                </c:pt>
                <c:pt idx="7">
                  <c:v>0.36559999999999998</c:v>
                </c:pt>
                <c:pt idx="8">
                  <c:v>0.2571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'[2]Gammex sensitometry phantom'!$Z$92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phantom'!$Z$95:$Z$103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phantom'!$AA$95:$AA$103</c:f>
              <c:numCache>
                <c:formatCode>General</c:formatCode>
                <c:ptCount val="9"/>
                <c:pt idx="0">
                  <c:v>40.35</c:v>
                </c:pt>
                <c:pt idx="1">
                  <c:v>12.39</c:v>
                </c:pt>
                <c:pt idx="2">
                  <c:v>5.3520000000000003</c:v>
                </c:pt>
                <c:pt idx="3">
                  <c:v>1.7</c:v>
                </c:pt>
                <c:pt idx="4">
                  <c:v>0.80959999999999999</c:v>
                </c:pt>
                <c:pt idx="5">
                  <c:v>0.49159999999999998</c:v>
                </c:pt>
                <c:pt idx="6">
                  <c:v>0.34939999999999999</c:v>
                </c:pt>
                <c:pt idx="7">
                  <c:v>0.2324</c:v>
                </c:pt>
                <c:pt idx="8">
                  <c:v>0.1865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'[2]Gammex sensitometry phantom'!$AC$92</c:f>
              <c:strCache>
                <c:ptCount val="1"/>
                <c:pt idx="0">
                  <c:v>Na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phantom'!$AC$95:$AC$103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phantom'!$AD$95:$AD$103</c:f>
              <c:numCache>
                <c:formatCode>General</c:formatCode>
                <c:ptCount val="9"/>
                <c:pt idx="0">
                  <c:v>15.57</c:v>
                </c:pt>
                <c:pt idx="1">
                  <c:v>4.694</c:v>
                </c:pt>
                <c:pt idx="2">
                  <c:v>2.0569999999999999</c:v>
                </c:pt>
                <c:pt idx="3">
                  <c:v>0.71970000000000001</c:v>
                </c:pt>
                <c:pt idx="4">
                  <c:v>0.39689999999999998</c:v>
                </c:pt>
                <c:pt idx="5">
                  <c:v>0.28039999999999998</c:v>
                </c:pt>
                <c:pt idx="6">
                  <c:v>0.2268</c:v>
                </c:pt>
                <c:pt idx="7">
                  <c:v>0.17960000000000001</c:v>
                </c:pt>
                <c:pt idx="8">
                  <c:v>0.1585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'[2]Gammex sensitometry phantom'!$AF$92</c:f>
              <c:strCache>
                <c:ptCount val="1"/>
                <c:pt idx="0">
                  <c:v>Mg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phantom'!$AF$95:$AF$103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phantom'!$AG$95:$AG$103</c:f>
              <c:numCache>
                <c:formatCode>General</c:formatCode>
                <c:ptCount val="9"/>
                <c:pt idx="0">
                  <c:v>21.05</c:v>
                </c:pt>
                <c:pt idx="1">
                  <c:v>6.3579999999999997</c:v>
                </c:pt>
                <c:pt idx="2">
                  <c:v>2.7629999999999999</c:v>
                </c:pt>
                <c:pt idx="3">
                  <c:v>0.93059999999999998</c:v>
                </c:pt>
                <c:pt idx="4">
                  <c:v>0.48809999999999998</c:v>
                </c:pt>
                <c:pt idx="5">
                  <c:v>0.32919999999999999</c:v>
                </c:pt>
                <c:pt idx="6">
                  <c:v>0.25700000000000001</c:v>
                </c:pt>
                <c:pt idx="7">
                  <c:v>0.1951</c:v>
                </c:pt>
                <c:pt idx="8">
                  <c:v>0.1686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'[2]Gammex sensitometry phantom'!$AI$92</c:f>
              <c:strCache>
                <c:ptCount val="1"/>
                <c:pt idx="0">
                  <c:v>Si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phantom'!$AI$95:$AI$103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phantom'!$AJ$95:$AJ$103</c:f>
              <c:numCache>
                <c:formatCode>General</c:formatCode>
                <c:ptCount val="9"/>
                <c:pt idx="0">
                  <c:v>33.89</c:v>
                </c:pt>
                <c:pt idx="1">
                  <c:v>10.34</c:v>
                </c:pt>
                <c:pt idx="2">
                  <c:v>4.4640000000000004</c:v>
                </c:pt>
                <c:pt idx="3">
                  <c:v>1.4359999999999999</c:v>
                </c:pt>
                <c:pt idx="4">
                  <c:v>0.70120000000000005</c:v>
                </c:pt>
                <c:pt idx="5">
                  <c:v>0.4385</c:v>
                </c:pt>
                <c:pt idx="6">
                  <c:v>0.32069999999999999</c:v>
                </c:pt>
                <c:pt idx="7">
                  <c:v>0.2228</c:v>
                </c:pt>
                <c:pt idx="8">
                  <c:v>0.1835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'[2]Gammex sensitometry phantom'!$AL$92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'[2]Gammex sensitometry phantom'!$AL$95:$AL$103</c:f>
              <c:numCache>
                <c:formatCode>General</c:formatCode>
                <c:ptCount val="9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</c:numCache>
            </c:numRef>
          </c:xVal>
          <c:yVal>
            <c:numRef>
              <c:f>'[2]Gammex sensitometry phantom'!$AM$95:$AM$103</c:f>
              <c:numCache>
                <c:formatCode>General</c:formatCode>
                <c:ptCount val="9"/>
                <c:pt idx="0">
                  <c:v>1.2549999999999999</c:v>
                </c:pt>
                <c:pt idx="1">
                  <c:v>0.48270000000000002</c:v>
                </c:pt>
                <c:pt idx="2">
                  <c:v>0.3014</c:v>
                </c:pt>
                <c:pt idx="3">
                  <c:v>0.20630000000000001</c:v>
                </c:pt>
                <c:pt idx="4">
                  <c:v>0.17929999999999999</c:v>
                </c:pt>
                <c:pt idx="5">
                  <c:v>0.16650000000000001</c:v>
                </c:pt>
                <c:pt idx="6">
                  <c:v>0.1583</c:v>
                </c:pt>
                <c:pt idx="7">
                  <c:v>0.1472</c:v>
                </c:pt>
                <c:pt idx="8">
                  <c:v>0.1391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8784"/>
        <c:axId val="41705648"/>
      </c:scatterChart>
      <c:valAx>
        <c:axId val="4170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5648"/>
        <c:crosses val="autoZero"/>
        <c:crossBetween val="midCat"/>
      </c:valAx>
      <c:valAx>
        <c:axId val="41705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8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368009655727338"/>
          <c:y val="6.4238845144356946E-2"/>
          <c:w val="9.0133149414717284E-2"/>
          <c:h val="0.57241724992709242"/>
        </c:manualLayout>
      </c:layout>
      <c:overlay val="1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140 kVp (84 keV)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8716874871516"/>
          <c:y val="0.15367587526135504"/>
          <c:w val="0.80679718313899285"/>
          <c:h val="0.65111401752747"/>
        </c:manualLayout>
      </c:layout>
      <c:scatterChart>
        <c:scatterStyle val="lineMarker"/>
        <c:varyColors val="0"/>
        <c:ser>
          <c:idx val="2"/>
          <c:order val="0"/>
          <c:tx>
            <c:v>Gammex Sensitometry</c:v>
          </c:tx>
          <c:spPr>
            <a:ln w="28575">
              <a:noFill/>
            </a:ln>
          </c:spPr>
          <c:marker>
            <c:symbol val="triangle"/>
            <c:size val="9"/>
            <c:spPr>
              <a:noFill/>
            </c:spPr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[1]Sensitometry!$G$5:$G$16</c:f>
              <c:numCache>
                <c:formatCode>General</c:formatCode>
                <c:ptCount val="12"/>
                <c:pt idx="0">
                  <c:v>4.47E-3</c:v>
                </c:pt>
                <c:pt idx="1">
                  <c:v>6.8654875000000004E-2</c:v>
                </c:pt>
                <c:pt idx="2">
                  <c:v>0.15389839799999999</c:v>
                </c:pt>
                <c:pt idx="3">
                  <c:v>0.15806726400000001</c:v>
                </c:pt>
                <c:pt idx="4">
                  <c:v>0.16451364600000001</c:v>
                </c:pt>
                <c:pt idx="5">
                  <c:v>0.170764256</c:v>
                </c:pt>
                <c:pt idx="6">
                  <c:v>0.177806822</c:v>
                </c:pt>
                <c:pt idx="7">
                  <c:v>0.190768312</c:v>
                </c:pt>
                <c:pt idx="8">
                  <c:v>0.19250649</c:v>
                </c:pt>
                <c:pt idx="9">
                  <c:v>0.22561484400000001</c:v>
                </c:pt>
                <c:pt idx="10">
                  <c:v>0.27681065500000002</c:v>
                </c:pt>
                <c:pt idx="11">
                  <c:v>0.34006636299999998</c:v>
                </c:pt>
              </c:numCache>
            </c:numRef>
          </c:xVal>
          <c:yVal>
            <c:numRef>
              <c:f>[1]Sensitometry!$D$5:$D$16</c:f>
              <c:numCache>
                <c:formatCode>General</c:formatCode>
                <c:ptCount val="12"/>
                <c:pt idx="0">
                  <c:v>-708.09299999999996</c:v>
                </c:pt>
                <c:pt idx="1">
                  <c:v>-535.81899999999996</c:v>
                </c:pt>
                <c:pt idx="2">
                  <c:v>-87.262</c:v>
                </c:pt>
                <c:pt idx="3">
                  <c:v>-50.877000000000002</c:v>
                </c:pt>
                <c:pt idx="4">
                  <c:v>-3</c:v>
                </c:pt>
                <c:pt idx="5">
                  <c:v>23.597000000000001</c:v>
                </c:pt>
                <c:pt idx="6">
                  <c:v>64.498000000000005</c:v>
                </c:pt>
                <c:pt idx="7">
                  <c:v>212.20599999999999</c:v>
                </c:pt>
                <c:pt idx="8">
                  <c:v>220.761</c:v>
                </c:pt>
                <c:pt idx="9">
                  <c:v>454.91699999999997</c:v>
                </c:pt>
                <c:pt idx="10">
                  <c:v>828.976</c:v>
                </c:pt>
                <c:pt idx="11">
                  <c:v>1260.172</c:v>
                </c:pt>
              </c:numCache>
            </c:numRef>
          </c:yVal>
          <c:smooth val="0"/>
        </c:ser>
        <c:ser>
          <c:idx val="4"/>
          <c:order val="1"/>
          <c:tx>
            <c:v>Gammex ACR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[1]Sensitometry!$AA$5:$AA$9</c:f>
              <c:numCache>
                <c:formatCode>General</c:formatCode>
                <c:ptCount val="5"/>
                <c:pt idx="0">
                  <c:v>0.27681065500000002</c:v>
                </c:pt>
                <c:pt idx="1">
                  <c:v>0.19202373062737388</c:v>
                </c:pt>
                <c:pt idx="2">
                  <c:v>0.16909515812406892</c:v>
                </c:pt>
                <c:pt idx="3">
                  <c:v>0.15598253838035037</c:v>
                </c:pt>
                <c:pt idx="4">
                  <c:v>9.7499999999999996E-4</c:v>
                </c:pt>
              </c:numCache>
            </c:numRef>
          </c:xVal>
          <c:yVal>
            <c:numRef>
              <c:f>[1]Sensitometry!$X$5:$X$9</c:f>
              <c:numCache>
                <c:formatCode>General</c:formatCode>
                <c:ptCount val="5"/>
                <c:pt idx="0">
                  <c:v>839.81299999999999</c:v>
                </c:pt>
                <c:pt idx="1">
                  <c:v>125.5</c:v>
                </c:pt>
                <c:pt idx="2">
                  <c:v>1.5</c:v>
                </c:pt>
                <c:pt idx="3">
                  <c:v>-86.24</c:v>
                </c:pt>
                <c:pt idx="4">
                  <c:v>-997.65700000000004</c:v>
                </c:pt>
              </c:numCache>
            </c:numRef>
          </c:yVal>
          <c:smooth val="0"/>
        </c:ser>
        <c:ser>
          <c:idx val="0"/>
          <c:order val="2"/>
          <c:tx>
            <c:v>Phantom Lab Catphan 700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[1]Sensitometry!$Q$5:$Q$15</c:f>
              <c:numCache>
                <c:formatCode>General</c:formatCode>
                <c:ptCount val="11"/>
                <c:pt idx="0">
                  <c:v>2.119E-4</c:v>
                </c:pt>
                <c:pt idx="1">
                  <c:v>3.1920000000000004E-2</c:v>
                </c:pt>
                <c:pt idx="2">
                  <c:v>0.14939999999999998</c:v>
                </c:pt>
                <c:pt idx="3">
                  <c:v>0.1656</c:v>
                </c:pt>
                <c:pt idx="4">
                  <c:v>0.81</c:v>
                </c:pt>
                <c:pt idx="5">
                  <c:v>0.17510000000000001</c:v>
                </c:pt>
                <c:pt idx="6">
                  <c:v>0.20413999999999996</c:v>
                </c:pt>
                <c:pt idx="7">
                  <c:v>0.20633999999999997</c:v>
                </c:pt>
                <c:pt idx="8">
                  <c:v>0.24423999999999996</c:v>
                </c:pt>
                <c:pt idx="9">
                  <c:v>0.27439999999999998</c:v>
                </c:pt>
                <c:pt idx="10">
                  <c:v>0.34560000000000002</c:v>
                </c:pt>
              </c:numCache>
            </c:numRef>
          </c:xVal>
          <c:yVal>
            <c:numRef>
              <c:f>[1]Sensitometry!$N$5:$N$15</c:f>
              <c:numCache>
                <c:formatCode>General</c:formatCode>
                <c:ptCount val="11"/>
                <c:pt idx="0">
                  <c:v>-998.25099999999998</c:v>
                </c:pt>
                <c:pt idx="1">
                  <c:v>-825.89200000000005</c:v>
                </c:pt>
                <c:pt idx="2">
                  <c:v>-182.34399999999999</c:v>
                </c:pt>
                <c:pt idx="3">
                  <c:v>-92.628</c:v>
                </c:pt>
                <c:pt idx="5">
                  <c:v>-35.372</c:v>
                </c:pt>
                <c:pt idx="6">
                  <c:v>123.09</c:v>
                </c:pt>
                <c:pt idx="7">
                  <c:v>146.24299999999999</c:v>
                </c:pt>
                <c:pt idx="8">
                  <c:v>308.41000000000003</c:v>
                </c:pt>
                <c:pt idx="9">
                  <c:v>615.61500000000001</c:v>
                </c:pt>
                <c:pt idx="10">
                  <c:v>885.22199999999998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9568"/>
        <c:axId val="41704080"/>
      </c:scatterChart>
      <c:valAx>
        <c:axId val="41709568"/>
        <c:scaling>
          <c:orientation val="minMax"/>
          <c:max val="0.4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Attenuation Coefficient (1/cm)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4080"/>
        <c:crossesAt val="-1000"/>
        <c:crossBetween val="midCat"/>
        <c:majorUnit val="5.000000000000001E-2"/>
      </c:valAx>
      <c:valAx>
        <c:axId val="41704080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CT Number (HU)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9568"/>
        <c:crossesAt val="-100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512322571700396"/>
          <c:y val="0.63371634101292884"/>
          <c:w val="0.27787004766480694"/>
          <c:h val="0.142436084378341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120 kVp (72 keV)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8716874871516"/>
          <c:y val="0.15367587526135504"/>
          <c:w val="0.80679718313899285"/>
          <c:h val="0.65111401752747"/>
        </c:manualLayout>
      </c:layout>
      <c:scatterChart>
        <c:scatterStyle val="lineMarker"/>
        <c:varyColors val="0"/>
        <c:ser>
          <c:idx val="2"/>
          <c:order val="0"/>
          <c:tx>
            <c:v>Gammex Sensitometry</c:v>
          </c:tx>
          <c:spPr>
            <a:ln w="28575">
              <a:noFill/>
            </a:ln>
          </c:spPr>
          <c:marker>
            <c:symbol val="triangle"/>
            <c:size val="9"/>
            <c:spPr>
              <a:noFill/>
            </c:spPr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[1]Sensitometry!$G$19:$G$30</c:f>
              <c:numCache>
                <c:formatCode>General</c:formatCode>
                <c:ptCount val="12"/>
                <c:pt idx="0">
                  <c:v>5.0877848000000003E-2</c:v>
                </c:pt>
                <c:pt idx="1">
                  <c:v>7.8087957E-2</c:v>
                </c:pt>
                <c:pt idx="2">
                  <c:v>0.16937625000000001</c:v>
                </c:pt>
                <c:pt idx="3">
                  <c:v>0.17541427200000001</c:v>
                </c:pt>
                <c:pt idx="4">
                  <c:v>0.18464618699999999</c:v>
                </c:pt>
                <c:pt idx="5">
                  <c:v>0.18797396799999999</c:v>
                </c:pt>
                <c:pt idx="6">
                  <c:v>0.19957918199999999</c:v>
                </c:pt>
                <c:pt idx="7">
                  <c:v>0.22629489999999999</c:v>
                </c:pt>
                <c:pt idx="8">
                  <c:v>0.22840081000000001</c:v>
                </c:pt>
                <c:pt idx="9">
                  <c:v>0.27088828199999998</c:v>
                </c:pt>
                <c:pt idx="10">
                  <c:v>0.34709722999999998</c:v>
                </c:pt>
                <c:pt idx="11">
                  <c:v>0.44049140199999998</c:v>
                </c:pt>
              </c:numCache>
            </c:numRef>
          </c:xVal>
          <c:yVal>
            <c:numRef>
              <c:f>[1]Sensitometry!$D$19:$D$30</c:f>
              <c:numCache>
                <c:formatCode>General</c:formatCode>
                <c:ptCount val="12"/>
                <c:pt idx="0">
                  <c:v>-702.7</c:v>
                </c:pt>
                <c:pt idx="1">
                  <c:v>-533.20299999999997</c:v>
                </c:pt>
                <c:pt idx="2">
                  <c:v>-91.792000000000002</c:v>
                </c:pt>
                <c:pt idx="3">
                  <c:v>-51.16</c:v>
                </c:pt>
                <c:pt idx="4">
                  <c:v>-1</c:v>
                </c:pt>
                <c:pt idx="5">
                  <c:v>20.760999999999999</c:v>
                </c:pt>
                <c:pt idx="6">
                  <c:v>71.558999999999997</c:v>
                </c:pt>
                <c:pt idx="7">
                  <c:v>228.25</c:v>
                </c:pt>
                <c:pt idx="8">
                  <c:v>237.9616</c:v>
                </c:pt>
                <c:pt idx="9">
                  <c:v>481.64400000000001</c:v>
                </c:pt>
                <c:pt idx="10">
                  <c:v>898.34</c:v>
                </c:pt>
                <c:pt idx="11">
                  <c:v>1371.4369999999999</c:v>
                </c:pt>
              </c:numCache>
            </c:numRef>
          </c:yVal>
          <c:smooth val="0"/>
        </c:ser>
        <c:ser>
          <c:idx val="4"/>
          <c:order val="1"/>
          <c:tx>
            <c:v>Gammex ACR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[1]Sensitometry!$AA$19:$AA$23</c:f>
              <c:numCache>
                <c:formatCode>General</c:formatCode>
                <c:ptCount val="5"/>
                <c:pt idx="0">
                  <c:v>0.34709722999999998</c:v>
                </c:pt>
                <c:pt idx="1">
                  <c:v>0.21338692610113993</c:v>
                </c:pt>
                <c:pt idx="2">
                  <c:v>0.18890020465341179</c:v>
                </c:pt>
                <c:pt idx="3">
                  <c:v>0.16910884692477446</c:v>
                </c:pt>
                <c:pt idx="4">
                  <c:v>2.7533999999999995E-4</c:v>
                </c:pt>
              </c:numCache>
            </c:numRef>
          </c:xVal>
          <c:yVal>
            <c:numRef>
              <c:f>[1]Sensitometry!$X$19:$X$23</c:f>
              <c:numCache>
                <c:formatCode>General</c:formatCode>
                <c:ptCount val="5"/>
                <c:pt idx="0">
                  <c:v>905.43799999999999</c:v>
                </c:pt>
                <c:pt idx="1">
                  <c:v>123.67700000000001</c:v>
                </c:pt>
                <c:pt idx="2">
                  <c:v>1.5860000000000001</c:v>
                </c:pt>
                <c:pt idx="3">
                  <c:v>-94.492000000000004</c:v>
                </c:pt>
                <c:pt idx="4">
                  <c:v>-999.18299999999999</c:v>
                </c:pt>
              </c:numCache>
            </c:numRef>
          </c:yVal>
          <c:smooth val="0"/>
        </c:ser>
        <c:ser>
          <c:idx val="0"/>
          <c:order val="2"/>
          <c:tx>
            <c:v>Phantom Lab Catphan 700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[1]Sensitometry!$Q$19:$Q$29</c:f>
              <c:numCache>
                <c:formatCode>General</c:formatCode>
                <c:ptCount val="11"/>
                <c:pt idx="0">
                  <c:v>2.2359999999999996E-4</c:v>
                </c:pt>
                <c:pt idx="1">
                  <c:v>3.3439999999999998E-2</c:v>
                </c:pt>
                <c:pt idx="2">
                  <c:v>0.15520999999999999</c:v>
                </c:pt>
                <c:pt idx="3">
                  <c:v>0.17204</c:v>
                </c:pt>
                <c:pt idx="4">
                  <c:v>0.191</c:v>
                </c:pt>
                <c:pt idx="5">
                  <c:v>0.18334</c:v>
                </c:pt>
                <c:pt idx="6">
                  <c:v>0.21357999999999999</c:v>
                </c:pt>
                <c:pt idx="7">
                  <c:v>0.22344</c:v>
                </c:pt>
                <c:pt idx="8">
                  <c:v>0.25701999999999997</c:v>
                </c:pt>
                <c:pt idx="9">
                  <c:v>0.30940000000000001</c:v>
                </c:pt>
                <c:pt idx="10">
                  <c:v>0.36936000000000008</c:v>
                </c:pt>
              </c:numCache>
            </c:numRef>
          </c:xVal>
          <c:yVal>
            <c:numRef>
              <c:f>[1]Sensitometry!$N$19:$N$29</c:f>
              <c:numCache>
                <c:formatCode>General</c:formatCode>
                <c:ptCount val="11"/>
                <c:pt idx="0">
                  <c:v>-1000.014</c:v>
                </c:pt>
                <c:pt idx="1">
                  <c:v>-828.07899999999995</c:v>
                </c:pt>
                <c:pt idx="2">
                  <c:v>-190.143</c:v>
                </c:pt>
                <c:pt idx="3">
                  <c:v>-101.414</c:v>
                </c:pt>
                <c:pt idx="5">
                  <c:v>-44.113999999999997</c:v>
                </c:pt>
                <c:pt idx="6">
                  <c:v>118.85</c:v>
                </c:pt>
                <c:pt idx="7">
                  <c:v>157.67099999999999</c:v>
                </c:pt>
                <c:pt idx="8">
                  <c:v>297.51400000000001</c:v>
                </c:pt>
                <c:pt idx="9">
                  <c:v>665.35699999999997</c:v>
                </c:pt>
                <c:pt idx="10">
                  <c:v>882.82899999999995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136"/>
        <c:axId val="41706432"/>
      </c:scatterChart>
      <c:valAx>
        <c:axId val="417111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Attenuation Coefficient (1/cm)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6432"/>
        <c:crossesAt val="-1000"/>
        <c:crossBetween val="midCat"/>
      </c:valAx>
      <c:valAx>
        <c:axId val="41706432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CT Number (HU)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11136"/>
        <c:crossesAt val="-100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512322571700396"/>
          <c:y val="0.63371634101292884"/>
          <c:w val="0.27787004766480694"/>
          <c:h val="0.142436084378341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80 kVp (48 keV)</a:t>
            </a:r>
          </a:p>
        </c:rich>
      </c:tx>
      <c:layout>
        <c:manualLayout>
          <c:xMode val="edge"/>
          <c:yMode val="edge"/>
          <c:x val="0.44522754327840169"/>
          <c:y val="2.46913580246913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08716874871516"/>
          <c:y val="0.15367587526135504"/>
          <c:w val="0.80679718313899285"/>
          <c:h val="0.65111401752747"/>
        </c:manualLayout>
      </c:layout>
      <c:scatterChart>
        <c:scatterStyle val="lineMarker"/>
        <c:varyColors val="0"/>
        <c:ser>
          <c:idx val="2"/>
          <c:order val="0"/>
          <c:tx>
            <c:v>Gammex Sensitometry</c:v>
          </c:tx>
          <c:spPr>
            <a:ln w="28575">
              <a:noFill/>
            </a:ln>
          </c:spPr>
          <c:marker>
            <c:symbol val="triangle"/>
            <c:size val="9"/>
            <c:spPr>
              <a:noFill/>
            </c:spPr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[1]Sensitometry!$G$47:$G$58</c:f>
              <c:numCache>
                <c:formatCode>General</c:formatCode>
                <c:ptCount val="12"/>
                <c:pt idx="0">
                  <c:v>7.3911039999999997E-2</c:v>
                </c:pt>
                <c:pt idx="1">
                  <c:v>0.11321637700000001</c:v>
                </c:pt>
                <c:pt idx="2">
                  <c:v>0.21825324199999999</c:v>
                </c:pt>
                <c:pt idx="3">
                  <c:v>0.23412777600000001</c:v>
                </c:pt>
                <c:pt idx="4">
                  <c:v>0.25807349699999999</c:v>
                </c:pt>
                <c:pt idx="5">
                  <c:v>0.24223825600000001</c:v>
                </c:pt>
                <c:pt idx="6">
                  <c:v>0.278989553</c:v>
                </c:pt>
                <c:pt idx="7">
                  <c:v>0.385301375</c:v>
                </c:pt>
                <c:pt idx="8">
                  <c:v>0.38907814000000002</c:v>
                </c:pt>
                <c:pt idx="9">
                  <c:v>0.47822191200000003</c:v>
                </c:pt>
                <c:pt idx="10">
                  <c:v>0.69199655000000004</c:v>
                </c:pt>
                <c:pt idx="11">
                  <c:v>0.95065068799999997</c:v>
                </c:pt>
              </c:numCache>
            </c:numRef>
          </c:xVal>
          <c:yVal>
            <c:numRef>
              <c:f>[1]Sensitometry!$D$47:$D$58</c:f>
              <c:numCache>
                <c:formatCode>General</c:formatCode>
                <c:ptCount val="12"/>
                <c:pt idx="0">
                  <c:v>-703.10199999999998</c:v>
                </c:pt>
                <c:pt idx="1">
                  <c:v>-538.24199999999996</c:v>
                </c:pt>
                <c:pt idx="2">
                  <c:v>-111.238</c:v>
                </c:pt>
                <c:pt idx="3">
                  <c:v>-58.649000000000001</c:v>
                </c:pt>
                <c:pt idx="4">
                  <c:v>5.9950000000000001</c:v>
                </c:pt>
                <c:pt idx="5">
                  <c:v>4.5579999999999998</c:v>
                </c:pt>
                <c:pt idx="6">
                  <c:v>82.523300000000006</c:v>
                </c:pt>
                <c:pt idx="7">
                  <c:v>337.94</c:v>
                </c:pt>
                <c:pt idx="8">
                  <c:v>336.58800000000002</c:v>
                </c:pt>
                <c:pt idx="9">
                  <c:v>646.53</c:v>
                </c:pt>
                <c:pt idx="10">
                  <c:v>1238.703</c:v>
                </c:pt>
                <c:pt idx="11">
                  <c:v>1927.7</c:v>
                </c:pt>
              </c:numCache>
            </c:numRef>
          </c:yVal>
          <c:smooth val="0"/>
        </c:ser>
        <c:ser>
          <c:idx val="4"/>
          <c:order val="1"/>
          <c:tx>
            <c:v>Gammex ACR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[1]Sensitometry!$AA$47:$AA$51</c:f>
              <c:numCache>
                <c:formatCode>General</c:formatCode>
                <c:ptCount val="5"/>
                <c:pt idx="0">
                  <c:v>0.69199655000000004</c:v>
                </c:pt>
                <c:pt idx="1">
                  <c:v>0.28299062019699966</c:v>
                </c:pt>
                <c:pt idx="2">
                  <c:v>0.26006854041945049</c:v>
                </c:pt>
                <c:pt idx="3">
                  <c:v>0.20880180096100093</c:v>
                </c:pt>
                <c:pt idx="4">
                  <c:v>2.2411999999999999E-4</c:v>
                </c:pt>
              </c:numCache>
            </c:numRef>
          </c:xVal>
          <c:yVal>
            <c:numRef>
              <c:f>[1]Sensitometry!$X$47:$X$51</c:f>
              <c:numCache>
                <c:formatCode>General</c:formatCode>
                <c:ptCount val="5"/>
                <c:pt idx="0">
                  <c:v>1256.0920000000001</c:v>
                </c:pt>
                <c:pt idx="1">
                  <c:v>106.017</c:v>
                </c:pt>
                <c:pt idx="2">
                  <c:v>0.873</c:v>
                </c:pt>
                <c:pt idx="3">
                  <c:v>-129.06299999999999</c:v>
                </c:pt>
                <c:pt idx="4">
                  <c:v>-1001.146</c:v>
                </c:pt>
              </c:numCache>
            </c:numRef>
          </c:yVal>
          <c:smooth val="0"/>
        </c:ser>
        <c:ser>
          <c:idx val="0"/>
          <c:order val="2"/>
          <c:tx>
            <c:v>Phantom Lab Catphan 700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[1]Sensitometry!$Q$47:$Q$57</c:f>
              <c:numCache>
                <c:formatCode>General</c:formatCode>
                <c:ptCount val="11"/>
                <c:pt idx="0">
                  <c:v>2.7559999999999998E-4</c:v>
                </c:pt>
                <c:pt idx="1">
                  <c:v>3.9329999999999997E-2</c:v>
                </c:pt>
                <c:pt idx="2">
                  <c:v>0.17512999999999998</c:v>
                </c:pt>
                <c:pt idx="3">
                  <c:v>0.19412000000000001</c:v>
                </c:pt>
                <c:pt idx="4">
                  <c:v>0.23300000000000001</c:v>
                </c:pt>
                <c:pt idx="5">
                  <c:v>0.20806000000000002</c:v>
                </c:pt>
                <c:pt idx="6">
                  <c:v>0.25015999999999999</c:v>
                </c:pt>
                <c:pt idx="7">
                  <c:v>0.30780000000000002</c:v>
                </c:pt>
                <c:pt idx="8">
                  <c:v>0.30671999999999999</c:v>
                </c:pt>
                <c:pt idx="9">
                  <c:v>0.50539999999999996</c:v>
                </c:pt>
                <c:pt idx="10">
                  <c:v>0.47736000000000006</c:v>
                </c:pt>
              </c:numCache>
            </c:numRef>
          </c:xVal>
          <c:yVal>
            <c:numRef>
              <c:f>[1]Sensitometry!$N$47:$N$57</c:f>
              <c:numCache>
                <c:formatCode>General</c:formatCode>
                <c:ptCount val="11"/>
                <c:pt idx="0">
                  <c:v>-1005.583</c:v>
                </c:pt>
                <c:pt idx="1">
                  <c:v>-834.34400000000005</c:v>
                </c:pt>
                <c:pt idx="2">
                  <c:v>-222.54499999999999</c:v>
                </c:pt>
                <c:pt idx="3">
                  <c:v>-137.22900000000001</c:v>
                </c:pt>
                <c:pt idx="5">
                  <c:v>-76.885000000000005</c:v>
                </c:pt>
                <c:pt idx="6">
                  <c:v>96.17</c:v>
                </c:pt>
                <c:pt idx="7">
                  <c:v>223.559</c:v>
                </c:pt>
                <c:pt idx="8">
                  <c:v>300.46499999999997</c:v>
                </c:pt>
                <c:pt idx="9">
                  <c:v>925.24</c:v>
                </c:pt>
                <c:pt idx="10">
                  <c:v>944.47900000000004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4864"/>
        <c:axId val="41705256"/>
      </c:scatterChart>
      <c:valAx>
        <c:axId val="41704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Attenuation Coefficient (1/cm)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5256"/>
        <c:crossesAt val="-1000"/>
        <c:crossBetween val="midCat"/>
      </c:valAx>
      <c:valAx>
        <c:axId val="41705256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CT Number (HU)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704864"/>
        <c:crossesAt val="-100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512322571700396"/>
          <c:y val="0.63371634101292884"/>
          <c:w val="0.27787004766480694"/>
          <c:h val="0.142436084378341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70 kVp (20 keV)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08716874871516"/>
          <c:y val="0.15367587526135504"/>
          <c:w val="0.80679718313899285"/>
          <c:h val="0.65111401752747"/>
        </c:manualLayout>
      </c:layout>
      <c:scatterChart>
        <c:scatterStyle val="lineMarker"/>
        <c:varyColors val="0"/>
        <c:ser>
          <c:idx val="2"/>
          <c:order val="0"/>
          <c:tx>
            <c:v>Gammex Sensitometry</c:v>
          </c:tx>
          <c:spPr>
            <a:ln w="28575">
              <a:noFill/>
            </a:ln>
          </c:spPr>
          <c:marker>
            <c:symbol val="triangle"/>
            <c:size val="9"/>
            <c:spPr>
              <a:noFill/>
            </c:spPr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[1]Sensitometry!$G$61:$G$72</c:f>
              <c:numCache>
                <c:formatCode>General</c:formatCode>
                <c:ptCount val="12"/>
                <c:pt idx="0">
                  <c:v>0.21346648400000001</c:v>
                </c:pt>
                <c:pt idx="1">
                  <c:v>0.32457032099999999</c:v>
                </c:pt>
                <c:pt idx="2">
                  <c:v>0.392320844</c:v>
                </c:pt>
                <c:pt idx="3">
                  <c:v>0.53009817599999998</c:v>
                </c:pt>
                <c:pt idx="4">
                  <c:v>0.73755316800000004</c:v>
                </c:pt>
                <c:pt idx="5">
                  <c:v>0.433439136</c:v>
                </c:pt>
                <c:pt idx="6">
                  <c:v>0.79748469600000005</c:v>
                </c:pt>
                <c:pt idx="7">
                  <c:v>1.9526258910000001</c:v>
                </c:pt>
                <c:pt idx="8">
                  <c:v>1.9731000299999999</c:v>
                </c:pt>
                <c:pt idx="9">
                  <c:v>2.6508462119999998</c:v>
                </c:pt>
                <c:pt idx="10">
                  <c:v>5.0199999999999996</c:v>
                </c:pt>
                <c:pt idx="11">
                  <c:v>7.6304999999999996</c:v>
                </c:pt>
              </c:numCache>
            </c:numRef>
          </c:xVal>
          <c:yVal>
            <c:numRef>
              <c:f>[1]Sensitometry!$D$61:$D$72</c:f>
              <c:numCache>
                <c:formatCode>General</c:formatCode>
                <c:ptCount val="12"/>
                <c:pt idx="0">
                  <c:v>-711.01599999999996</c:v>
                </c:pt>
                <c:pt idx="1">
                  <c:v>-536.48699999999997</c:v>
                </c:pt>
                <c:pt idx="2">
                  <c:v>-126.405</c:v>
                </c:pt>
                <c:pt idx="3">
                  <c:v>-63.552999999999997</c:v>
                </c:pt>
                <c:pt idx="4">
                  <c:v>15</c:v>
                </c:pt>
                <c:pt idx="5">
                  <c:v>-2.0449999999999999</c:v>
                </c:pt>
                <c:pt idx="6">
                  <c:v>82.948999999999998</c:v>
                </c:pt>
                <c:pt idx="7">
                  <c:v>427</c:v>
                </c:pt>
                <c:pt idx="8">
                  <c:v>430</c:v>
                </c:pt>
                <c:pt idx="9">
                  <c:v>790.62</c:v>
                </c:pt>
                <c:pt idx="10">
                  <c:v>1521.635</c:v>
                </c:pt>
                <c:pt idx="11">
                  <c:v>2375.9180000000001</c:v>
                </c:pt>
              </c:numCache>
            </c:numRef>
          </c:yVal>
          <c:smooth val="0"/>
        </c:ser>
        <c:ser>
          <c:idx val="4"/>
          <c:order val="1"/>
          <c:tx>
            <c:v>Gammex ACR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[1]Sensitometry!$AA$61:$AA$65</c:f>
              <c:numCache>
                <c:formatCode>General</c:formatCode>
                <c:ptCount val="5"/>
                <c:pt idx="0">
                  <c:v>4.6675927750000001</c:v>
                </c:pt>
                <c:pt idx="1">
                  <c:v>0.53863605277549587</c:v>
                </c:pt>
                <c:pt idx="2">
                  <c:v>0.6936008502639357</c:v>
                </c:pt>
                <c:pt idx="3">
                  <c:v>0.33160810602578489</c:v>
                </c:pt>
                <c:pt idx="4">
                  <c:v>2.119E-4</c:v>
                </c:pt>
              </c:numCache>
            </c:numRef>
          </c:xVal>
          <c:yVal>
            <c:numRef>
              <c:f>[1]Sensitometry!$X$61:$X$65</c:f>
              <c:numCache>
                <c:formatCode>General</c:formatCode>
                <c:ptCount val="5"/>
                <c:pt idx="0">
                  <c:v>1472</c:v>
                </c:pt>
                <c:pt idx="1">
                  <c:v>92.024000000000001</c:v>
                </c:pt>
                <c:pt idx="2">
                  <c:v>1.1459999999999999</c:v>
                </c:pt>
                <c:pt idx="3">
                  <c:v>-148.14599999999999</c:v>
                </c:pt>
                <c:pt idx="4">
                  <c:v>-1005</c:v>
                </c:pt>
              </c:numCache>
            </c:numRef>
          </c:yVal>
          <c:smooth val="0"/>
        </c:ser>
        <c:ser>
          <c:idx val="0"/>
          <c:order val="2"/>
          <c:tx>
            <c:v>Phantom Lab Catphan 700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[1]Sensitometry!$Q$61:$Q$71</c:f>
              <c:numCache>
                <c:formatCode>General</c:formatCode>
                <c:ptCount val="11"/>
                <c:pt idx="0">
                  <c:v>9.7499999999999996E-4</c:v>
                </c:pt>
                <c:pt idx="1">
                  <c:v>0.11058</c:v>
                </c:pt>
                <c:pt idx="2">
                  <c:v>0.35855999999999999</c:v>
                </c:pt>
                <c:pt idx="3">
                  <c:v>0.39744000000000002</c:v>
                </c:pt>
                <c:pt idx="4">
                  <c:v>0.81</c:v>
                </c:pt>
                <c:pt idx="5">
                  <c:v>0.44908000000000003</c:v>
                </c:pt>
                <c:pt idx="6">
                  <c:v>0.67377999999999993</c:v>
                </c:pt>
                <c:pt idx="7">
                  <c:v>1.6073999999999997</c:v>
                </c:pt>
                <c:pt idx="8">
                  <c:v>0.94145999999999996</c:v>
                </c:pt>
                <c:pt idx="9">
                  <c:v>3.7379999999999995</c:v>
                </c:pt>
                <c:pt idx="10">
                  <c:v>2.0887199999999999</c:v>
                </c:pt>
              </c:numCache>
            </c:numRef>
          </c:xVal>
          <c:yVal>
            <c:numRef>
              <c:f>[1]Sensitometry!$N$61:$N$71</c:f>
              <c:numCache>
                <c:formatCode>General</c:formatCode>
                <c:ptCount val="11"/>
                <c:pt idx="0">
                  <c:v>-1012.872</c:v>
                </c:pt>
                <c:pt idx="1">
                  <c:v>-842.53800000000001</c:v>
                </c:pt>
                <c:pt idx="2">
                  <c:v>-240.59700000000001</c:v>
                </c:pt>
                <c:pt idx="3">
                  <c:v>-158</c:v>
                </c:pt>
                <c:pt idx="5">
                  <c:v>-97.375</c:v>
                </c:pt>
                <c:pt idx="6">
                  <c:v>85.049000000000007</c:v>
                </c:pt>
                <c:pt idx="7">
                  <c:v>263.55900000000003</c:v>
                </c:pt>
                <c:pt idx="8">
                  <c:v>308.69400000000002</c:v>
                </c:pt>
                <c:pt idx="9">
                  <c:v>1101.1980000000001</c:v>
                </c:pt>
                <c:pt idx="10">
                  <c:v>1006.083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03312"/>
        <c:axId val="428302920"/>
      </c:scatterChart>
      <c:valAx>
        <c:axId val="4283033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Attenuation Coefficient (1/cm)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8302920"/>
        <c:crossesAt val="-1000"/>
        <c:crossBetween val="midCat"/>
      </c:valAx>
      <c:valAx>
        <c:axId val="428302920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CT Number (HU)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8303312"/>
        <c:crossesAt val="-100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2512322571700396"/>
          <c:y val="0.63371634101292884"/>
          <c:w val="0.27787004766480694"/>
          <c:h val="0.142436084378341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30</xdr:row>
      <xdr:rowOff>152400</xdr:rowOff>
    </xdr:from>
    <xdr:to>
      <xdr:col>38</xdr:col>
      <xdr:colOff>47625</xdr:colOff>
      <xdr:row>45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66675</xdr:colOff>
      <xdr:row>108</xdr:row>
      <xdr:rowOff>123825</xdr:rowOff>
    </xdr:from>
    <xdr:to>
      <xdr:col>40</xdr:col>
      <xdr:colOff>428625</xdr:colOff>
      <xdr:row>125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352425</xdr:colOff>
      <xdr:row>72</xdr:row>
      <xdr:rowOff>66675</xdr:rowOff>
    </xdr:from>
    <xdr:to>
      <xdr:col>28</xdr:col>
      <xdr:colOff>85725</xdr:colOff>
      <xdr:row>86</xdr:row>
      <xdr:rowOff>142875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323850</xdr:colOff>
      <xdr:row>98</xdr:row>
      <xdr:rowOff>180975</xdr:rowOff>
    </xdr:from>
    <xdr:to>
      <xdr:col>3</xdr:col>
      <xdr:colOff>19050</xdr:colOff>
      <xdr:row>101</xdr:row>
      <xdr:rowOff>0</xdr:rowOff>
    </xdr:to>
    <xdr:pic>
      <xdr:nvPicPr>
        <xdr:cNvPr id="5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45" t="21156"/>
        <a:stretch>
          <a:fillRect/>
        </a:stretch>
      </xdr:blipFill>
      <xdr:spPr bwMode="auto">
        <a:xfrm>
          <a:off x="942975" y="19945350"/>
          <a:ext cx="10382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103</xdr:row>
      <xdr:rowOff>57150</xdr:rowOff>
    </xdr:from>
    <xdr:to>
      <xdr:col>2</xdr:col>
      <xdr:colOff>542925</xdr:colOff>
      <xdr:row>105</xdr:row>
      <xdr:rowOff>76200</xdr:rowOff>
    </xdr:to>
    <xdr:pic>
      <xdr:nvPicPr>
        <xdr:cNvPr id="6" name="Picture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0783550"/>
          <a:ext cx="10382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107</xdr:row>
      <xdr:rowOff>180975</xdr:rowOff>
    </xdr:from>
    <xdr:to>
      <xdr:col>2</xdr:col>
      <xdr:colOff>571500</xdr:colOff>
      <xdr:row>109</xdr:row>
      <xdr:rowOff>180975</xdr:rowOff>
    </xdr:to>
    <xdr:pic>
      <xdr:nvPicPr>
        <xdr:cNvPr id="7" name="Picture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1678900"/>
          <a:ext cx="10191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113</xdr:row>
      <xdr:rowOff>19050</xdr:rowOff>
    </xdr:from>
    <xdr:to>
      <xdr:col>2</xdr:col>
      <xdr:colOff>495300</xdr:colOff>
      <xdr:row>115</xdr:row>
      <xdr:rowOff>38100</xdr:rowOff>
    </xdr:to>
    <xdr:pic>
      <xdr:nvPicPr>
        <xdr:cNvPr id="8" name="Picture 1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2679025"/>
          <a:ext cx="9906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118</xdr:row>
      <xdr:rowOff>85725</xdr:rowOff>
    </xdr:from>
    <xdr:to>
      <xdr:col>2</xdr:col>
      <xdr:colOff>504825</xdr:colOff>
      <xdr:row>120</xdr:row>
      <xdr:rowOff>104775</xdr:rowOff>
    </xdr:to>
    <xdr:pic>
      <xdr:nvPicPr>
        <xdr:cNvPr id="9" name="Picture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3717250"/>
          <a:ext cx="1009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123</xdr:row>
      <xdr:rowOff>104775</xdr:rowOff>
    </xdr:from>
    <xdr:to>
      <xdr:col>2</xdr:col>
      <xdr:colOff>523875</xdr:colOff>
      <xdr:row>125</xdr:row>
      <xdr:rowOff>76200</xdr:rowOff>
    </xdr:to>
    <xdr:pic>
      <xdr:nvPicPr>
        <xdr:cNvPr id="10" name="Picture 2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4707850"/>
          <a:ext cx="9715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128</xdr:row>
      <xdr:rowOff>85725</xdr:rowOff>
    </xdr:from>
    <xdr:to>
      <xdr:col>2</xdr:col>
      <xdr:colOff>561975</xdr:colOff>
      <xdr:row>130</xdr:row>
      <xdr:rowOff>76200</xdr:rowOff>
    </xdr:to>
    <xdr:pic>
      <xdr:nvPicPr>
        <xdr:cNvPr id="11" name="Picture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5660350"/>
          <a:ext cx="1009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314325</xdr:colOff>
      <xdr:row>133</xdr:row>
      <xdr:rowOff>76200</xdr:rowOff>
    </xdr:from>
    <xdr:to>
      <xdr:col>2</xdr:col>
      <xdr:colOff>523875</xdr:colOff>
      <xdr:row>135</xdr:row>
      <xdr:rowOff>66675</xdr:rowOff>
    </xdr:to>
    <xdr:pic>
      <xdr:nvPicPr>
        <xdr:cNvPr id="12" name="Picture 2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6622375"/>
          <a:ext cx="9429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314325</xdr:colOff>
      <xdr:row>138</xdr:row>
      <xdr:rowOff>57150</xdr:rowOff>
    </xdr:from>
    <xdr:to>
      <xdr:col>2</xdr:col>
      <xdr:colOff>533400</xdr:colOff>
      <xdr:row>140</xdr:row>
      <xdr:rowOff>38100</xdr:rowOff>
    </xdr:to>
    <xdr:pic>
      <xdr:nvPicPr>
        <xdr:cNvPr id="13" name="Picture 2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7574875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266700</xdr:colOff>
      <xdr:row>143</xdr:row>
      <xdr:rowOff>47625</xdr:rowOff>
    </xdr:from>
    <xdr:to>
      <xdr:col>2</xdr:col>
      <xdr:colOff>504825</xdr:colOff>
      <xdr:row>145</xdr:row>
      <xdr:rowOff>38100</xdr:rowOff>
    </xdr:to>
    <xdr:pic>
      <xdr:nvPicPr>
        <xdr:cNvPr id="14" name="Picture 2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28536900"/>
          <a:ext cx="9715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148</xdr:row>
      <xdr:rowOff>76200</xdr:rowOff>
    </xdr:from>
    <xdr:to>
      <xdr:col>2</xdr:col>
      <xdr:colOff>476250</xdr:colOff>
      <xdr:row>150</xdr:row>
      <xdr:rowOff>28575</xdr:rowOff>
    </xdr:to>
    <xdr:pic>
      <xdr:nvPicPr>
        <xdr:cNvPr id="15" name="Picture 2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95370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542925</xdr:colOff>
      <xdr:row>0</xdr:row>
      <xdr:rowOff>142875</xdr:rowOff>
    </xdr:from>
    <xdr:to>
      <xdr:col>38</xdr:col>
      <xdr:colOff>285750</xdr:colOff>
      <xdr:row>15</xdr:row>
      <xdr:rowOff>76200</xdr:rowOff>
    </xdr:to>
    <xdr:graphicFrame macro="">
      <xdr:nvGraphicFramePr>
        <xdr:cNvPr id="1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495300</xdr:colOff>
      <xdr:row>15</xdr:row>
      <xdr:rowOff>171450</xdr:rowOff>
    </xdr:from>
    <xdr:to>
      <xdr:col>38</xdr:col>
      <xdr:colOff>238125</xdr:colOff>
      <xdr:row>31</xdr:row>
      <xdr:rowOff>9525</xdr:rowOff>
    </xdr:to>
    <xdr:graphicFrame macro="">
      <xdr:nvGraphicFramePr>
        <xdr:cNvPr id="1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371475</xdr:colOff>
      <xdr:row>45</xdr:row>
      <xdr:rowOff>314325</xdr:rowOff>
    </xdr:from>
    <xdr:to>
      <xdr:col>38</xdr:col>
      <xdr:colOff>114300</xdr:colOff>
      <xdr:row>60</xdr:row>
      <xdr:rowOff>161925</xdr:rowOff>
    </xdr:to>
    <xdr:graphicFrame macro="">
      <xdr:nvGraphicFramePr>
        <xdr:cNvPr id="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371475</xdr:colOff>
      <xdr:row>60</xdr:row>
      <xdr:rowOff>123825</xdr:rowOff>
    </xdr:from>
    <xdr:to>
      <xdr:col>38</xdr:col>
      <xdr:colOff>114300</xdr:colOff>
      <xdr:row>76</xdr:row>
      <xdr:rowOff>161925</xdr:rowOff>
    </xdr:to>
    <xdr:graphicFrame macro="">
      <xdr:nvGraphicFramePr>
        <xdr:cNvPr id="1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iagnostic%20Imaging\Medical_Physics\Clinical%20QA\CT\CT\Revolution\2016\Acceptance%20testing\Revolution%20Acceptance%20testing-8-16-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yDept\RS\Diagnostic%20Imaging\Medical_Physics\Sam%20Duke%20Research\MISC\f-factor%208-11-16-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 Analysis"/>
      <sheetName val="CT Dosimetry"/>
      <sheetName val="CT scatter measurements"/>
      <sheetName val="Sheet1"/>
      <sheetName val="Sheet2"/>
      <sheetName val="Sensitometry"/>
    </sheetNames>
    <sheetDataSet>
      <sheetData sheetId="0"/>
      <sheetData sheetId="1"/>
      <sheetData sheetId="2"/>
      <sheetData sheetId="3"/>
      <sheetData sheetId="4"/>
      <sheetData sheetId="5">
        <row r="5">
          <cell r="D5">
            <v>-708.09299999999996</v>
          </cell>
          <cell r="G5">
            <v>4.47E-3</v>
          </cell>
          <cell r="N5">
            <v>-998.25099999999998</v>
          </cell>
          <cell r="Q5">
            <v>2.119E-4</v>
          </cell>
          <cell r="X5">
            <v>839.81299999999999</v>
          </cell>
          <cell r="AA5">
            <v>0.27681065500000002</v>
          </cell>
        </row>
        <row r="6">
          <cell r="D6">
            <v>-535.81899999999996</v>
          </cell>
          <cell r="G6">
            <v>6.8654875000000004E-2</v>
          </cell>
          <cell r="N6">
            <v>-825.89200000000005</v>
          </cell>
          <cell r="Q6">
            <v>3.1920000000000004E-2</v>
          </cell>
          <cell r="X6">
            <v>125.5</v>
          </cell>
          <cell r="AA6">
            <v>0.19202373062737388</v>
          </cell>
        </row>
        <row r="7">
          <cell r="D7">
            <v>-87.262</v>
          </cell>
          <cell r="G7">
            <v>0.15389839799999999</v>
          </cell>
          <cell r="N7">
            <v>-182.34399999999999</v>
          </cell>
          <cell r="Q7">
            <v>0.14939999999999998</v>
          </cell>
          <cell r="X7">
            <v>1.5</v>
          </cell>
          <cell r="AA7">
            <v>0.16909515812406892</v>
          </cell>
        </row>
        <row r="8">
          <cell r="D8">
            <v>-50.877000000000002</v>
          </cell>
          <cell r="G8">
            <v>0.15806726400000001</v>
          </cell>
          <cell r="N8">
            <v>-92.628</v>
          </cell>
          <cell r="Q8">
            <v>0.1656</v>
          </cell>
          <cell r="X8">
            <v>-86.24</v>
          </cell>
          <cell r="AA8">
            <v>0.15598253838035037</v>
          </cell>
        </row>
        <row r="9">
          <cell r="D9">
            <v>-3</v>
          </cell>
          <cell r="G9">
            <v>0.16451364600000001</v>
          </cell>
          <cell r="Q9">
            <v>0.81</v>
          </cell>
          <cell r="X9">
            <v>-997.65700000000004</v>
          </cell>
          <cell r="AA9">
            <v>9.7499999999999996E-4</v>
          </cell>
        </row>
        <row r="10">
          <cell r="D10">
            <v>23.597000000000001</v>
          </cell>
          <cell r="G10">
            <v>0.170764256</v>
          </cell>
          <cell r="N10">
            <v>-35.372</v>
          </cell>
          <cell r="Q10">
            <v>0.17510000000000001</v>
          </cell>
        </row>
        <row r="11">
          <cell r="D11">
            <v>64.498000000000005</v>
          </cell>
          <cell r="G11">
            <v>0.177806822</v>
          </cell>
          <cell r="N11">
            <v>123.09</v>
          </cell>
          <cell r="Q11">
            <v>0.20413999999999996</v>
          </cell>
        </row>
        <row r="12">
          <cell r="D12">
            <v>212.20599999999999</v>
          </cell>
          <cell r="G12">
            <v>0.190768312</v>
          </cell>
          <cell r="N12">
            <v>146.24299999999999</v>
          </cell>
          <cell r="Q12">
            <v>0.20633999999999997</v>
          </cell>
        </row>
        <row r="13">
          <cell r="D13">
            <v>220.761</v>
          </cell>
          <cell r="G13">
            <v>0.19250649</v>
          </cell>
          <cell r="N13">
            <v>308.41000000000003</v>
          </cell>
          <cell r="Q13">
            <v>0.24423999999999996</v>
          </cell>
        </row>
        <row r="14">
          <cell r="D14">
            <v>454.91699999999997</v>
          </cell>
          <cell r="G14">
            <v>0.22561484400000001</v>
          </cell>
          <cell r="N14">
            <v>615.61500000000001</v>
          </cell>
          <cell r="Q14">
            <v>0.27439999999999998</v>
          </cell>
        </row>
        <row r="15">
          <cell r="D15">
            <v>828.976</v>
          </cell>
          <cell r="G15">
            <v>0.27681065500000002</v>
          </cell>
          <cell r="N15">
            <v>885.22199999999998</v>
          </cell>
          <cell r="Q15">
            <v>0.34560000000000002</v>
          </cell>
        </row>
        <row r="16">
          <cell r="D16">
            <v>1260.172</v>
          </cell>
          <cell r="G16">
            <v>0.34006636299999998</v>
          </cell>
        </row>
        <row r="19">
          <cell r="D19">
            <v>-702.7</v>
          </cell>
          <cell r="G19">
            <v>5.0877848000000003E-2</v>
          </cell>
          <cell r="N19">
            <v>-1000.014</v>
          </cell>
          <cell r="Q19">
            <v>2.2359999999999996E-4</v>
          </cell>
          <cell r="X19">
            <v>905.43799999999999</v>
          </cell>
          <cell r="AA19">
            <v>0.34709722999999998</v>
          </cell>
        </row>
        <row r="20">
          <cell r="D20">
            <v>-533.20299999999997</v>
          </cell>
          <cell r="G20">
            <v>7.8087957E-2</v>
          </cell>
          <cell r="N20">
            <v>-828.07899999999995</v>
          </cell>
          <cell r="Q20">
            <v>3.3439999999999998E-2</v>
          </cell>
          <cell r="X20">
            <v>123.67700000000001</v>
          </cell>
          <cell r="AA20">
            <v>0.21338692610113993</v>
          </cell>
        </row>
        <row r="21">
          <cell r="D21">
            <v>-91.792000000000002</v>
          </cell>
          <cell r="G21">
            <v>0.16937625000000001</v>
          </cell>
          <cell r="N21">
            <v>-190.143</v>
          </cell>
          <cell r="Q21">
            <v>0.15520999999999999</v>
          </cell>
          <cell r="X21">
            <v>1.5860000000000001</v>
          </cell>
          <cell r="AA21">
            <v>0.18890020465341179</v>
          </cell>
        </row>
        <row r="22">
          <cell r="D22">
            <v>-51.16</v>
          </cell>
          <cell r="G22">
            <v>0.17541427200000001</v>
          </cell>
          <cell r="N22">
            <v>-101.414</v>
          </cell>
          <cell r="Q22">
            <v>0.17204</v>
          </cell>
          <cell r="X22">
            <v>-94.492000000000004</v>
          </cell>
          <cell r="AA22">
            <v>0.16910884692477446</v>
          </cell>
        </row>
        <row r="23">
          <cell r="D23">
            <v>-1</v>
          </cell>
          <cell r="G23">
            <v>0.18464618699999999</v>
          </cell>
          <cell r="Q23">
            <v>0.191</v>
          </cell>
          <cell r="X23">
            <v>-999.18299999999999</v>
          </cell>
          <cell r="AA23">
            <v>2.7533999999999995E-4</v>
          </cell>
        </row>
        <row r="24">
          <cell r="D24">
            <v>20.760999999999999</v>
          </cell>
          <cell r="G24">
            <v>0.18797396799999999</v>
          </cell>
          <cell r="N24">
            <v>-44.113999999999997</v>
          </cell>
          <cell r="Q24">
            <v>0.18334</v>
          </cell>
        </row>
        <row r="25">
          <cell r="D25">
            <v>71.558999999999997</v>
          </cell>
          <cell r="G25">
            <v>0.19957918199999999</v>
          </cell>
          <cell r="N25">
            <v>118.85</v>
          </cell>
          <cell r="Q25">
            <v>0.21357999999999999</v>
          </cell>
        </row>
        <row r="26">
          <cell r="D26">
            <v>228.25</v>
          </cell>
          <cell r="G26">
            <v>0.22629489999999999</v>
          </cell>
          <cell r="N26">
            <v>157.67099999999999</v>
          </cell>
          <cell r="Q26">
            <v>0.22344</v>
          </cell>
        </row>
        <row r="27">
          <cell r="D27">
            <v>237.9616</v>
          </cell>
          <cell r="G27">
            <v>0.22840081000000001</v>
          </cell>
          <cell r="N27">
            <v>297.51400000000001</v>
          </cell>
          <cell r="Q27">
            <v>0.25701999999999997</v>
          </cell>
        </row>
        <row r="28">
          <cell r="D28">
            <v>481.64400000000001</v>
          </cell>
          <cell r="G28">
            <v>0.27088828199999998</v>
          </cell>
          <cell r="N28">
            <v>665.35699999999997</v>
          </cell>
          <cell r="Q28">
            <v>0.30940000000000001</v>
          </cell>
        </row>
        <row r="29">
          <cell r="D29">
            <v>898.34</v>
          </cell>
          <cell r="G29">
            <v>0.34709722999999998</v>
          </cell>
          <cell r="N29">
            <v>882.82899999999995</v>
          </cell>
          <cell r="Q29">
            <v>0.36936000000000008</v>
          </cell>
        </row>
        <row r="30">
          <cell r="D30">
            <v>1371.4369999999999</v>
          </cell>
          <cell r="G30">
            <v>0.44049140199999998</v>
          </cell>
        </row>
        <row r="33">
          <cell r="D33">
            <v>-704.56</v>
          </cell>
          <cell r="G33">
            <v>5.9769667999999998E-2</v>
          </cell>
          <cell r="N33">
            <v>-1001.601</v>
          </cell>
          <cell r="Q33">
            <v>2.431E-4</v>
          </cell>
          <cell r="X33">
            <v>1021</v>
          </cell>
          <cell r="AA33">
            <v>0.46499412000000001</v>
          </cell>
        </row>
        <row r="34">
          <cell r="D34">
            <v>-534.73900000000003</v>
          </cell>
          <cell r="G34">
            <v>9.1664562000000005E-2</v>
          </cell>
          <cell r="N34">
            <v>-829.64599999999996</v>
          </cell>
          <cell r="Q34">
            <v>3.5529999999999999E-2</v>
          </cell>
          <cell r="X34">
            <v>120.28400000000001</v>
          </cell>
          <cell r="AA34">
            <v>0.24202624581263663</v>
          </cell>
        </row>
        <row r="35">
          <cell r="D35">
            <v>-97.341999999999999</v>
          </cell>
          <cell r="G35">
            <v>0.18979728000000001</v>
          </cell>
          <cell r="N35">
            <v>-201.34399999999999</v>
          </cell>
          <cell r="Q35">
            <v>0.16350999999999999</v>
          </cell>
          <cell r="X35">
            <v>1.4079999999999999</v>
          </cell>
          <cell r="AA35">
            <v>0.21677478944954517</v>
          </cell>
        </row>
        <row r="36">
          <cell r="D36">
            <v>-51.938000000000002</v>
          </cell>
          <cell r="G36">
            <v>0.19910265599999999</v>
          </cell>
          <cell r="N36">
            <v>-114.65600000000001</v>
          </cell>
          <cell r="Q36">
            <v>0.18124000000000001</v>
          </cell>
          <cell r="X36">
            <v>-106.944</v>
          </cell>
          <cell r="AA36">
            <v>0.18594723113416958</v>
          </cell>
        </row>
        <row r="37">
          <cell r="D37">
            <v>5.3209999999999997</v>
          </cell>
          <cell r="G37">
            <v>0.213217191</v>
          </cell>
          <cell r="Q37">
            <v>0.20599999999999999</v>
          </cell>
          <cell r="X37">
            <v>-999.38900000000001</v>
          </cell>
          <cell r="AA37">
            <v>2.4244999999999998E-4</v>
          </cell>
        </row>
        <row r="38">
          <cell r="D38">
            <v>14.374000000000001</v>
          </cell>
          <cell r="G38">
            <v>0.21064368</v>
          </cell>
          <cell r="N38">
            <v>-56.198</v>
          </cell>
          <cell r="Q38">
            <v>0.19261</v>
          </cell>
        </row>
        <row r="39">
          <cell r="D39">
            <v>77.927999999999997</v>
          </cell>
          <cell r="G39">
            <v>0.230476395</v>
          </cell>
          <cell r="N39">
            <v>111.30200000000001</v>
          </cell>
          <cell r="Q39">
            <v>0.22655999999999998</v>
          </cell>
        </row>
        <row r="40">
          <cell r="D40">
            <v>269.48</v>
          </cell>
          <cell r="G40">
            <v>0.28278382299999999</v>
          </cell>
          <cell r="N40">
            <v>184.37799999999999</v>
          </cell>
          <cell r="Q40">
            <v>0.25079999999999997</v>
          </cell>
        </row>
        <row r="41">
          <cell r="D41">
            <v>277.61200000000002</v>
          </cell>
          <cell r="G41">
            <v>0.28547882000000002</v>
          </cell>
          <cell r="N41">
            <v>301.06200000000001</v>
          </cell>
          <cell r="Q41">
            <v>0.27548</v>
          </cell>
        </row>
        <row r="42">
          <cell r="D42">
            <v>545.53399999999999</v>
          </cell>
          <cell r="G42">
            <v>0.34377789600000003</v>
          </cell>
          <cell r="N42">
            <v>764.38900000000001</v>
          </cell>
          <cell r="Q42">
            <v>0.37240000000000001</v>
          </cell>
        </row>
        <row r="43">
          <cell r="D43">
            <v>1025.1790000000001</v>
          </cell>
          <cell r="G43">
            <v>0.46499412000000001</v>
          </cell>
          <cell r="N43">
            <v>907.98299999999995</v>
          </cell>
          <cell r="Q43">
            <v>0.40608000000000005</v>
          </cell>
        </row>
        <row r="44">
          <cell r="D44">
            <v>1588.258</v>
          </cell>
          <cell r="G44">
            <v>0.61251599499999998</v>
          </cell>
        </row>
        <row r="47">
          <cell r="D47">
            <v>-703.10199999999998</v>
          </cell>
          <cell r="G47">
            <v>7.3911039999999997E-2</v>
          </cell>
          <cell r="N47">
            <v>-1005.583</v>
          </cell>
          <cell r="Q47">
            <v>2.7559999999999998E-4</v>
          </cell>
          <cell r="X47">
            <v>1256.0920000000001</v>
          </cell>
          <cell r="AA47">
            <v>0.69199655000000004</v>
          </cell>
        </row>
        <row r="48">
          <cell r="D48">
            <v>-538.24199999999996</v>
          </cell>
          <cell r="G48">
            <v>0.11321637700000001</v>
          </cell>
          <cell r="N48">
            <v>-834.34400000000005</v>
          </cell>
          <cell r="Q48">
            <v>3.9329999999999997E-2</v>
          </cell>
          <cell r="X48">
            <v>106.017</v>
          </cell>
          <cell r="AA48">
            <v>0.28299062019699966</v>
          </cell>
        </row>
        <row r="49">
          <cell r="D49">
            <v>-111.238</v>
          </cell>
          <cell r="G49">
            <v>0.21825324199999999</v>
          </cell>
          <cell r="N49">
            <v>-222.54499999999999</v>
          </cell>
          <cell r="Q49">
            <v>0.17512999999999998</v>
          </cell>
          <cell r="X49">
            <v>0.873</v>
          </cell>
          <cell r="AA49">
            <v>0.26006854041945049</v>
          </cell>
        </row>
        <row r="50">
          <cell r="D50">
            <v>-58.649000000000001</v>
          </cell>
          <cell r="G50">
            <v>0.23412777600000001</v>
          </cell>
          <cell r="N50">
            <v>-137.22900000000001</v>
          </cell>
          <cell r="Q50">
            <v>0.19412000000000001</v>
          </cell>
          <cell r="X50">
            <v>-129.06299999999999</v>
          </cell>
          <cell r="AA50">
            <v>0.20880180096100093</v>
          </cell>
        </row>
        <row r="51">
          <cell r="D51">
            <v>5.9950000000000001</v>
          </cell>
          <cell r="G51">
            <v>0.25807349699999999</v>
          </cell>
          <cell r="Q51">
            <v>0.23300000000000001</v>
          </cell>
          <cell r="X51">
            <v>-1001.146</v>
          </cell>
          <cell r="AA51">
            <v>2.2411999999999999E-4</v>
          </cell>
        </row>
        <row r="52">
          <cell r="D52">
            <v>4.5579999999999998</v>
          </cell>
          <cell r="G52">
            <v>0.24223825600000001</v>
          </cell>
          <cell r="N52">
            <v>-76.885000000000005</v>
          </cell>
          <cell r="Q52">
            <v>0.20806000000000002</v>
          </cell>
        </row>
        <row r="53">
          <cell r="D53">
            <v>82.523300000000006</v>
          </cell>
          <cell r="G53">
            <v>0.278989553</v>
          </cell>
          <cell r="N53">
            <v>96.17</v>
          </cell>
          <cell r="Q53">
            <v>0.25015999999999999</v>
          </cell>
        </row>
        <row r="54">
          <cell r="D54">
            <v>337.94</v>
          </cell>
          <cell r="G54">
            <v>0.385301375</v>
          </cell>
          <cell r="N54">
            <v>223.559</v>
          </cell>
          <cell r="Q54">
            <v>0.30780000000000002</v>
          </cell>
        </row>
        <row r="55">
          <cell r="D55">
            <v>336.58800000000002</v>
          </cell>
          <cell r="G55">
            <v>0.38907814000000002</v>
          </cell>
          <cell r="N55">
            <v>300.46499999999997</v>
          </cell>
          <cell r="Q55">
            <v>0.30671999999999999</v>
          </cell>
        </row>
        <row r="56">
          <cell r="D56">
            <v>646.53</v>
          </cell>
          <cell r="G56">
            <v>0.47822191200000003</v>
          </cell>
          <cell r="N56">
            <v>925.24</v>
          </cell>
          <cell r="Q56">
            <v>0.50539999999999996</v>
          </cell>
        </row>
        <row r="57">
          <cell r="D57">
            <v>1238.703</v>
          </cell>
          <cell r="G57">
            <v>0.69199655000000004</v>
          </cell>
          <cell r="N57">
            <v>944.47900000000004</v>
          </cell>
          <cell r="Q57">
            <v>0.47736000000000006</v>
          </cell>
        </row>
        <row r="58">
          <cell r="D58">
            <v>1927.7</v>
          </cell>
          <cell r="G58">
            <v>0.95065068799999997</v>
          </cell>
        </row>
        <row r="61">
          <cell r="D61">
            <v>-711.01599999999996</v>
          </cell>
          <cell r="G61">
            <v>0.21346648400000001</v>
          </cell>
          <cell r="N61">
            <v>-1012.872</v>
          </cell>
          <cell r="Q61">
            <v>9.7499999999999996E-4</v>
          </cell>
          <cell r="X61">
            <v>1472</v>
          </cell>
          <cell r="AA61">
            <v>4.6675927750000001</v>
          </cell>
        </row>
        <row r="62">
          <cell r="D62">
            <v>-536.48699999999997</v>
          </cell>
          <cell r="G62">
            <v>0.32457032099999999</v>
          </cell>
          <cell r="N62">
            <v>-842.53800000000001</v>
          </cell>
          <cell r="Q62">
            <v>0.11058</v>
          </cell>
          <cell r="X62">
            <v>92.024000000000001</v>
          </cell>
          <cell r="AA62">
            <v>0.53863605277549587</v>
          </cell>
        </row>
        <row r="63">
          <cell r="D63">
            <v>-126.405</v>
          </cell>
          <cell r="G63">
            <v>0.392320844</v>
          </cell>
          <cell r="N63">
            <v>-240.59700000000001</v>
          </cell>
          <cell r="Q63">
            <v>0.35855999999999999</v>
          </cell>
          <cell r="X63">
            <v>1.1459999999999999</v>
          </cell>
          <cell r="AA63">
            <v>0.6936008502639357</v>
          </cell>
        </row>
        <row r="64">
          <cell r="D64">
            <v>-63.552999999999997</v>
          </cell>
          <cell r="G64">
            <v>0.53009817599999998</v>
          </cell>
          <cell r="N64">
            <v>-158</v>
          </cell>
          <cell r="Q64">
            <v>0.39744000000000002</v>
          </cell>
          <cell r="X64">
            <v>-148.14599999999999</v>
          </cell>
          <cell r="AA64">
            <v>0.33160810602578489</v>
          </cell>
        </row>
        <row r="65">
          <cell r="D65">
            <v>15</v>
          </cell>
          <cell r="G65">
            <v>0.73755316800000004</v>
          </cell>
          <cell r="Q65">
            <v>0.81</v>
          </cell>
          <cell r="X65">
            <v>-1005</v>
          </cell>
          <cell r="AA65">
            <v>2.119E-4</v>
          </cell>
        </row>
        <row r="66">
          <cell r="D66">
            <v>-2.0449999999999999</v>
          </cell>
          <cell r="G66">
            <v>0.433439136</v>
          </cell>
          <cell r="N66">
            <v>-97.375</v>
          </cell>
          <cell r="Q66">
            <v>0.44908000000000003</v>
          </cell>
        </row>
        <row r="67">
          <cell r="D67">
            <v>82.948999999999998</v>
          </cell>
          <cell r="G67">
            <v>0.79748469600000005</v>
          </cell>
          <cell r="N67">
            <v>85.049000000000007</v>
          </cell>
          <cell r="Q67">
            <v>0.67377999999999993</v>
          </cell>
        </row>
        <row r="68">
          <cell r="D68">
            <v>427</v>
          </cell>
          <cell r="G68">
            <v>1.9526258910000001</v>
          </cell>
          <cell r="N68">
            <v>263.55900000000003</v>
          </cell>
          <cell r="Q68">
            <v>1.6073999999999997</v>
          </cell>
        </row>
        <row r="69">
          <cell r="D69">
            <v>430</v>
          </cell>
          <cell r="G69">
            <v>1.9731000299999999</v>
          </cell>
          <cell r="N69">
            <v>308.69400000000002</v>
          </cell>
          <cell r="Q69">
            <v>0.94145999999999996</v>
          </cell>
        </row>
        <row r="70">
          <cell r="D70">
            <v>790.62</v>
          </cell>
          <cell r="G70">
            <v>2.6508462119999998</v>
          </cell>
          <cell r="N70">
            <v>1101.1980000000001</v>
          </cell>
          <cell r="Q70">
            <v>3.7379999999999995</v>
          </cell>
        </row>
        <row r="71">
          <cell r="D71">
            <v>1521.635</v>
          </cell>
          <cell r="G71">
            <v>5.0199999999999996</v>
          </cell>
          <cell r="N71">
            <v>1006.083</v>
          </cell>
          <cell r="Q71">
            <v>2.0887199999999999</v>
          </cell>
        </row>
        <row r="72">
          <cell r="D72">
            <v>2375.9180000000001</v>
          </cell>
          <cell r="G72">
            <v>7.6304999999999996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factors used in CTA Hurwitz"/>
      <sheetName val="summary comments 11-30-06"/>
      <sheetName val="lung tissue 11-29-06"/>
      <sheetName val="breast tissue 11-13-06"/>
      <sheetName val="ANTHRO Phan Data"/>
      <sheetName val="soft tissue11-14-06"/>
      <sheetName val="Adipose tissue"/>
      <sheetName val="Brain 11-11-08"/>
      <sheetName val="Cortical Bone 11-11-08"/>
      <sheetName val="soft tissue 120-140 kVp"/>
      <sheetName val="Lung 9-17-08"/>
      <sheetName val="effective E estimate"/>
      <sheetName val="Plexiglass"/>
      <sheetName val="Gammex sensitometry phantom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2">
          <cell r="N92" t="str">
            <v>C</v>
          </cell>
          <cell r="Q92" t="str">
            <v>N</v>
          </cell>
          <cell r="T92" t="str">
            <v>Cl</v>
          </cell>
          <cell r="W92" t="str">
            <v>Ca</v>
          </cell>
          <cell r="Z92" t="str">
            <v>P</v>
          </cell>
          <cell r="AC92" t="str">
            <v>Na</v>
          </cell>
          <cell r="AF92" t="str">
            <v>Mg</v>
          </cell>
          <cell r="AI92" t="str">
            <v>Si</v>
          </cell>
          <cell r="AL92" t="str">
            <v>B</v>
          </cell>
        </row>
        <row r="95">
          <cell r="H95">
            <v>0.01</v>
          </cell>
          <cell r="I95">
            <v>0.38540000000000002</v>
          </cell>
          <cell r="T95">
            <v>0.01</v>
          </cell>
          <cell r="U95">
            <v>57.25</v>
          </cell>
          <cell r="W95">
            <v>0.01</v>
          </cell>
          <cell r="X95">
            <v>93.41</v>
          </cell>
          <cell r="Z95">
            <v>0.01</v>
          </cell>
          <cell r="AA95">
            <v>40.35</v>
          </cell>
          <cell r="AC95">
            <v>0.01</v>
          </cell>
          <cell r="AD95">
            <v>15.57</v>
          </cell>
          <cell r="AF95">
            <v>0.01</v>
          </cell>
          <cell r="AG95">
            <v>21.05</v>
          </cell>
          <cell r="AI95">
            <v>0.01</v>
          </cell>
          <cell r="AJ95">
            <v>33.89</v>
          </cell>
          <cell r="AL95">
            <v>0.01</v>
          </cell>
          <cell r="AM95">
            <v>1.2549999999999999</v>
          </cell>
        </row>
        <row r="96">
          <cell r="H96">
            <v>1.4999999999999999E-2</v>
          </cell>
          <cell r="I96">
            <v>0.37640000000000001</v>
          </cell>
          <cell r="T96">
            <v>1.4999999999999999E-2</v>
          </cell>
          <cell r="U96">
            <v>17.84</v>
          </cell>
          <cell r="W96">
            <v>1.4999999999999999E-2</v>
          </cell>
          <cell r="X96">
            <v>29.79</v>
          </cell>
          <cell r="Z96">
            <v>1.4999999999999999E-2</v>
          </cell>
          <cell r="AA96">
            <v>12.39</v>
          </cell>
          <cell r="AC96">
            <v>1.4999999999999999E-2</v>
          </cell>
          <cell r="AD96">
            <v>4.694</v>
          </cell>
          <cell r="AF96">
            <v>1.4999999999999999E-2</v>
          </cell>
          <cell r="AG96">
            <v>6.3579999999999997</v>
          </cell>
          <cell r="AI96">
            <v>1.4999999999999999E-2</v>
          </cell>
          <cell r="AJ96">
            <v>10.34</v>
          </cell>
          <cell r="AL96">
            <v>1.4999999999999999E-2</v>
          </cell>
          <cell r="AM96">
            <v>0.48270000000000002</v>
          </cell>
        </row>
        <row r="97">
          <cell r="H97">
            <v>0.02</v>
          </cell>
          <cell r="I97">
            <v>0.3695</v>
          </cell>
          <cell r="K97">
            <v>0.02</v>
          </cell>
          <cell r="L97">
            <v>0.86509999999999998</v>
          </cell>
          <cell r="N97">
            <v>0.02</v>
          </cell>
          <cell r="O97">
            <v>0.442</v>
          </cell>
          <cell r="Q97">
            <v>0.02</v>
          </cell>
          <cell r="R97">
            <v>0.61780000000000002</v>
          </cell>
          <cell r="T97">
            <v>0.02</v>
          </cell>
          <cell r="U97">
            <v>7.7389999999999999</v>
          </cell>
          <cell r="W97">
            <v>0.02</v>
          </cell>
          <cell r="X97">
            <v>13.06</v>
          </cell>
          <cell r="Z97">
            <v>0.02</v>
          </cell>
          <cell r="AA97">
            <v>5.3520000000000003</v>
          </cell>
          <cell r="AC97">
            <v>0.02</v>
          </cell>
          <cell r="AD97">
            <v>2.0569999999999999</v>
          </cell>
          <cell r="AF97">
            <v>0.02</v>
          </cell>
          <cell r="AG97">
            <v>2.7629999999999999</v>
          </cell>
          <cell r="AI97">
            <v>0.02</v>
          </cell>
          <cell r="AJ97">
            <v>4.4640000000000004</v>
          </cell>
          <cell r="AL97">
            <v>0.02</v>
          </cell>
          <cell r="AM97">
            <v>0.3014</v>
          </cell>
        </row>
        <row r="98">
          <cell r="H98">
            <v>0.03</v>
          </cell>
          <cell r="I98">
            <v>0.35699999999999998</v>
          </cell>
          <cell r="K98">
            <v>0.03</v>
          </cell>
          <cell r="L98">
            <v>0.37790000000000001</v>
          </cell>
          <cell r="N98">
            <v>0.03</v>
          </cell>
          <cell r="O98">
            <v>0.25619999999999998</v>
          </cell>
          <cell r="Q98">
            <v>0.03</v>
          </cell>
          <cell r="R98">
            <v>0.30659999999999998</v>
          </cell>
          <cell r="T98">
            <v>0.03</v>
          </cell>
          <cell r="U98">
            <v>2.4249999999999998</v>
          </cell>
          <cell r="W98">
            <v>0.03</v>
          </cell>
          <cell r="X98">
            <v>4.08</v>
          </cell>
          <cell r="Z98">
            <v>0.03</v>
          </cell>
          <cell r="AA98">
            <v>1.7</v>
          </cell>
          <cell r="AC98">
            <v>0.03</v>
          </cell>
          <cell r="AD98">
            <v>0.71970000000000001</v>
          </cell>
          <cell r="AF98">
            <v>0.03</v>
          </cell>
          <cell r="AG98">
            <v>0.93059999999999998</v>
          </cell>
          <cell r="AI98">
            <v>0.03</v>
          </cell>
          <cell r="AJ98">
            <v>1.4359999999999999</v>
          </cell>
          <cell r="AL98">
            <v>0.03</v>
          </cell>
          <cell r="AM98">
            <v>0.20630000000000001</v>
          </cell>
        </row>
        <row r="99">
          <cell r="H99">
            <v>0.04</v>
          </cell>
          <cell r="I99">
            <v>0.3458</v>
          </cell>
          <cell r="K99">
            <v>0.04</v>
          </cell>
          <cell r="L99">
            <v>0.25850000000000001</v>
          </cell>
          <cell r="N99">
            <v>0.04</v>
          </cell>
          <cell r="O99">
            <v>0.20760000000000001</v>
          </cell>
          <cell r="Q99">
            <v>0.04</v>
          </cell>
          <cell r="R99">
            <v>0.2288</v>
          </cell>
          <cell r="T99">
            <v>0.04</v>
          </cell>
          <cell r="U99">
            <v>1.117</v>
          </cell>
          <cell r="W99">
            <v>0.04</v>
          </cell>
          <cell r="X99">
            <v>1.83</v>
          </cell>
          <cell r="Z99">
            <v>0.04</v>
          </cell>
          <cell r="AA99">
            <v>0.80959999999999999</v>
          </cell>
          <cell r="AC99">
            <v>0.04</v>
          </cell>
          <cell r="AD99">
            <v>0.39689999999999998</v>
          </cell>
          <cell r="AF99">
            <v>0.04</v>
          </cell>
          <cell r="AG99">
            <v>0.48809999999999998</v>
          </cell>
          <cell r="AI99">
            <v>0.04</v>
          </cell>
          <cell r="AJ99">
            <v>0.70120000000000005</v>
          </cell>
          <cell r="AL99">
            <v>0.04</v>
          </cell>
          <cell r="AM99">
            <v>0.17929999999999999</v>
          </cell>
        </row>
        <row r="100">
          <cell r="H100">
            <v>0.05</v>
          </cell>
          <cell r="I100">
            <v>0.33550000000000002</v>
          </cell>
          <cell r="K100">
            <v>0.05</v>
          </cell>
          <cell r="L100">
            <v>0.2132</v>
          </cell>
          <cell r="N100">
            <v>0.05</v>
          </cell>
          <cell r="O100">
            <v>0.18709999999999999</v>
          </cell>
          <cell r="Q100">
            <v>0.05</v>
          </cell>
          <cell r="R100">
            <v>0.19800000000000001</v>
          </cell>
          <cell r="T100">
            <v>0.05</v>
          </cell>
          <cell r="U100">
            <v>0.64829999999999999</v>
          </cell>
          <cell r="W100">
            <v>0.05</v>
          </cell>
          <cell r="X100">
            <v>1.0189999999999999</v>
          </cell>
          <cell r="Z100">
            <v>0.05</v>
          </cell>
          <cell r="AA100">
            <v>0.49159999999999998</v>
          </cell>
          <cell r="AC100">
            <v>0.05</v>
          </cell>
          <cell r="AD100">
            <v>0.28039999999999998</v>
          </cell>
          <cell r="AF100">
            <v>0.05</v>
          </cell>
          <cell r="AG100">
            <v>0.32919999999999999</v>
          </cell>
          <cell r="AI100">
            <v>0.05</v>
          </cell>
          <cell r="AJ100">
            <v>0.4385</v>
          </cell>
          <cell r="AL100">
            <v>0.05</v>
          </cell>
          <cell r="AM100">
            <v>0.16650000000000001</v>
          </cell>
        </row>
        <row r="101">
          <cell r="H101">
            <v>0.06</v>
          </cell>
          <cell r="I101">
            <v>0.32600000000000001</v>
          </cell>
          <cell r="K101">
            <v>0.06</v>
          </cell>
          <cell r="L101">
            <v>0.19070000000000001</v>
          </cell>
          <cell r="N101">
            <v>0.06</v>
          </cell>
          <cell r="O101">
            <v>0.17530000000000001</v>
          </cell>
          <cell r="Q101">
            <v>0.06</v>
          </cell>
          <cell r="R101">
            <v>0.1817</v>
          </cell>
          <cell r="T101">
            <v>0.06</v>
          </cell>
          <cell r="U101">
            <v>0.4395</v>
          </cell>
          <cell r="W101">
            <v>0.06</v>
          </cell>
          <cell r="X101">
            <v>0.65780000000000005</v>
          </cell>
          <cell r="Z101">
            <v>0.06</v>
          </cell>
          <cell r="AA101">
            <v>0.34939999999999999</v>
          </cell>
          <cell r="AC101">
            <v>0.06</v>
          </cell>
          <cell r="AD101">
            <v>0.2268</v>
          </cell>
          <cell r="AF101">
            <v>0.06</v>
          </cell>
          <cell r="AG101">
            <v>0.25700000000000001</v>
          </cell>
          <cell r="AI101">
            <v>0.06</v>
          </cell>
          <cell r="AJ101">
            <v>0.32069999999999999</v>
          </cell>
          <cell r="AL101">
            <v>0.06</v>
          </cell>
          <cell r="AM101">
            <v>0.1583</v>
          </cell>
        </row>
        <row r="102">
          <cell r="H102">
            <v>0.08</v>
          </cell>
          <cell r="I102">
            <v>0.30909999999999999</v>
          </cell>
          <cell r="K102">
            <v>0.08</v>
          </cell>
          <cell r="L102">
            <v>0.1678</v>
          </cell>
          <cell r="N102">
            <v>0.08</v>
          </cell>
          <cell r="O102">
            <v>0.161</v>
          </cell>
          <cell r="Q102">
            <v>0.08</v>
          </cell>
          <cell r="R102">
            <v>0.16389999999999999</v>
          </cell>
          <cell r="T102">
            <v>0.08</v>
          </cell>
          <cell r="U102">
            <v>0.26960000000000001</v>
          </cell>
          <cell r="W102">
            <v>0.08</v>
          </cell>
          <cell r="X102">
            <v>0.36559999999999998</v>
          </cell>
          <cell r="Z102">
            <v>0.08</v>
          </cell>
          <cell r="AA102">
            <v>0.2324</v>
          </cell>
          <cell r="AC102">
            <v>0.08</v>
          </cell>
          <cell r="AD102">
            <v>0.17960000000000001</v>
          </cell>
          <cell r="AF102">
            <v>0.08</v>
          </cell>
          <cell r="AG102">
            <v>0.1951</v>
          </cell>
          <cell r="AI102">
            <v>0.08</v>
          </cell>
          <cell r="AJ102">
            <v>0.2228</v>
          </cell>
          <cell r="AL102">
            <v>0.08</v>
          </cell>
          <cell r="AM102">
            <v>0.1472</v>
          </cell>
        </row>
        <row r="103">
          <cell r="H103">
            <v>0.1</v>
          </cell>
          <cell r="I103">
            <v>0.2944</v>
          </cell>
          <cell r="K103">
            <v>0.1</v>
          </cell>
          <cell r="L103">
            <v>0.15509999999999999</v>
          </cell>
          <cell r="N103">
            <v>0.1</v>
          </cell>
          <cell r="O103">
            <v>0.15140000000000001</v>
          </cell>
          <cell r="Q103">
            <v>0.1</v>
          </cell>
          <cell r="R103">
            <v>0.15290000000000001</v>
          </cell>
          <cell r="T103">
            <v>0.1</v>
          </cell>
          <cell r="U103">
            <v>0.20499999999999999</v>
          </cell>
          <cell r="W103">
            <v>0.1</v>
          </cell>
          <cell r="X103">
            <v>0.2571</v>
          </cell>
          <cell r="Z103">
            <v>0.1</v>
          </cell>
          <cell r="AA103">
            <v>0.1865</v>
          </cell>
          <cell r="AC103">
            <v>0.1</v>
          </cell>
          <cell r="AD103">
            <v>0.1585</v>
          </cell>
          <cell r="AF103">
            <v>0.1</v>
          </cell>
          <cell r="AG103">
            <v>0.1686</v>
          </cell>
          <cell r="AI103">
            <v>0.1</v>
          </cell>
          <cell r="AJ103">
            <v>0.1835</v>
          </cell>
          <cell r="AL103">
            <v>0.1</v>
          </cell>
          <cell r="AM103">
            <v>0.1391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0"/>
  <sheetViews>
    <sheetView tabSelected="1" workbookViewId="0">
      <selection activeCell="Y26" sqref="Y26"/>
    </sheetView>
  </sheetViews>
  <sheetFormatPr defaultRowHeight="15" x14ac:dyDescent="0.25"/>
  <cols>
    <col min="1" max="1" width="9.28515625" bestFit="1" customWidth="1"/>
    <col min="2" max="2" width="17.85546875" customWidth="1"/>
    <col min="3" max="4" width="9.28515625" bestFit="1" customWidth="1"/>
    <col min="5" max="6" width="9.5703125" bestFit="1" customWidth="1"/>
    <col min="7" max="8" width="9.28515625" bestFit="1" customWidth="1"/>
    <col min="257" max="257" width="9.28515625" bestFit="1" customWidth="1"/>
    <col min="258" max="258" width="17.85546875" customWidth="1"/>
    <col min="259" max="260" width="9.28515625" bestFit="1" customWidth="1"/>
    <col min="261" max="262" width="9.5703125" bestFit="1" customWidth="1"/>
    <col min="263" max="264" width="9.28515625" bestFit="1" customWidth="1"/>
    <col min="513" max="513" width="9.28515625" bestFit="1" customWidth="1"/>
    <col min="514" max="514" width="17.85546875" customWidth="1"/>
    <col min="515" max="516" width="9.28515625" bestFit="1" customWidth="1"/>
    <col min="517" max="518" width="9.5703125" bestFit="1" customWidth="1"/>
    <col min="519" max="520" width="9.28515625" bestFit="1" customWidth="1"/>
    <col min="769" max="769" width="9.28515625" bestFit="1" customWidth="1"/>
    <col min="770" max="770" width="17.85546875" customWidth="1"/>
    <col min="771" max="772" width="9.28515625" bestFit="1" customWidth="1"/>
    <col min="773" max="774" width="9.5703125" bestFit="1" customWidth="1"/>
    <col min="775" max="776" width="9.28515625" bestFit="1" customWidth="1"/>
    <col min="1025" max="1025" width="9.28515625" bestFit="1" customWidth="1"/>
    <col min="1026" max="1026" width="17.85546875" customWidth="1"/>
    <col min="1027" max="1028" width="9.28515625" bestFit="1" customWidth="1"/>
    <col min="1029" max="1030" width="9.5703125" bestFit="1" customWidth="1"/>
    <col min="1031" max="1032" width="9.28515625" bestFit="1" customWidth="1"/>
    <col min="1281" max="1281" width="9.28515625" bestFit="1" customWidth="1"/>
    <col min="1282" max="1282" width="17.85546875" customWidth="1"/>
    <col min="1283" max="1284" width="9.28515625" bestFit="1" customWidth="1"/>
    <col min="1285" max="1286" width="9.5703125" bestFit="1" customWidth="1"/>
    <col min="1287" max="1288" width="9.28515625" bestFit="1" customWidth="1"/>
    <col min="1537" max="1537" width="9.28515625" bestFit="1" customWidth="1"/>
    <col min="1538" max="1538" width="17.85546875" customWidth="1"/>
    <col min="1539" max="1540" width="9.28515625" bestFit="1" customWidth="1"/>
    <col min="1541" max="1542" width="9.5703125" bestFit="1" customWidth="1"/>
    <col min="1543" max="1544" width="9.28515625" bestFit="1" customWidth="1"/>
    <col min="1793" max="1793" width="9.28515625" bestFit="1" customWidth="1"/>
    <col min="1794" max="1794" width="17.85546875" customWidth="1"/>
    <col min="1795" max="1796" width="9.28515625" bestFit="1" customWidth="1"/>
    <col min="1797" max="1798" width="9.5703125" bestFit="1" customWidth="1"/>
    <col min="1799" max="1800" width="9.28515625" bestFit="1" customWidth="1"/>
    <col min="2049" max="2049" width="9.28515625" bestFit="1" customWidth="1"/>
    <col min="2050" max="2050" width="17.85546875" customWidth="1"/>
    <col min="2051" max="2052" width="9.28515625" bestFit="1" customWidth="1"/>
    <col min="2053" max="2054" width="9.5703125" bestFit="1" customWidth="1"/>
    <col min="2055" max="2056" width="9.28515625" bestFit="1" customWidth="1"/>
    <col min="2305" max="2305" width="9.28515625" bestFit="1" customWidth="1"/>
    <col min="2306" max="2306" width="17.85546875" customWidth="1"/>
    <col min="2307" max="2308" width="9.28515625" bestFit="1" customWidth="1"/>
    <col min="2309" max="2310" width="9.5703125" bestFit="1" customWidth="1"/>
    <col min="2311" max="2312" width="9.28515625" bestFit="1" customWidth="1"/>
    <col min="2561" max="2561" width="9.28515625" bestFit="1" customWidth="1"/>
    <col min="2562" max="2562" width="17.85546875" customWidth="1"/>
    <col min="2563" max="2564" width="9.28515625" bestFit="1" customWidth="1"/>
    <col min="2565" max="2566" width="9.5703125" bestFit="1" customWidth="1"/>
    <col min="2567" max="2568" width="9.28515625" bestFit="1" customWidth="1"/>
    <col min="2817" max="2817" width="9.28515625" bestFit="1" customWidth="1"/>
    <col min="2818" max="2818" width="17.85546875" customWidth="1"/>
    <col min="2819" max="2820" width="9.28515625" bestFit="1" customWidth="1"/>
    <col min="2821" max="2822" width="9.5703125" bestFit="1" customWidth="1"/>
    <col min="2823" max="2824" width="9.28515625" bestFit="1" customWidth="1"/>
    <col min="3073" max="3073" width="9.28515625" bestFit="1" customWidth="1"/>
    <col min="3074" max="3074" width="17.85546875" customWidth="1"/>
    <col min="3075" max="3076" width="9.28515625" bestFit="1" customWidth="1"/>
    <col min="3077" max="3078" width="9.5703125" bestFit="1" customWidth="1"/>
    <col min="3079" max="3080" width="9.28515625" bestFit="1" customWidth="1"/>
    <col min="3329" max="3329" width="9.28515625" bestFit="1" customWidth="1"/>
    <col min="3330" max="3330" width="17.85546875" customWidth="1"/>
    <col min="3331" max="3332" width="9.28515625" bestFit="1" customWidth="1"/>
    <col min="3333" max="3334" width="9.5703125" bestFit="1" customWidth="1"/>
    <col min="3335" max="3336" width="9.28515625" bestFit="1" customWidth="1"/>
    <col min="3585" max="3585" width="9.28515625" bestFit="1" customWidth="1"/>
    <col min="3586" max="3586" width="17.85546875" customWidth="1"/>
    <col min="3587" max="3588" width="9.28515625" bestFit="1" customWidth="1"/>
    <col min="3589" max="3590" width="9.5703125" bestFit="1" customWidth="1"/>
    <col min="3591" max="3592" width="9.28515625" bestFit="1" customWidth="1"/>
    <col min="3841" max="3841" width="9.28515625" bestFit="1" customWidth="1"/>
    <col min="3842" max="3842" width="17.85546875" customWidth="1"/>
    <col min="3843" max="3844" width="9.28515625" bestFit="1" customWidth="1"/>
    <col min="3845" max="3846" width="9.5703125" bestFit="1" customWidth="1"/>
    <col min="3847" max="3848" width="9.28515625" bestFit="1" customWidth="1"/>
    <col min="4097" max="4097" width="9.28515625" bestFit="1" customWidth="1"/>
    <col min="4098" max="4098" width="17.85546875" customWidth="1"/>
    <col min="4099" max="4100" width="9.28515625" bestFit="1" customWidth="1"/>
    <col min="4101" max="4102" width="9.5703125" bestFit="1" customWidth="1"/>
    <col min="4103" max="4104" width="9.28515625" bestFit="1" customWidth="1"/>
    <col min="4353" max="4353" width="9.28515625" bestFit="1" customWidth="1"/>
    <col min="4354" max="4354" width="17.85546875" customWidth="1"/>
    <col min="4355" max="4356" width="9.28515625" bestFit="1" customWidth="1"/>
    <col min="4357" max="4358" width="9.5703125" bestFit="1" customWidth="1"/>
    <col min="4359" max="4360" width="9.28515625" bestFit="1" customWidth="1"/>
    <col min="4609" max="4609" width="9.28515625" bestFit="1" customWidth="1"/>
    <col min="4610" max="4610" width="17.85546875" customWidth="1"/>
    <col min="4611" max="4612" width="9.28515625" bestFit="1" customWidth="1"/>
    <col min="4613" max="4614" width="9.5703125" bestFit="1" customWidth="1"/>
    <col min="4615" max="4616" width="9.28515625" bestFit="1" customWidth="1"/>
    <col min="4865" max="4865" width="9.28515625" bestFit="1" customWidth="1"/>
    <col min="4866" max="4866" width="17.85546875" customWidth="1"/>
    <col min="4867" max="4868" width="9.28515625" bestFit="1" customWidth="1"/>
    <col min="4869" max="4870" width="9.5703125" bestFit="1" customWidth="1"/>
    <col min="4871" max="4872" width="9.28515625" bestFit="1" customWidth="1"/>
    <col min="5121" max="5121" width="9.28515625" bestFit="1" customWidth="1"/>
    <col min="5122" max="5122" width="17.85546875" customWidth="1"/>
    <col min="5123" max="5124" width="9.28515625" bestFit="1" customWidth="1"/>
    <col min="5125" max="5126" width="9.5703125" bestFit="1" customWidth="1"/>
    <col min="5127" max="5128" width="9.28515625" bestFit="1" customWidth="1"/>
    <col min="5377" max="5377" width="9.28515625" bestFit="1" customWidth="1"/>
    <col min="5378" max="5378" width="17.85546875" customWidth="1"/>
    <col min="5379" max="5380" width="9.28515625" bestFit="1" customWidth="1"/>
    <col min="5381" max="5382" width="9.5703125" bestFit="1" customWidth="1"/>
    <col min="5383" max="5384" width="9.28515625" bestFit="1" customWidth="1"/>
    <col min="5633" max="5633" width="9.28515625" bestFit="1" customWidth="1"/>
    <col min="5634" max="5634" width="17.85546875" customWidth="1"/>
    <col min="5635" max="5636" width="9.28515625" bestFit="1" customWidth="1"/>
    <col min="5637" max="5638" width="9.5703125" bestFit="1" customWidth="1"/>
    <col min="5639" max="5640" width="9.28515625" bestFit="1" customWidth="1"/>
    <col min="5889" max="5889" width="9.28515625" bestFit="1" customWidth="1"/>
    <col min="5890" max="5890" width="17.85546875" customWidth="1"/>
    <col min="5891" max="5892" width="9.28515625" bestFit="1" customWidth="1"/>
    <col min="5893" max="5894" width="9.5703125" bestFit="1" customWidth="1"/>
    <col min="5895" max="5896" width="9.28515625" bestFit="1" customWidth="1"/>
    <col min="6145" max="6145" width="9.28515625" bestFit="1" customWidth="1"/>
    <col min="6146" max="6146" width="17.85546875" customWidth="1"/>
    <col min="6147" max="6148" width="9.28515625" bestFit="1" customWidth="1"/>
    <col min="6149" max="6150" width="9.5703125" bestFit="1" customWidth="1"/>
    <col min="6151" max="6152" width="9.28515625" bestFit="1" customWidth="1"/>
    <col min="6401" max="6401" width="9.28515625" bestFit="1" customWidth="1"/>
    <col min="6402" max="6402" width="17.85546875" customWidth="1"/>
    <col min="6403" max="6404" width="9.28515625" bestFit="1" customWidth="1"/>
    <col min="6405" max="6406" width="9.5703125" bestFit="1" customWidth="1"/>
    <col min="6407" max="6408" width="9.28515625" bestFit="1" customWidth="1"/>
    <col min="6657" max="6657" width="9.28515625" bestFit="1" customWidth="1"/>
    <col min="6658" max="6658" width="17.85546875" customWidth="1"/>
    <col min="6659" max="6660" width="9.28515625" bestFit="1" customWidth="1"/>
    <col min="6661" max="6662" width="9.5703125" bestFit="1" customWidth="1"/>
    <col min="6663" max="6664" width="9.28515625" bestFit="1" customWidth="1"/>
    <col min="6913" max="6913" width="9.28515625" bestFit="1" customWidth="1"/>
    <col min="6914" max="6914" width="17.85546875" customWidth="1"/>
    <col min="6915" max="6916" width="9.28515625" bestFit="1" customWidth="1"/>
    <col min="6917" max="6918" width="9.5703125" bestFit="1" customWidth="1"/>
    <col min="6919" max="6920" width="9.28515625" bestFit="1" customWidth="1"/>
    <col min="7169" max="7169" width="9.28515625" bestFit="1" customWidth="1"/>
    <col min="7170" max="7170" width="17.85546875" customWidth="1"/>
    <col min="7171" max="7172" width="9.28515625" bestFit="1" customWidth="1"/>
    <col min="7173" max="7174" width="9.5703125" bestFit="1" customWidth="1"/>
    <col min="7175" max="7176" width="9.28515625" bestFit="1" customWidth="1"/>
    <col min="7425" max="7425" width="9.28515625" bestFit="1" customWidth="1"/>
    <col min="7426" max="7426" width="17.85546875" customWidth="1"/>
    <col min="7427" max="7428" width="9.28515625" bestFit="1" customWidth="1"/>
    <col min="7429" max="7430" width="9.5703125" bestFit="1" customWidth="1"/>
    <col min="7431" max="7432" width="9.28515625" bestFit="1" customWidth="1"/>
    <col min="7681" max="7681" width="9.28515625" bestFit="1" customWidth="1"/>
    <col min="7682" max="7682" width="17.85546875" customWidth="1"/>
    <col min="7683" max="7684" width="9.28515625" bestFit="1" customWidth="1"/>
    <col min="7685" max="7686" width="9.5703125" bestFit="1" customWidth="1"/>
    <col min="7687" max="7688" width="9.28515625" bestFit="1" customWidth="1"/>
    <col min="7937" max="7937" width="9.28515625" bestFit="1" customWidth="1"/>
    <col min="7938" max="7938" width="17.85546875" customWidth="1"/>
    <col min="7939" max="7940" width="9.28515625" bestFit="1" customWidth="1"/>
    <col min="7941" max="7942" width="9.5703125" bestFit="1" customWidth="1"/>
    <col min="7943" max="7944" width="9.28515625" bestFit="1" customWidth="1"/>
    <col min="8193" max="8193" width="9.28515625" bestFit="1" customWidth="1"/>
    <col min="8194" max="8194" width="17.85546875" customWidth="1"/>
    <col min="8195" max="8196" width="9.28515625" bestFit="1" customWidth="1"/>
    <col min="8197" max="8198" width="9.5703125" bestFit="1" customWidth="1"/>
    <col min="8199" max="8200" width="9.28515625" bestFit="1" customWidth="1"/>
    <col min="8449" max="8449" width="9.28515625" bestFit="1" customWidth="1"/>
    <col min="8450" max="8450" width="17.85546875" customWidth="1"/>
    <col min="8451" max="8452" width="9.28515625" bestFit="1" customWidth="1"/>
    <col min="8453" max="8454" width="9.5703125" bestFit="1" customWidth="1"/>
    <col min="8455" max="8456" width="9.28515625" bestFit="1" customWidth="1"/>
    <col min="8705" max="8705" width="9.28515625" bestFit="1" customWidth="1"/>
    <col min="8706" max="8706" width="17.85546875" customWidth="1"/>
    <col min="8707" max="8708" width="9.28515625" bestFit="1" customWidth="1"/>
    <col min="8709" max="8710" width="9.5703125" bestFit="1" customWidth="1"/>
    <col min="8711" max="8712" width="9.28515625" bestFit="1" customWidth="1"/>
    <col min="8961" max="8961" width="9.28515625" bestFit="1" customWidth="1"/>
    <col min="8962" max="8962" width="17.85546875" customWidth="1"/>
    <col min="8963" max="8964" width="9.28515625" bestFit="1" customWidth="1"/>
    <col min="8965" max="8966" width="9.5703125" bestFit="1" customWidth="1"/>
    <col min="8967" max="8968" width="9.28515625" bestFit="1" customWidth="1"/>
    <col min="9217" max="9217" width="9.28515625" bestFit="1" customWidth="1"/>
    <col min="9218" max="9218" width="17.85546875" customWidth="1"/>
    <col min="9219" max="9220" width="9.28515625" bestFit="1" customWidth="1"/>
    <col min="9221" max="9222" width="9.5703125" bestFit="1" customWidth="1"/>
    <col min="9223" max="9224" width="9.28515625" bestFit="1" customWidth="1"/>
    <col min="9473" max="9473" width="9.28515625" bestFit="1" customWidth="1"/>
    <col min="9474" max="9474" width="17.85546875" customWidth="1"/>
    <col min="9475" max="9476" width="9.28515625" bestFit="1" customWidth="1"/>
    <col min="9477" max="9478" width="9.5703125" bestFit="1" customWidth="1"/>
    <col min="9479" max="9480" width="9.28515625" bestFit="1" customWidth="1"/>
    <col min="9729" max="9729" width="9.28515625" bestFit="1" customWidth="1"/>
    <col min="9730" max="9730" width="17.85546875" customWidth="1"/>
    <col min="9731" max="9732" width="9.28515625" bestFit="1" customWidth="1"/>
    <col min="9733" max="9734" width="9.5703125" bestFit="1" customWidth="1"/>
    <col min="9735" max="9736" width="9.28515625" bestFit="1" customWidth="1"/>
    <col min="9985" max="9985" width="9.28515625" bestFit="1" customWidth="1"/>
    <col min="9986" max="9986" width="17.85546875" customWidth="1"/>
    <col min="9987" max="9988" width="9.28515625" bestFit="1" customWidth="1"/>
    <col min="9989" max="9990" width="9.5703125" bestFit="1" customWidth="1"/>
    <col min="9991" max="9992" width="9.28515625" bestFit="1" customWidth="1"/>
    <col min="10241" max="10241" width="9.28515625" bestFit="1" customWidth="1"/>
    <col min="10242" max="10242" width="17.85546875" customWidth="1"/>
    <col min="10243" max="10244" width="9.28515625" bestFit="1" customWidth="1"/>
    <col min="10245" max="10246" width="9.5703125" bestFit="1" customWidth="1"/>
    <col min="10247" max="10248" width="9.28515625" bestFit="1" customWidth="1"/>
    <col min="10497" max="10497" width="9.28515625" bestFit="1" customWidth="1"/>
    <col min="10498" max="10498" width="17.85546875" customWidth="1"/>
    <col min="10499" max="10500" width="9.28515625" bestFit="1" customWidth="1"/>
    <col min="10501" max="10502" width="9.5703125" bestFit="1" customWidth="1"/>
    <col min="10503" max="10504" width="9.28515625" bestFit="1" customWidth="1"/>
    <col min="10753" max="10753" width="9.28515625" bestFit="1" customWidth="1"/>
    <col min="10754" max="10754" width="17.85546875" customWidth="1"/>
    <col min="10755" max="10756" width="9.28515625" bestFit="1" customWidth="1"/>
    <col min="10757" max="10758" width="9.5703125" bestFit="1" customWidth="1"/>
    <col min="10759" max="10760" width="9.28515625" bestFit="1" customWidth="1"/>
    <col min="11009" max="11009" width="9.28515625" bestFit="1" customWidth="1"/>
    <col min="11010" max="11010" width="17.85546875" customWidth="1"/>
    <col min="11011" max="11012" width="9.28515625" bestFit="1" customWidth="1"/>
    <col min="11013" max="11014" width="9.5703125" bestFit="1" customWidth="1"/>
    <col min="11015" max="11016" width="9.28515625" bestFit="1" customWidth="1"/>
    <col min="11265" max="11265" width="9.28515625" bestFit="1" customWidth="1"/>
    <col min="11266" max="11266" width="17.85546875" customWidth="1"/>
    <col min="11267" max="11268" width="9.28515625" bestFit="1" customWidth="1"/>
    <col min="11269" max="11270" width="9.5703125" bestFit="1" customWidth="1"/>
    <col min="11271" max="11272" width="9.28515625" bestFit="1" customWidth="1"/>
    <col min="11521" max="11521" width="9.28515625" bestFit="1" customWidth="1"/>
    <col min="11522" max="11522" width="17.85546875" customWidth="1"/>
    <col min="11523" max="11524" width="9.28515625" bestFit="1" customWidth="1"/>
    <col min="11525" max="11526" width="9.5703125" bestFit="1" customWidth="1"/>
    <col min="11527" max="11528" width="9.28515625" bestFit="1" customWidth="1"/>
    <col min="11777" max="11777" width="9.28515625" bestFit="1" customWidth="1"/>
    <col min="11778" max="11778" width="17.85546875" customWidth="1"/>
    <col min="11779" max="11780" width="9.28515625" bestFit="1" customWidth="1"/>
    <col min="11781" max="11782" width="9.5703125" bestFit="1" customWidth="1"/>
    <col min="11783" max="11784" width="9.28515625" bestFit="1" customWidth="1"/>
    <col min="12033" max="12033" width="9.28515625" bestFit="1" customWidth="1"/>
    <col min="12034" max="12034" width="17.85546875" customWidth="1"/>
    <col min="12035" max="12036" width="9.28515625" bestFit="1" customWidth="1"/>
    <col min="12037" max="12038" width="9.5703125" bestFit="1" customWidth="1"/>
    <col min="12039" max="12040" width="9.28515625" bestFit="1" customWidth="1"/>
    <col min="12289" max="12289" width="9.28515625" bestFit="1" customWidth="1"/>
    <col min="12290" max="12290" width="17.85546875" customWidth="1"/>
    <col min="12291" max="12292" width="9.28515625" bestFit="1" customWidth="1"/>
    <col min="12293" max="12294" width="9.5703125" bestFit="1" customWidth="1"/>
    <col min="12295" max="12296" width="9.28515625" bestFit="1" customWidth="1"/>
    <col min="12545" max="12545" width="9.28515625" bestFit="1" customWidth="1"/>
    <col min="12546" max="12546" width="17.85546875" customWidth="1"/>
    <col min="12547" max="12548" width="9.28515625" bestFit="1" customWidth="1"/>
    <col min="12549" max="12550" width="9.5703125" bestFit="1" customWidth="1"/>
    <col min="12551" max="12552" width="9.28515625" bestFit="1" customWidth="1"/>
    <col min="12801" max="12801" width="9.28515625" bestFit="1" customWidth="1"/>
    <col min="12802" max="12802" width="17.85546875" customWidth="1"/>
    <col min="12803" max="12804" width="9.28515625" bestFit="1" customWidth="1"/>
    <col min="12805" max="12806" width="9.5703125" bestFit="1" customWidth="1"/>
    <col min="12807" max="12808" width="9.28515625" bestFit="1" customWidth="1"/>
    <col min="13057" max="13057" width="9.28515625" bestFit="1" customWidth="1"/>
    <col min="13058" max="13058" width="17.85546875" customWidth="1"/>
    <col min="13059" max="13060" width="9.28515625" bestFit="1" customWidth="1"/>
    <col min="13061" max="13062" width="9.5703125" bestFit="1" customWidth="1"/>
    <col min="13063" max="13064" width="9.28515625" bestFit="1" customWidth="1"/>
    <col min="13313" max="13313" width="9.28515625" bestFit="1" customWidth="1"/>
    <col min="13314" max="13314" width="17.85546875" customWidth="1"/>
    <col min="13315" max="13316" width="9.28515625" bestFit="1" customWidth="1"/>
    <col min="13317" max="13318" width="9.5703125" bestFit="1" customWidth="1"/>
    <col min="13319" max="13320" width="9.28515625" bestFit="1" customWidth="1"/>
    <col min="13569" max="13569" width="9.28515625" bestFit="1" customWidth="1"/>
    <col min="13570" max="13570" width="17.85546875" customWidth="1"/>
    <col min="13571" max="13572" width="9.28515625" bestFit="1" customWidth="1"/>
    <col min="13573" max="13574" width="9.5703125" bestFit="1" customWidth="1"/>
    <col min="13575" max="13576" width="9.28515625" bestFit="1" customWidth="1"/>
    <col min="13825" max="13825" width="9.28515625" bestFit="1" customWidth="1"/>
    <col min="13826" max="13826" width="17.85546875" customWidth="1"/>
    <col min="13827" max="13828" width="9.28515625" bestFit="1" customWidth="1"/>
    <col min="13829" max="13830" width="9.5703125" bestFit="1" customWidth="1"/>
    <col min="13831" max="13832" width="9.28515625" bestFit="1" customWidth="1"/>
    <col min="14081" max="14081" width="9.28515625" bestFit="1" customWidth="1"/>
    <col min="14082" max="14082" width="17.85546875" customWidth="1"/>
    <col min="14083" max="14084" width="9.28515625" bestFit="1" customWidth="1"/>
    <col min="14085" max="14086" width="9.5703125" bestFit="1" customWidth="1"/>
    <col min="14087" max="14088" width="9.28515625" bestFit="1" customWidth="1"/>
    <col min="14337" max="14337" width="9.28515625" bestFit="1" customWidth="1"/>
    <col min="14338" max="14338" width="17.85546875" customWidth="1"/>
    <col min="14339" max="14340" width="9.28515625" bestFit="1" customWidth="1"/>
    <col min="14341" max="14342" width="9.5703125" bestFit="1" customWidth="1"/>
    <col min="14343" max="14344" width="9.28515625" bestFit="1" customWidth="1"/>
    <col min="14593" max="14593" width="9.28515625" bestFit="1" customWidth="1"/>
    <col min="14594" max="14594" width="17.85546875" customWidth="1"/>
    <col min="14595" max="14596" width="9.28515625" bestFit="1" customWidth="1"/>
    <col min="14597" max="14598" width="9.5703125" bestFit="1" customWidth="1"/>
    <col min="14599" max="14600" width="9.28515625" bestFit="1" customWidth="1"/>
    <col min="14849" max="14849" width="9.28515625" bestFit="1" customWidth="1"/>
    <col min="14850" max="14850" width="17.85546875" customWidth="1"/>
    <col min="14851" max="14852" width="9.28515625" bestFit="1" customWidth="1"/>
    <col min="14853" max="14854" width="9.5703125" bestFit="1" customWidth="1"/>
    <col min="14855" max="14856" width="9.28515625" bestFit="1" customWidth="1"/>
    <col min="15105" max="15105" width="9.28515625" bestFit="1" customWidth="1"/>
    <col min="15106" max="15106" width="17.85546875" customWidth="1"/>
    <col min="15107" max="15108" width="9.28515625" bestFit="1" customWidth="1"/>
    <col min="15109" max="15110" width="9.5703125" bestFit="1" customWidth="1"/>
    <col min="15111" max="15112" width="9.28515625" bestFit="1" customWidth="1"/>
    <col min="15361" max="15361" width="9.28515625" bestFit="1" customWidth="1"/>
    <col min="15362" max="15362" width="17.85546875" customWidth="1"/>
    <col min="15363" max="15364" width="9.28515625" bestFit="1" customWidth="1"/>
    <col min="15365" max="15366" width="9.5703125" bestFit="1" customWidth="1"/>
    <col min="15367" max="15368" width="9.28515625" bestFit="1" customWidth="1"/>
    <col min="15617" max="15617" width="9.28515625" bestFit="1" customWidth="1"/>
    <col min="15618" max="15618" width="17.85546875" customWidth="1"/>
    <col min="15619" max="15620" width="9.28515625" bestFit="1" customWidth="1"/>
    <col min="15621" max="15622" width="9.5703125" bestFit="1" customWidth="1"/>
    <col min="15623" max="15624" width="9.28515625" bestFit="1" customWidth="1"/>
    <col min="15873" max="15873" width="9.28515625" bestFit="1" customWidth="1"/>
    <col min="15874" max="15874" width="17.85546875" customWidth="1"/>
    <col min="15875" max="15876" width="9.28515625" bestFit="1" customWidth="1"/>
    <col min="15877" max="15878" width="9.5703125" bestFit="1" customWidth="1"/>
    <col min="15879" max="15880" width="9.28515625" bestFit="1" customWidth="1"/>
    <col min="16129" max="16129" width="9.28515625" bestFit="1" customWidth="1"/>
    <col min="16130" max="16130" width="17.85546875" customWidth="1"/>
    <col min="16131" max="16132" width="9.28515625" bestFit="1" customWidth="1"/>
    <col min="16133" max="16134" width="9.5703125" bestFit="1" customWidth="1"/>
    <col min="16135" max="16136" width="9.28515625" bestFit="1" customWidth="1"/>
  </cols>
  <sheetData>
    <row r="1" spans="1:29" ht="23.25" x14ac:dyDescent="0.35">
      <c r="A1" s="1" t="s">
        <v>3</v>
      </c>
      <c r="K1" s="1" t="s">
        <v>4</v>
      </c>
      <c r="U1" s="1" t="s">
        <v>5</v>
      </c>
    </row>
    <row r="3" spans="1:29" ht="15" customHeight="1" x14ac:dyDescent="0.25">
      <c r="A3" s="65" t="s">
        <v>0</v>
      </c>
      <c r="B3" s="65"/>
      <c r="C3" s="65" t="s">
        <v>6</v>
      </c>
      <c r="D3" s="64" t="s">
        <v>7</v>
      </c>
      <c r="E3" s="64"/>
      <c r="F3" s="64"/>
      <c r="G3" s="64"/>
      <c r="H3" s="65" t="s">
        <v>8</v>
      </c>
      <c r="I3" s="66" t="s">
        <v>9</v>
      </c>
      <c r="K3" s="65" t="s">
        <v>0</v>
      </c>
      <c r="L3" s="65"/>
      <c r="M3" s="65" t="s">
        <v>6</v>
      </c>
      <c r="N3" s="64" t="s">
        <v>7</v>
      </c>
      <c r="O3" s="64"/>
      <c r="P3" s="64"/>
      <c r="Q3" s="64"/>
      <c r="R3" s="65" t="s">
        <v>8</v>
      </c>
      <c r="S3" s="66" t="s">
        <v>9</v>
      </c>
      <c r="U3" s="65" t="s">
        <v>0</v>
      </c>
      <c r="V3" s="65"/>
      <c r="W3" s="65" t="s">
        <v>6</v>
      </c>
      <c r="X3" s="64" t="s">
        <v>7</v>
      </c>
      <c r="Y3" s="64"/>
      <c r="Z3" s="64"/>
      <c r="AA3" s="64"/>
      <c r="AB3" s="65" t="s">
        <v>8</v>
      </c>
      <c r="AC3" s="66" t="s">
        <v>9</v>
      </c>
    </row>
    <row r="4" spans="1:29" ht="30" x14ac:dyDescent="0.25">
      <c r="A4" s="65"/>
      <c r="B4" s="65"/>
      <c r="C4" s="65"/>
      <c r="D4" s="2" t="s">
        <v>10</v>
      </c>
      <c r="E4" s="2" t="s">
        <v>11</v>
      </c>
      <c r="F4" s="3" t="s">
        <v>12</v>
      </c>
      <c r="G4" s="2" t="s">
        <v>13</v>
      </c>
      <c r="H4" s="65"/>
      <c r="I4" s="66"/>
      <c r="K4" s="65"/>
      <c r="L4" s="65"/>
      <c r="M4" s="65"/>
      <c r="N4" s="2" t="s">
        <v>10</v>
      </c>
      <c r="O4" s="2" t="s">
        <v>11</v>
      </c>
      <c r="P4" s="3" t="s">
        <v>12</v>
      </c>
      <c r="Q4" s="2" t="s">
        <v>13</v>
      </c>
      <c r="R4" s="65"/>
      <c r="S4" s="66"/>
      <c r="U4" s="65"/>
      <c r="V4" s="65"/>
      <c r="W4" s="65"/>
      <c r="X4" s="4" t="s">
        <v>10</v>
      </c>
      <c r="Y4" s="4" t="s">
        <v>11</v>
      </c>
      <c r="Z4" s="5" t="s">
        <v>12</v>
      </c>
      <c r="AA4" s="4" t="s">
        <v>13</v>
      </c>
      <c r="AB4" s="69"/>
      <c r="AC4" s="70"/>
    </row>
    <row r="5" spans="1:29" x14ac:dyDescent="0.25">
      <c r="A5" s="65" t="s">
        <v>14</v>
      </c>
      <c r="B5" s="65"/>
      <c r="C5" s="2">
        <v>-700</v>
      </c>
      <c r="D5" s="6">
        <v>-708.09299999999996</v>
      </c>
      <c r="E5" s="2">
        <v>0.28999999999999998</v>
      </c>
      <c r="F5" s="7">
        <v>0.15970000000000001</v>
      </c>
      <c r="G5" s="8">
        <v>4.47E-3</v>
      </c>
      <c r="H5" s="9">
        <f>ABS(C5-D5)</f>
        <v>8.0929999999999609</v>
      </c>
      <c r="I5" s="10" t="str">
        <f>IF(AND(H5&lt;=60),"Pass", "Fail")</f>
        <v>Pass</v>
      </c>
      <c r="K5" s="65" t="s">
        <v>15</v>
      </c>
      <c r="L5" s="65"/>
      <c r="M5" s="2">
        <v>-1046</v>
      </c>
      <c r="N5" s="6">
        <v>-998.25099999999998</v>
      </c>
      <c r="O5" s="11">
        <v>1.2999999999999999E-3</v>
      </c>
      <c r="P5" s="2">
        <v>0.16300000000000001</v>
      </c>
      <c r="Q5" s="11">
        <v>2.119E-4</v>
      </c>
      <c r="R5" s="12">
        <f t="shared" ref="R5:R15" si="0">ABS(M5-N5)</f>
        <v>47.749000000000024</v>
      </c>
      <c r="S5" s="10" t="str">
        <f>IF(AND(R5&lt;=60),"Pass", "Fail")</f>
        <v>Pass</v>
      </c>
      <c r="U5" s="65" t="s">
        <v>16</v>
      </c>
      <c r="V5" s="65"/>
      <c r="W5" s="13">
        <v>0</v>
      </c>
      <c r="X5" s="14">
        <v>839.81299999999999</v>
      </c>
      <c r="Y5" s="15">
        <v>1.56</v>
      </c>
      <c r="Z5" s="15">
        <v>0.19090389999999999</v>
      </c>
      <c r="AA5" s="11">
        <v>0.27681065500000002</v>
      </c>
      <c r="AB5" s="12">
        <f>ABS(W5-X5)</f>
        <v>839.81299999999999</v>
      </c>
      <c r="AC5" s="71" t="str">
        <f>IF(AND((X7&lt;=7),(X7&gt;=-7),(X9&lt;=-970),(X9&gt;=-1005)), "Pass","Fail")</f>
        <v>Pass</v>
      </c>
    </row>
    <row r="6" spans="1:29" x14ac:dyDescent="0.25">
      <c r="A6" s="65" t="s">
        <v>17</v>
      </c>
      <c r="B6" s="65"/>
      <c r="C6" s="2">
        <v>-530</v>
      </c>
      <c r="D6" s="6">
        <v>-535.81899999999996</v>
      </c>
      <c r="E6" s="2">
        <v>0.45</v>
      </c>
      <c r="F6" s="16">
        <v>0.15966250000000001</v>
      </c>
      <c r="G6" s="17">
        <v>6.8654875000000004E-2</v>
      </c>
      <c r="H6" s="9">
        <f t="shared" ref="H6:H14" si="1">ABS(C6-D6)</f>
        <v>5.81899999999996</v>
      </c>
      <c r="I6" s="10" t="str">
        <f>IF(AND(H6&lt;=48),"Pass", "Fail")</f>
        <v>Pass</v>
      </c>
      <c r="K6" s="65" t="s">
        <v>2</v>
      </c>
      <c r="L6" s="65"/>
      <c r="M6" s="2">
        <v>-925</v>
      </c>
      <c r="N6" s="6">
        <v>-825.89200000000005</v>
      </c>
      <c r="O6" s="2">
        <v>0.19</v>
      </c>
      <c r="P6" s="2">
        <v>0.16800000000000001</v>
      </c>
      <c r="Q6" s="11">
        <v>3.1920000000000004E-2</v>
      </c>
      <c r="R6" s="12">
        <f t="shared" si="0"/>
        <v>99.107999999999947</v>
      </c>
      <c r="S6" s="10" t="str">
        <f>IF(AND(R6&lt;=115),"Pass", "Fail")</f>
        <v>Pass</v>
      </c>
      <c r="U6" s="65" t="s">
        <v>18</v>
      </c>
      <c r="V6" s="65"/>
      <c r="W6" s="13">
        <v>387</v>
      </c>
      <c r="X6" s="18">
        <v>125.5</v>
      </c>
      <c r="Y6" s="19">
        <v>1.19</v>
      </c>
      <c r="Z6" s="19">
        <v>0.16136447951880159</v>
      </c>
      <c r="AA6" s="11">
        <v>0.19202373062737388</v>
      </c>
      <c r="AB6" s="12">
        <f>ABS(W6-X6)</f>
        <v>261.5</v>
      </c>
      <c r="AC6" s="71"/>
    </row>
    <row r="7" spans="1:29" x14ac:dyDescent="0.25">
      <c r="A7" s="65" t="s">
        <v>19</v>
      </c>
      <c r="B7" s="65"/>
      <c r="C7" s="2">
        <v>-90</v>
      </c>
      <c r="D7" s="6">
        <v>-87.262</v>
      </c>
      <c r="E7" s="2">
        <v>0.95</v>
      </c>
      <c r="F7" s="16">
        <v>0.1637217</v>
      </c>
      <c r="G7" s="17">
        <v>0.15389839799999999</v>
      </c>
      <c r="H7" s="9">
        <f t="shared" si="1"/>
        <v>2.7379999999999995</v>
      </c>
      <c r="I7" s="10" t="str">
        <f>IF(AND(H7&lt;=115),"Pass", "Fail")</f>
        <v>Pass</v>
      </c>
      <c r="K7" s="65" t="s">
        <v>20</v>
      </c>
      <c r="L7" s="65"/>
      <c r="M7" s="2">
        <v>-172</v>
      </c>
      <c r="N7" s="6">
        <v>-182.34399999999999</v>
      </c>
      <c r="O7" s="2">
        <v>0.83</v>
      </c>
      <c r="P7" s="2">
        <v>0.18</v>
      </c>
      <c r="Q7" s="11">
        <v>0.14939999999999998</v>
      </c>
      <c r="R7" s="12">
        <f t="shared" si="0"/>
        <v>10.343999999999994</v>
      </c>
      <c r="S7" s="10" t="str">
        <f>IF(AND(R7&lt;=48),"Pass", "Fail")</f>
        <v>Pass</v>
      </c>
      <c r="U7" s="65" t="s">
        <v>21</v>
      </c>
      <c r="V7" s="65"/>
      <c r="W7" s="13">
        <v>0</v>
      </c>
      <c r="X7" s="20">
        <v>1.5</v>
      </c>
      <c r="Y7" s="19">
        <v>1.02</v>
      </c>
      <c r="Z7" s="19">
        <v>0.16577956678830286</v>
      </c>
      <c r="AA7" s="11">
        <v>0.16909515812406892</v>
      </c>
      <c r="AB7" s="12">
        <f>ABS(W7-X7)</f>
        <v>1.5</v>
      </c>
      <c r="AC7" s="71"/>
    </row>
    <row r="8" spans="1:29" x14ac:dyDescent="0.25">
      <c r="A8" s="65" t="s">
        <v>22</v>
      </c>
      <c r="B8" s="65"/>
      <c r="C8" s="2">
        <v>-50</v>
      </c>
      <c r="D8" s="6">
        <v>-50.877000000000002</v>
      </c>
      <c r="E8" s="2">
        <v>0.98</v>
      </c>
      <c r="F8" s="16">
        <v>0.16465340000000001</v>
      </c>
      <c r="G8" s="17">
        <v>0.15806726400000001</v>
      </c>
      <c r="H8" s="9">
        <f t="shared" si="1"/>
        <v>0.87700000000000244</v>
      </c>
      <c r="I8" s="10" t="str">
        <f>IF(AND(H8&lt;=43),"Pass", "Fail")</f>
        <v>Pass</v>
      </c>
      <c r="K8" s="65" t="s">
        <v>23</v>
      </c>
      <c r="L8" s="65"/>
      <c r="M8" s="2">
        <v>-87</v>
      </c>
      <c r="N8" s="6">
        <v>-92.628</v>
      </c>
      <c r="O8" s="2">
        <v>0.92</v>
      </c>
      <c r="P8" s="2">
        <v>0.18</v>
      </c>
      <c r="Q8" s="11">
        <v>0.1656</v>
      </c>
      <c r="R8" s="12">
        <f t="shared" si="0"/>
        <v>5.6280000000000001</v>
      </c>
      <c r="S8" s="10" t="str">
        <f>IF(AND(R8&lt;=48),"Pass", "Fail")</f>
        <v>Pass</v>
      </c>
      <c r="U8" s="67" t="s">
        <v>24</v>
      </c>
      <c r="V8" s="68"/>
      <c r="W8" s="13">
        <v>-172</v>
      </c>
      <c r="X8" s="18">
        <v>-86.24</v>
      </c>
      <c r="Y8" s="19">
        <v>0.91</v>
      </c>
      <c r="Z8" s="19">
        <v>0.17140938283554985</v>
      </c>
      <c r="AA8" s="11">
        <v>0.15598253838035037</v>
      </c>
      <c r="AB8" s="12">
        <f>ABS(W8-X8)</f>
        <v>85.76</v>
      </c>
      <c r="AC8" s="71"/>
    </row>
    <row r="9" spans="1:29" x14ac:dyDescent="0.25">
      <c r="A9" s="65" t="s">
        <v>21</v>
      </c>
      <c r="B9" s="65"/>
      <c r="C9" s="2">
        <v>0</v>
      </c>
      <c r="D9" s="6">
        <v>-3</v>
      </c>
      <c r="E9" s="2">
        <v>1.02</v>
      </c>
      <c r="F9" s="16">
        <v>0.1661754</v>
      </c>
      <c r="G9" s="17">
        <v>0.16451364600000001</v>
      </c>
      <c r="H9" s="9">
        <f t="shared" si="1"/>
        <v>3</v>
      </c>
      <c r="I9" s="10" t="str">
        <f>IF(AND(H9&lt;=14),"Pass", "Fail")</f>
        <v>Pass</v>
      </c>
      <c r="K9" s="65" t="s">
        <v>21</v>
      </c>
      <c r="L9" s="65"/>
      <c r="M9" s="2">
        <v>0</v>
      </c>
      <c r="N9" s="6"/>
      <c r="O9" s="2">
        <v>1</v>
      </c>
      <c r="P9" s="2">
        <v>0.81</v>
      </c>
      <c r="Q9" s="11">
        <v>0.81</v>
      </c>
      <c r="R9" s="12">
        <f t="shared" si="0"/>
        <v>0</v>
      </c>
      <c r="S9" s="10" t="str">
        <f>IF(AND(R9&lt;=14),"Pass", "Fail")</f>
        <v>Pass</v>
      </c>
      <c r="U9" s="65" t="s">
        <v>15</v>
      </c>
      <c r="V9" s="65"/>
      <c r="W9" s="13">
        <v>-1046</v>
      </c>
      <c r="X9" s="18">
        <v>-997.65700000000004</v>
      </c>
      <c r="Y9" s="19">
        <v>1.2999999999999999E-3</v>
      </c>
      <c r="Z9" s="19">
        <v>0.75</v>
      </c>
      <c r="AA9" s="11">
        <v>9.7499999999999996E-4</v>
      </c>
      <c r="AB9" s="12">
        <f>ABS(W9-X9)</f>
        <v>48.342999999999961</v>
      </c>
      <c r="AC9" s="71"/>
    </row>
    <row r="10" spans="1:29" ht="15" customHeight="1" x14ac:dyDescent="0.25">
      <c r="A10" s="65" t="s">
        <v>25</v>
      </c>
      <c r="B10" s="65"/>
      <c r="C10" s="2">
        <v>20</v>
      </c>
      <c r="D10" s="6">
        <v>23.597000000000001</v>
      </c>
      <c r="E10" s="2">
        <v>1.05</v>
      </c>
      <c r="F10" s="16">
        <v>0.16419639999999999</v>
      </c>
      <c r="G10" s="17">
        <v>0.170764256</v>
      </c>
      <c r="H10" s="9">
        <f t="shared" si="1"/>
        <v>3.5970000000000013</v>
      </c>
      <c r="I10" s="10" t="str">
        <f>IF(AND(H10&lt;=119),"Pass", "Fail")</f>
        <v>Pass</v>
      </c>
      <c r="K10" s="65" t="s">
        <v>24</v>
      </c>
      <c r="L10" s="65"/>
      <c r="M10" s="2">
        <v>-29</v>
      </c>
      <c r="N10" s="6">
        <v>-35.372</v>
      </c>
      <c r="O10" s="2">
        <v>1.03</v>
      </c>
      <c r="P10" s="2">
        <v>0.17</v>
      </c>
      <c r="Q10" s="11">
        <v>0.17510000000000001</v>
      </c>
      <c r="R10" s="12">
        <f t="shared" si="0"/>
        <v>6.3719999999999999</v>
      </c>
      <c r="S10" s="10" t="str">
        <f>IF(AND(R10&lt;=36),"Pass", "Fail")</f>
        <v>Pass</v>
      </c>
    </row>
    <row r="11" spans="1:29" x14ac:dyDescent="0.25">
      <c r="A11" s="65" t="s">
        <v>26</v>
      </c>
      <c r="B11" s="65"/>
      <c r="C11" s="2">
        <v>60</v>
      </c>
      <c r="D11" s="6">
        <v>64.498000000000005</v>
      </c>
      <c r="E11" s="2">
        <v>1.0900000000000001</v>
      </c>
      <c r="F11" s="16">
        <v>0.16617460000000001</v>
      </c>
      <c r="G11" s="17">
        <v>0.177806822</v>
      </c>
      <c r="H11" s="9">
        <f t="shared" si="1"/>
        <v>4.4980000000000047</v>
      </c>
      <c r="I11" s="10" t="str">
        <f>IF(AND(H11&lt;=52),"Pass", "Fail")</f>
        <v>Pass</v>
      </c>
      <c r="K11" s="65" t="s">
        <v>18</v>
      </c>
      <c r="L11" s="65"/>
      <c r="M11" s="2">
        <v>137</v>
      </c>
      <c r="N11" s="6">
        <v>123.09</v>
      </c>
      <c r="O11" s="2">
        <v>1.18</v>
      </c>
      <c r="P11" s="2">
        <v>0.17299999999999999</v>
      </c>
      <c r="Q11" s="11">
        <v>0.20413999999999996</v>
      </c>
      <c r="R11" s="12">
        <f t="shared" si="0"/>
        <v>13.909999999999997</v>
      </c>
      <c r="S11" s="10" t="str">
        <f>IF(AND(R11&lt;=45),"Pass", "Fail")</f>
        <v>Pass</v>
      </c>
    </row>
    <row r="12" spans="1:29" x14ac:dyDescent="0.25">
      <c r="A12" s="65" t="s">
        <v>27</v>
      </c>
      <c r="B12" s="65"/>
      <c r="C12" s="2">
        <v>210</v>
      </c>
      <c r="D12" s="6">
        <v>212.20599999999999</v>
      </c>
      <c r="E12" s="2">
        <v>1.1399999999999999</v>
      </c>
      <c r="F12" s="16">
        <v>0.1750168</v>
      </c>
      <c r="G12" s="17">
        <v>0.190768312</v>
      </c>
      <c r="H12" s="9">
        <f t="shared" si="1"/>
        <v>2.2059999999999889</v>
      </c>
      <c r="I12" s="10" t="str">
        <f>IF(AND(H12&lt;=48),"Pass", "Fail")</f>
        <v>Pass</v>
      </c>
      <c r="K12" s="65" t="s">
        <v>28</v>
      </c>
      <c r="L12" s="65"/>
      <c r="M12" s="2">
        <v>263</v>
      </c>
      <c r="N12" s="6">
        <v>146.24299999999999</v>
      </c>
      <c r="O12" s="2">
        <v>1.1399999999999999</v>
      </c>
      <c r="P12" s="2">
        <v>0.18099999999999999</v>
      </c>
      <c r="Q12" s="11">
        <v>0.20633999999999997</v>
      </c>
      <c r="R12" s="12">
        <f t="shared" si="0"/>
        <v>116.75700000000001</v>
      </c>
      <c r="S12" s="10" t="str">
        <f>IF(AND(R12&lt;=52),"Pass", "Fail")</f>
        <v>Fail</v>
      </c>
    </row>
    <row r="13" spans="1:29" ht="15" customHeight="1" x14ac:dyDescent="0.25">
      <c r="A13" s="65" t="s">
        <v>16</v>
      </c>
      <c r="B13" s="65"/>
      <c r="C13" s="2">
        <v>220</v>
      </c>
      <c r="D13" s="6">
        <v>220.761</v>
      </c>
      <c r="E13" s="2">
        <v>1.1499999999999999</v>
      </c>
      <c r="F13" s="16">
        <v>0.17500589999999999</v>
      </c>
      <c r="G13" s="17">
        <v>0.19250649</v>
      </c>
      <c r="H13" s="9">
        <f t="shared" si="1"/>
        <v>0.76099999999999568</v>
      </c>
      <c r="I13" s="10" t="str">
        <f>IF(AND(H13&lt;=116),"Pass", "Fail")</f>
        <v>Pass</v>
      </c>
      <c r="K13" s="65" t="s">
        <v>29</v>
      </c>
      <c r="L13" s="65"/>
      <c r="M13" s="2">
        <v>387</v>
      </c>
      <c r="N13" s="6">
        <v>308.41000000000003</v>
      </c>
      <c r="O13" s="2">
        <v>1.42</v>
      </c>
      <c r="P13" s="2">
        <v>0.17199999999999999</v>
      </c>
      <c r="Q13" s="11">
        <v>0.24423999999999996</v>
      </c>
      <c r="R13" s="12">
        <f t="shared" si="0"/>
        <v>78.589999999999975</v>
      </c>
      <c r="S13" s="10" t="str">
        <f>IF(AND(R13&lt;=43),"Pass", "Fail")</f>
        <v>Fail</v>
      </c>
    </row>
    <row r="14" spans="1:29" x14ac:dyDescent="0.25">
      <c r="A14" s="65" t="s">
        <v>30</v>
      </c>
      <c r="B14" s="65"/>
      <c r="C14" s="2">
        <v>450</v>
      </c>
      <c r="D14" s="6">
        <v>454.91699999999997</v>
      </c>
      <c r="E14" s="2">
        <v>1.33</v>
      </c>
      <c r="F14" s="16">
        <v>0.17905940000000001</v>
      </c>
      <c r="G14" s="17">
        <v>0.22561484400000001</v>
      </c>
      <c r="H14" s="9">
        <f t="shared" si="1"/>
        <v>4.9169999999999732</v>
      </c>
      <c r="I14" s="10" t="str">
        <f>IF(AND(H14&lt;=45),"Pass", "Fail")</f>
        <v>Pass</v>
      </c>
      <c r="K14" s="65" t="s">
        <v>31</v>
      </c>
      <c r="L14" s="65"/>
      <c r="M14" s="2">
        <v>783</v>
      </c>
      <c r="N14" s="6">
        <v>615.61500000000001</v>
      </c>
      <c r="O14" s="2">
        <v>1.4</v>
      </c>
      <c r="P14" s="2">
        <v>0.19600000000000001</v>
      </c>
      <c r="Q14" s="11">
        <v>0.27439999999999998</v>
      </c>
      <c r="R14" s="12">
        <f t="shared" si="0"/>
        <v>167.38499999999999</v>
      </c>
      <c r="S14" s="10" t="str">
        <f>IF(AND(R14&lt;=116),"Pass", "Fail")</f>
        <v>Fail</v>
      </c>
    </row>
    <row r="15" spans="1:29" x14ac:dyDescent="0.25">
      <c r="A15" s="65" t="s">
        <v>32</v>
      </c>
      <c r="B15" s="65"/>
      <c r="C15" s="2">
        <v>820</v>
      </c>
      <c r="D15" s="6">
        <v>828.976</v>
      </c>
      <c r="E15" s="2">
        <v>1.56</v>
      </c>
      <c r="F15" s="16">
        <v>0.19090389999999999</v>
      </c>
      <c r="G15" s="17">
        <v>0.27681065500000002</v>
      </c>
      <c r="H15" s="9">
        <f>ABS(C15-D15)</f>
        <v>8.9759999999999991</v>
      </c>
      <c r="I15" s="10" t="str">
        <f>IF(AND(H15&lt;=45),"Pass", "Fail")</f>
        <v>Pass</v>
      </c>
      <c r="K15" s="65" t="s">
        <v>33</v>
      </c>
      <c r="L15" s="65"/>
      <c r="M15" s="2">
        <v>1060</v>
      </c>
      <c r="N15" s="6">
        <v>885.22199999999998</v>
      </c>
      <c r="O15" s="2">
        <v>2.16</v>
      </c>
      <c r="P15" s="2">
        <v>0.16</v>
      </c>
      <c r="Q15" s="11">
        <v>0.34560000000000002</v>
      </c>
      <c r="R15" s="12">
        <f t="shared" si="0"/>
        <v>174.77800000000002</v>
      </c>
      <c r="S15" s="10" t="str">
        <f>IF(AND(R15&lt;=119),"Pass", "Fail")</f>
        <v>Fail</v>
      </c>
    </row>
    <row r="16" spans="1:29" x14ac:dyDescent="0.25">
      <c r="A16" s="65" t="s">
        <v>34</v>
      </c>
      <c r="B16" s="65"/>
      <c r="C16" s="2">
        <v>1250</v>
      </c>
      <c r="D16" s="6">
        <v>1260.172</v>
      </c>
      <c r="E16" s="2">
        <v>1.82</v>
      </c>
      <c r="F16" s="16">
        <v>0.2012227</v>
      </c>
      <c r="G16" s="17">
        <v>0.34006636299999998</v>
      </c>
      <c r="H16" s="9">
        <f>ABS(C16-D16)</f>
        <v>10.172000000000025</v>
      </c>
      <c r="I16" s="10" t="str">
        <f>IF(AND(H16&lt;=45),"Pass", "Fail")</f>
        <v>Pass</v>
      </c>
    </row>
    <row r="17" spans="1:29" ht="15" customHeight="1" x14ac:dyDescent="0.25">
      <c r="A17" s="65" t="s">
        <v>0</v>
      </c>
      <c r="B17" s="65"/>
      <c r="C17" s="65" t="s">
        <v>6</v>
      </c>
      <c r="D17" s="64" t="s">
        <v>35</v>
      </c>
      <c r="E17" s="64"/>
      <c r="F17" s="64"/>
      <c r="G17" s="64"/>
      <c r="H17" s="65" t="s">
        <v>8</v>
      </c>
      <c r="I17" s="66" t="s">
        <v>9</v>
      </c>
      <c r="K17" s="65" t="s">
        <v>0</v>
      </c>
      <c r="L17" s="65"/>
      <c r="M17" s="65" t="s">
        <v>6</v>
      </c>
      <c r="N17" s="64" t="s">
        <v>35</v>
      </c>
      <c r="O17" s="64"/>
      <c r="P17" s="64"/>
      <c r="Q17" s="64"/>
      <c r="R17" s="65" t="s">
        <v>8</v>
      </c>
      <c r="S17" s="66" t="s">
        <v>9</v>
      </c>
      <c r="U17" s="65" t="s">
        <v>0</v>
      </c>
      <c r="V17" s="65"/>
      <c r="W17" s="65" t="s">
        <v>6</v>
      </c>
      <c r="X17" s="64" t="s">
        <v>35</v>
      </c>
      <c r="Y17" s="64"/>
      <c r="Z17" s="64"/>
      <c r="AA17" s="64"/>
      <c r="AB17" s="65" t="s">
        <v>8</v>
      </c>
      <c r="AC17" s="66" t="s">
        <v>9</v>
      </c>
    </row>
    <row r="18" spans="1:29" ht="30" x14ac:dyDescent="0.25">
      <c r="A18" s="65"/>
      <c r="B18" s="65"/>
      <c r="C18" s="65"/>
      <c r="D18" s="2" t="s">
        <v>10</v>
      </c>
      <c r="E18" s="2" t="s">
        <v>11</v>
      </c>
      <c r="F18" s="3" t="s">
        <v>12</v>
      </c>
      <c r="G18" s="2" t="s">
        <v>13</v>
      </c>
      <c r="H18" s="65"/>
      <c r="I18" s="66"/>
      <c r="K18" s="65"/>
      <c r="L18" s="65"/>
      <c r="M18" s="65"/>
      <c r="N18" s="2" t="s">
        <v>10</v>
      </c>
      <c r="O18" s="2" t="s">
        <v>11</v>
      </c>
      <c r="P18" s="3" t="s">
        <v>12</v>
      </c>
      <c r="Q18" s="2" t="s">
        <v>13</v>
      </c>
      <c r="R18" s="65"/>
      <c r="S18" s="66"/>
      <c r="U18" s="65"/>
      <c r="V18" s="65"/>
      <c r="W18" s="65"/>
      <c r="X18" s="2" t="s">
        <v>10</v>
      </c>
      <c r="Y18" s="2" t="s">
        <v>11</v>
      </c>
      <c r="Z18" s="3" t="s">
        <v>12</v>
      </c>
      <c r="AA18" s="2" t="s">
        <v>13</v>
      </c>
      <c r="AB18" s="65"/>
      <c r="AC18" s="66"/>
    </row>
    <row r="19" spans="1:29" x14ac:dyDescent="0.25">
      <c r="A19" s="65" t="s">
        <v>14</v>
      </c>
      <c r="B19" s="65"/>
      <c r="C19" s="2">
        <v>-700</v>
      </c>
      <c r="D19" s="6">
        <v>-702.7</v>
      </c>
      <c r="E19" s="2">
        <v>0.28999999999999998</v>
      </c>
      <c r="F19" s="7">
        <v>0.1817066</v>
      </c>
      <c r="G19" s="21">
        <v>5.0877848000000003E-2</v>
      </c>
      <c r="H19" s="9">
        <f>ABS(C19-D19)</f>
        <v>2.7000000000000455</v>
      </c>
      <c r="I19" s="22" t="str">
        <f>IF(AND(H19&lt;=60),"Pass", "Fail")</f>
        <v>Pass</v>
      </c>
      <c r="K19" s="65" t="s">
        <v>15</v>
      </c>
      <c r="L19" s="65"/>
      <c r="M19" s="2">
        <v>-1046</v>
      </c>
      <c r="N19" s="6">
        <v>-1000.014</v>
      </c>
      <c r="O19" s="11">
        <v>1.2999999999999999E-3</v>
      </c>
      <c r="P19" s="2">
        <v>0.17199999999999999</v>
      </c>
      <c r="Q19" s="11">
        <v>2.2359999999999996E-4</v>
      </c>
      <c r="R19" s="12">
        <f t="shared" ref="R19:R29" si="2">ABS(M19-N19)</f>
        <v>45.98599999999999</v>
      </c>
      <c r="S19" s="10" t="str">
        <f>IF(AND(R19&lt;=60),"Pass", "Fail")</f>
        <v>Pass</v>
      </c>
      <c r="U19" s="65" t="s">
        <v>16</v>
      </c>
      <c r="V19" s="65"/>
      <c r="W19" s="2">
        <v>0</v>
      </c>
      <c r="X19" s="14">
        <v>905.43799999999999</v>
      </c>
      <c r="Y19" s="15">
        <v>1.56</v>
      </c>
      <c r="Z19" s="15">
        <v>0.23937739999999999</v>
      </c>
      <c r="AA19" s="11">
        <v>0.34709722999999998</v>
      </c>
      <c r="AB19" s="12">
        <f>ABS(W19-X19)</f>
        <v>905.43799999999999</v>
      </c>
      <c r="AC19" s="23" t="str">
        <f>IF(AND((X19&lt;=970),(X19&gt;=850)), "Pass","Fail")</f>
        <v>Pass</v>
      </c>
    </row>
    <row r="20" spans="1:29" x14ac:dyDescent="0.25">
      <c r="A20" s="65" t="s">
        <v>17</v>
      </c>
      <c r="B20" s="65"/>
      <c r="C20" s="2">
        <v>-530</v>
      </c>
      <c r="D20" s="6">
        <v>-533.20299999999997</v>
      </c>
      <c r="E20" s="2">
        <v>0.45</v>
      </c>
      <c r="F20" s="16">
        <v>0.18159990000000001</v>
      </c>
      <c r="G20" s="21">
        <v>7.8087957E-2</v>
      </c>
      <c r="H20" s="9">
        <f t="shared" ref="H20:H30" si="3">ABS(C20-D20)</f>
        <v>3.2029999999999745</v>
      </c>
      <c r="I20" s="22" t="str">
        <f>IF(AND(H20&lt;=48),"Pass", "Fail")</f>
        <v>Pass</v>
      </c>
      <c r="K20" s="65" t="s">
        <v>2</v>
      </c>
      <c r="L20" s="65"/>
      <c r="M20" s="2">
        <v>-925</v>
      </c>
      <c r="N20" s="6">
        <v>-828.07899999999995</v>
      </c>
      <c r="O20" s="2">
        <v>0.19</v>
      </c>
      <c r="P20" s="2">
        <v>0.17599999999999999</v>
      </c>
      <c r="Q20" s="11">
        <v>3.3439999999999998E-2</v>
      </c>
      <c r="R20" s="12">
        <f t="shared" si="2"/>
        <v>96.921000000000049</v>
      </c>
      <c r="S20" s="10" t="str">
        <f>IF(AND(R20&lt;=115),"Pass", "Fail")</f>
        <v>Pass</v>
      </c>
      <c r="U20" s="65" t="s">
        <v>18</v>
      </c>
      <c r="V20" s="65"/>
      <c r="W20" s="2">
        <v>387</v>
      </c>
      <c r="X20" s="18">
        <v>123.67700000000001</v>
      </c>
      <c r="Y20" s="19">
        <v>1.19</v>
      </c>
      <c r="Z20" s="19">
        <v>0.17931674462280667</v>
      </c>
      <c r="AA20" s="11">
        <v>0.21338692610113993</v>
      </c>
      <c r="AB20" s="12">
        <f>ABS(W20-X20)</f>
        <v>263.32299999999998</v>
      </c>
      <c r="AC20" s="23" t="str">
        <f>IF(AND((X20&lt;=135),(X20&gt;=110)), "Pass","Fail")</f>
        <v>Pass</v>
      </c>
    </row>
    <row r="21" spans="1:29" x14ac:dyDescent="0.25">
      <c r="A21" s="65" t="s">
        <v>19</v>
      </c>
      <c r="B21" s="65"/>
      <c r="C21" s="2">
        <v>-90</v>
      </c>
      <c r="D21" s="6">
        <v>-91.792000000000002</v>
      </c>
      <c r="E21" s="2">
        <v>0.95</v>
      </c>
      <c r="F21" s="16">
        <v>0.1801875</v>
      </c>
      <c r="G21" s="21">
        <v>0.16937625000000001</v>
      </c>
      <c r="H21" s="9">
        <f t="shared" si="3"/>
        <v>1.7920000000000016</v>
      </c>
      <c r="I21" s="22" t="str">
        <f>IF(AND(H21&lt;=115),"Pass", "Fail")</f>
        <v>Pass</v>
      </c>
      <c r="K21" s="65" t="s">
        <v>20</v>
      </c>
      <c r="L21" s="65"/>
      <c r="M21" s="2">
        <v>-172</v>
      </c>
      <c r="N21" s="6">
        <v>-190.143</v>
      </c>
      <c r="O21" s="2">
        <v>0.83</v>
      </c>
      <c r="P21" s="2">
        <v>0.187</v>
      </c>
      <c r="Q21" s="11">
        <v>0.15520999999999999</v>
      </c>
      <c r="R21" s="12">
        <f t="shared" si="2"/>
        <v>18.143000000000001</v>
      </c>
      <c r="S21" s="10" t="str">
        <f>IF(AND(R21&lt;=48),"Pass", "Fail")</f>
        <v>Pass</v>
      </c>
      <c r="U21" s="65" t="s">
        <v>21</v>
      </c>
      <c r="V21" s="65"/>
      <c r="W21" s="2">
        <v>0</v>
      </c>
      <c r="X21" s="20">
        <v>1.5860000000000001</v>
      </c>
      <c r="Y21" s="19">
        <v>1.02</v>
      </c>
      <c r="Z21" s="19">
        <v>0.18519627907197234</v>
      </c>
      <c r="AA21" s="11">
        <v>0.18890020465341179</v>
      </c>
      <c r="AB21" s="12">
        <f>ABS(W21-X21)</f>
        <v>1.5860000000000001</v>
      </c>
      <c r="AC21" s="23" t="str">
        <f>IF(AND((X21&lt;=7),(X21&gt;=-7)), "Pass","Fail")</f>
        <v>Pass</v>
      </c>
    </row>
    <row r="22" spans="1:29" x14ac:dyDescent="0.25">
      <c r="A22" s="65" t="s">
        <v>22</v>
      </c>
      <c r="B22" s="65"/>
      <c r="C22" s="2">
        <v>-50</v>
      </c>
      <c r="D22" s="6">
        <v>-51.16</v>
      </c>
      <c r="E22" s="2">
        <v>0.98</v>
      </c>
      <c r="F22" s="16">
        <v>0.1827232</v>
      </c>
      <c r="G22" s="21">
        <v>0.17541427200000001</v>
      </c>
      <c r="H22" s="9">
        <f t="shared" si="3"/>
        <v>1.1599999999999966</v>
      </c>
      <c r="I22" s="22" t="str">
        <f>IF(AND(H22&lt;=43),"Pass", "Fail")</f>
        <v>Pass</v>
      </c>
      <c r="K22" s="65" t="s">
        <v>23</v>
      </c>
      <c r="L22" s="65"/>
      <c r="M22" s="2">
        <v>-87</v>
      </c>
      <c r="N22" s="6">
        <v>-101.414</v>
      </c>
      <c r="O22" s="2">
        <v>0.92</v>
      </c>
      <c r="P22" s="2">
        <v>0.187</v>
      </c>
      <c r="Q22" s="11">
        <v>0.17204</v>
      </c>
      <c r="R22" s="12">
        <f t="shared" si="2"/>
        <v>14.414000000000001</v>
      </c>
      <c r="S22" s="10" t="str">
        <f>IF(AND(R22&lt;=48),"Pass", "Fail")</f>
        <v>Pass</v>
      </c>
      <c r="U22" s="65" t="s">
        <v>24</v>
      </c>
      <c r="V22" s="65"/>
      <c r="W22" s="2">
        <v>-172</v>
      </c>
      <c r="X22" s="18">
        <v>-94.492000000000004</v>
      </c>
      <c r="Y22" s="19">
        <v>0.91</v>
      </c>
      <c r="Z22" s="19">
        <v>0.18583389771953238</v>
      </c>
      <c r="AA22" s="11">
        <v>0.16910884692477446</v>
      </c>
      <c r="AB22" s="12">
        <f>ABS(W22-X22)</f>
        <v>77.507999999999996</v>
      </c>
      <c r="AC22" s="23" t="str">
        <f>IF(AND((X22&gt;=-107),(X22&lt;=-84)), "Pass","Fail")</f>
        <v>Pass</v>
      </c>
    </row>
    <row r="23" spans="1:29" x14ac:dyDescent="0.25">
      <c r="A23" s="65" t="s">
        <v>21</v>
      </c>
      <c r="B23" s="65"/>
      <c r="C23" s="2">
        <v>0</v>
      </c>
      <c r="D23" s="6">
        <v>-1</v>
      </c>
      <c r="E23" s="2">
        <v>1.02</v>
      </c>
      <c r="F23" s="16">
        <v>0.18651129999999999</v>
      </c>
      <c r="G23" s="21">
        <v>0.18464618699999999</v>
      </c>
      <c r="H23" s="9">
        <f t="shared" si="3"/>
        <v>1</v>
      </c>
      <c r="I23" s="22" t="str">
        <f>IF(AND(H23&lt;=14),"Pass", "Fail")</f>
        <v>Pass</v>
      </c>
      <c r="K23" s="65" t="s">
        <v>21</v>
      </c>
      <c r="L23" s="65"/>
      <c r="M23" s="2">
        <v>0</v>
      </c>
      <c r="N23" s="6"/>
      <c r="O23" s="2">
        <v>1</v>
      </c>
      <c r="P23" s="2">
        <v>0.191</v>
      </c>
      <c r="Q23" s="11">
        <v>0.191</v>
      </c>
      <c r="R23" s="12">
        <f t="shared" si="2"/>
        <v>0</v>
      </c>
      <c r="S23" s="10" t="str">
        <f>IF(AND(R23&lt;=14),"Pass", "Fail")</f>
        <v>Pass</v>
      </c>
      <c r="U23" s="65" t="s">
        <v>15</v>
      </c>
      <c r="V23" s="65"/>
      <c r="W23" s="2">
        <v>-1046</v>
      </c>
      <c r="X23" s="18">
        <v>-999.18299999999999</v>
      </c>
      <c r="Y23" s="19">
        <v>1.2999999999999999E-3</v>
      </c>
      <c r="Z23" s="19">
        <v>0.21179999999999999</v>
      </c>
      <c r="AA23" s="11">
        <v>2.7533999999999995E-4</v>
      </c>
      <c r="AB23" s="12">
        <f>ABS(W23-X23)</f>
        <v>46.817000000000007</v>
      </c>
      <c r="AC23" s="23" t="str">
        <f>IF(AND((X23&gt;=-1005),(X23&lt;=-970)), "Pass","Fail")</f>
        <v>Pass</v>
      </c>
    </row>
    <row r="24" spans="1:29" ht="15.75" customHeight="1" x14ac:dyDescent="0.25">
      <c r="A24" s="65" t="s">
        <v>25</v>
      </c>
      <c r="B24" s="65"/>
      <c r="C24" s="2">
        <v>20</v>
      </c>
      <c r="D24" s="6">
        <v>20.760999999999999</v>
      </c>
      <c r="E24" s="2">
        <v>1.05</v>
      </c>
      <c r="F24" s="16">
        <v>0.18074419999999999</v>
      </c>
      <c r="G24" s="21">
        <v>0.18797396799999999</v>
      </c>
      <c r="H24" s="9">
        <f t="shared" si="3"/>
        <v>0.76099999999999923</v>
      </c>
      <c r="I24" s="22" t="str">
        <f>IF(AND(H24&lt;=119),"Pass", "Fail")</f>
        <v>Pass</v>
      </c>
      <c r="K24" s="65" t="s">
        <v>24</v>
      </c>
      <c r="L24" s="65"/>
      <c r="M24" s="2">
        <v>-29</v>
      </c>
      <c r="N24" s="6">
        <v>-44.113999999999997</v>
      </c>
      <c r="O24" s="2">
        <v>1.03</v>
      </c>
      <c r="P24" s="2">
        <v>0.17799999999999999</v>
      </c>
      <c r="Q24" s="11">
        <v>0.18334</v>
      </c>
      <c r="R24" s="12">
        <f t="shared" si="2"/>
        <v>15.113999999999997</v>
      </c>
      <c r="S24" s="10" t="str">
        <f>IF(AND(R24&lt;=36),"Pass", "Fail")</f>
        <v>Pass</v>
      </c>
    </row>
    <row r="25" spans="1:29" x14ac:dyDescent="0.25">
      <c r="A25" s="65" t="s">
        <v>26</v>
      </c>
      <c r="B25" s="65"/>
      <c r="C25" s="2">
        <v>60</v>
      </c>
      <c r="D25" s="6">
        <v>71.558999999999997</v>
      </c>
      <c r="E25" s="2">
        <v>1.0900000000000001</v>
      </c>
      <c r="F25" s="16">
        <v>0.18652260000000001</v>
      </c>
      <c r="G25" s="21">
        <v>0.19957918199999999</v>
      </c>
      <c r="H25" s="9">
        <f t="shared" si="3"/>
        <v>11.558999999999997</v>
      </c>
      <c r="I25" s="22" t="str">
        <f>IF(AND(H25&lt;=52),"Pass", "Fail")</f>
        <v>Pass</v>
      </c>
      <c r="K25" s="65" t="s">
        <v>18</v>
      </c>
      <c r="L25" s="65"/>
      <c r="M25" s="2">
        <v>137</v>
      </c>
      <c r="N25" s="6">
        <v>118.85</v>
      </c>
      <c r="O25" s="2">
        <v>1.18</v>
      </c>
      <c r="P25" s="2">
        <v>0.18099999999999999</v>
      </c>
      <c r="Q25" s="11">
        <v>0.21357999999999999</v>
      </c>
      <c r="R25" s="12">
        <f t="shared" si="2"/>
        <v>18.150000000000006</v>
      </c>
      <c r="S25" s="10" t="str">
        <f>IF(AND(R25&lt;=45),"Pass", "Fail")</f>
        <v>Pass</v>
      </c>
    </row>
    <row r="26" spans="1:29" x14ac:dyDescent="0.25">
      <c r="A26" s="65" t="s">
        <v>27</v>
      </c>
      <c r="B26" s="65"/>
      <c r="C26" s="2">
        <v>210</v>
      </c>
      <c r="D26" s="6">
        <v>228.25</v>
      </c>
      <c r="E26" s="2">
        <v>1.1399999999999999</v>
      </c>
      <c r="F26" s="16">
        <v>0.20760999999999999</v>
      </c>
      <c r="G26" s="21">
        <v>0.22629489999999999</v>
      </c>
      <c r="H26" s="9">
        <f t="shared" si="3"/>
        <v>18.25</v>
      </c>
      <c r="I26" s="22" t="str">
        <f>IF(AND(H26&lt;=48),"Pass", "Fail")</f>
        <v>Pass</v>
      </c>
      <c r="K26" s="65" t="s">
        <v>28</v>
      </c>
      <c r="L26" s="65"/>
      <c r="M26" s="2">
        <v>263</v>
      </c>
      <c r="N26" s="6">
        <v>157.67099999999999</v>
      </c>
      <c r="O26" s="2">
        <v>1.1399999999999999</v>
      </c>
      <c r="P26" s="2">
        <v>0.19600000000000001</v>
      </c>
      <c r="Q26" s="11">
        <v>0.22344</v>
      </c>
      <c r="R26" s="12">
        <f t="shared" si="2"/>
        <v>105.32900000000001</v>
      </c>
      <c r="S26" s="10" t="str">
        <f>IF(AND(R26&lt;=52),"Pass", "Fail")</f>
        <v>Fail</v>
      </c>
    </row>
    <row r="27" spans="1:29" x14ac:dyDescent="0.25">
      <c r="A27" s="65" t="s">
        <v>16</v>
      </c>
      <c r="B27" s="65"/>
      <c r="C27" s="2">
        <v>220</v>
      </c>
      <c r="D27" s="6">
        <v>237.9616</v>
      </c>
      <c r="E27" s="2">
        <v>1.1499999999999999</v>
      </c>
      <c r="F27" s="16">
        <v>0.20763709999999999</v>
      </c>
      <c r="G27" s="21">
        <v>0.22840081000000001</v>
      </c>
      <c r="H27" s="9">
        <f t="shared" si="3"/>
        <v>17.961600000000004</v>
      </c>
      <c r="I27" s="22" t="str">
        <f>IF(AND(H27&lt;=116),"Pass", "Fail")</f>
        <v>Pass</v>
      </c>
      <c r="K27" s="65" t="s">
        <v>29</v>
      </c>
      <c r="L27" s="65"/>
      <c r="M27" s="2">
        <v>387</v>
      </c>
      <c r="N27" s="6">
        <v>297.51400000000001</v>
      </c>
      <c r="O27" s="2">
        <v>1.42</v>
      </c>
      <c r="P27" s="2">
        <v>0.18099999999999999</v>
      </c>
      <c r="Q27" s="11">
        <v>0.25701999999999997</v>
      </c>
      <c r="R27" s="12">
        <f t="shared" si="2"/>
        <v>89.48599999999999</v>
      </c>
      <c r="S27" s="10" t="str">
        <f>IF(AND(R27&lt;=43),"Pass", "Fail")</f>
        <v>Fail</v>
      </c>
    </row>
    <row r="28" spans="1:29" x14ac:dyDescent="0.25">
      <c r="A28" s="65" t="s">
        <v>30</v>
      </c>
      <c r="B28" s="65"/>
      <c r="C28" s="2">
        <v>450</v>
      </c>
      <c r="D28" s="6">
        <v>481.64400000000001</v>
      </c>
      <c r="E28" s="2">
        <v>1.33</v>
      </c>
      <c r="F28" s="16">
        <v>0.21499070000000001</v>
      </c>
      <c r="G28" s="21">
        <v>0.27088828199999998</v>
      </c>
      <c r="H28" s="9">
        <f t="shared" si="3"/>
        <v>31.644000000000005</v>
      </c>
      <c r="I28" s="22" t="str">
        <f>IF(AND(H28&lt;=45),"Pass", "Fail")</f>
        <v>Pass</v>
      </c>
      <c r="K28" s="65" t="s">
        <v>31</v>
      </c>
      <c r="L28" s="65"/>
      <c r="M28" s="2">
        <v>783</v>
      </c>
      <c r="N28" s="6">
        <v>665.35699999999997</v>
      </c>
      <c r="O28" s="2">
        <v>1.4</v>
      </c>
      <c r="P28" s="2">
        <v>0.221</v>
      </c>
      <c r="Q28" s="11">
        <v>0.30940000000000001</v>
      </c>
      <c r="R28" s="12">
        <f t="shared" si="2"/>
        <v>117.64300000000003</v>
      </c>
      <c r="S28" s="10" t="str">
        <f>IF(AND(R28&lt;=116),"Pass", "Fail")</f>
        <v>Fail</v>
      </c>
    </row>
    <row r="29" spans="1:29" x14ac:dyDescent="0.25">
      <c r="A29" s="65" t="s">
        <v>32</v>
      </c>
      <c r="B29" s="65"/>
      <c r="C29" s="2">
        <v>820</v>
      </c>
      <c r="D29" s="6">
        <v>898.34</v>
      </c>
      <c r="E29" s="2">
        <v>1.56</v>
      </c>
      <c r="F29" s="16">
        <v>0.23937739999999999</v>
      </c>
      <c r="G29" s="21">
        <v>0.34709722999999998</v>
      </c>
      <c r="H29" s="9">
        <f t="shared" si="3"/>
        <v>78.340000000000032</v>
      </c>
      <c r="I29" s="22" t="str">
        <f>IF(AND(H29&lt;=45),"Pass", "Fail")</f>
        <v>Fail</v>
      </c>
      <c r="K29" s="65" t="s">
        <v>33</v>
      </c>
      <c r="L29" s="65"/>
      <c r="M29" s="2">
        <v>1060</v>
      </c>
      <c r="N29" s="6">
        <v>882.82899999999995</v>
      </c>
      <c r="O29" s="2">
        <v>2.16</v>
      </c>
      <c r="P29" s="2">
        <v>0.17100000000000001</v>
      </c>
      <c r="Q29" s="11">
        <v>0.36936000000000008</v>
      </c>
      <c r="R29" s="12">
        <f t="shared" si="2"/>
        <v>177.17100000000005</v>
      </c>
      <c r="S29" s="10" t="str">
        <f>IF(AND(R29&lt;=119),"Pass", "Fail")</f>
        <v>Fail</v>
      </c>
    </row>
    <row r="30" spans="1:29" x14ac:dyDescent="0.25">
      <c r="A30" s="65" t="s">
        <v>34</v>
      </c>
      <c r="B30" s="65"/>
      <c r="C30" s="2">
        <v>1250</v>
      </c>
      <c r="D30" s="6">
        <v>1371.4369999999999</v>
      </c>
      <c r="E30" s="2">
        <v>1.82</v>
      </c>
      <c r="F30" s="16">
        <v>0.26064579999999998</v>
      </c>
      <c r="G30" s="21">
        <v>0.44049140199999998</v>
      </c>
      <c r="H30" s="9">
        <f t="shared" si="3"/>
        <v>121.4369999999999</v>
      </c>
      <c r="I30" s="22" t="str">
        <f>IF(AND(H30&lt;=45),"Pass", "Fail")</f>
        <v>Fail</v>
      </c>
    </row>
    <row r="31" spans="1:29" ht="15" customHeight="1" x14ac:dyDescent="0.25">
      <c r="A31" s="65" t="s">
        <v>0</v>
      </c>
      <c r="B31" s="65"/>
      <c r="C31" s="65" t="s">
        <v>6</v>
      </c>
      <c r="D31" s="64" t="s">
        <v>36</v>
      </c>
      <c r="E31" s="64"/>
      <c r="F31" s="64"/>
      <c r="G31" s="64"/>
      <c r="H31" s="65" t="s">
        <v>8</v>
      </c>
      <c r="I31" s="66" t="s">
        <v>9</v>
      </c>
      <c r="K31" s="65" t="s">
        <v>0</v>
      </c>
      <c r="L31" s="65"/>
      <c r="M31" s="65" t="s">
        <v>6</v>
      </c>
      <c r="N31" s="64" t="s">
        <v>36</v>
      </c>
      <c r="O31" s="64"/>
      <c r="P31" s="64"/>
      <c r="Q31" s="64"/>
      <c r="R31" s="65" t="s">
        <v>8</v>
      </c>
      <c r="S31" s="66" t="s">
        <v>9</v>
      </c>
      <c r="U31" s="65" t="s">
        <v>0</v>
      </c>
      <c r="V31" s="65"/>
      <c r="W31" s="65" t="s">
        <v>6</v>
      </c>
      <c r="X31" s="64" t="s">
        <v>36</v>
      </c>
      <c r="Y31" s="64"/>
      <c r="Z31" s="64"/>
      <c r="AA31" s="64"/>
      <c r="AB31" s="65" t="s">
        <v>8</v>
      </c>
      <c r="AC31" s="66" t="s">
        <v>9</v>
      </c>
    </row>
    <row r="32" spans="1:29" ht="30" x14ac:dyDescent="0.25">
      <c r="A32" s="65"/>
      <c r="B32" s="65"/>
      <c r="C32" s="65"/>
      <c r="D32" s="2" t="s">
        <v>10</v>
      </c>
      <c r="E32" s="2" t="s">
        <v>11</v>
      </c>
      <c r="F32" s="3" t="s">
        <v>12</v>
      </c>
      <c r="G32" s="2" t="s">
        <v>13</v>
      </c>
      <c r="H32" s="65"/>
      <c r="I32" s="66"/>
      <c r="K32" s="65"/>
      <c r="L32" s="65"/>
      <c r="M32" s="65"/>
      <c r="N32" s="2" t="s">
        <v>10</v>
      </c>
      <c r="O32" s="2" t="s">
        <v>11</v>
      </c>
      <c r="P32" s="3" t="s">
        <v>12</v>
      </c>
      <c r="Q32" s="2" t="s">
        <v>13</v>
      </c>
      <c r="R32" s="65"/>
      <c r="S32" s="66"/>
      <c r="U32" s="65"/>
      <c r="V32" s="65"/>
      <c r="W32" s="65"/>
      <c r="X32" s="4" t="s">
        <v>10</v>
      </c>
      <c r="Y32" s="4" t="s">
        <v>11</v>
      </c>
      <c r="Z32" s="5" t="s">
        <v>12</v>
      </c>
      <c r="AA32" s="4" t="s">
        <v>13</v>
      </c>
      <c r="AB32" s="69"/>
      <c r="AC32" s="70"/>
    </row>
    <row r="33" spans="1:29" x14ac:dyDescent="0.25">
      <c r="A33" s="65" t="s">
        <v>14</v>
      </c>
      <c r="B33" s="65"/>
      <c r="C33" s="2">
        <v>-700</v>
      </c>
      <c r="D33" s="6">
        <v>-704.56</v>
      </c>
      <c r="E33" s="2">
        <v>0.28999999999999998</v>
      </c>
      <c r="F33" s="16">
        <v>0.21346309999999999</v>
      </c>
      <c r="G33" s="21">
        <v>5.9769667999999998E-2</v>
      </c>
      <c r="H33" s="9">
        <f>ABS(C33-D33)</f>
        <v>4.5599999999999454</v>
      </c>
      <c r="I33" s="22" t="str">
        <f>IF(AND(H33&lt;=60),"Pass", "Fail")</f>
        <v>Pass</v>
      </c>
      <c r="K33" s="65" t="s">
        <v>15</v>
      </c>
      <c r="L33" s="65"/>
      <c r="M33" s="2">
        <v>-1046</v>
      </c>
      <c r="N33" s="6">
        <v>-1001.601</v>
      </c>
      <c r="O33" s="11">
        <v>1.2999999999999999E-3</v>
      </c>
      <c r="P33" s="2">
        <v>0.187</v>
      </c>
      <c r="Q33" s="11">
        <v>2.431E-4</v>
      </c>
      <c r="R33" s="12">
        <f t="shared" ref="R33:R43" si="4">ABS(M33-N33)</f>
        <v>44.399000000000001</v>
      </c>
      <c r="S33" s="10" t="str">
        <f>IF(AND(R33&lt;=60),"Pass", "Fail")</f>
        <v>Pass</v>
      </c>
      <c r="U33" s="65" t="s">
        <v>16</v>
      </c>
      <c r="V33" s="65"/>
      <c r="W33" s="13">
        <v>0</v>
      </c>
      <c r="X33" s="14">
        <v>1021</v>
      </c>
      <c r="Y33" s="15">
        <v>1.56</v>
      </c>
      <c r="Z33" s="15">
        <v>0.32068560000000002</v>
      </c>
      <c r="AA33" s="11">
        <v>0.46499412000000001</v>
      </c>
      <c r="AB33" s="12">
        <f>ABS(W33-X33)</f>
        <v>1021</v>
      </c>
      <c r="AC33" s="71" t="str">
        <f>IF(AND((X35&lt;=7),(X35&gt;=-7),(X37&lt;=-970),(X37&gt;=-1005)), "Pass","Fail")</f>
        <v>Pass</v>
      </c>
    </row>
    <row r="34" spans="1:29" x14ac:dyDescent="0.25">
      <c r="A34" s="65" t="s">
        <v>17</v>
      </c>
      <c r="B34" s="65"/>
      <c r="C34" s="2">
        <v>-530</v>
      </c>
      <c r="D34" s="6">
        <v>-534.73900000000003</v>
      </c>
      <c r="E34" s="2">
        <v>0.45</v>
      </c>
      <c r="F34" s="16">
        <v>0.21317340000000001</v>
      </c>
      <c r="G34" s="21">
        <v>9.1664562000000005E-2</v>
      </c>
      <c r="H34" s="9">
        <f t="shared" ref="H34:H44" si="5">ABS(C34-D34)</f>
        <v>4.7390000000000327</v>
      </c>
      <c r="I34" s="22" t="str">
        <f>IF(AND(H34&lt;=48),"Pass", "Fail")</f>
        <v>Pass</v>
      </c>
      <c r="K34" s="65" t="s">
        <v>2</v>
      </c>
      <c r="L34" s="65"/>
      <c r="M34" s="2">
        <v>-925</v>
      </c>
      <c r="N34" s="6">
        <v>-829.64599999999996</v>
      </c>
      <c r="O34" s="2">
        <v>0.19</v>
      </c>
      <c r="P34" s="2">
        <v>0.187</v>
      </c>
      <c r="Q34" s="11">
        <v>3.5529999999999999E-2</v>
      </c>
      <c r="R34" s="12">
        <f t="shared" si="4"/>
        <v>95.354000000000042</v>
      </c>
      <c r="S34" s="10" t="str">
        <f>IF(AND(R34&lt;=115),"Pass", "Fail")</f>
        <v>Pass</v>
      </c>
      <c r="U34" s="65" t="s">
        <v>18</v>
      </c>
      <c r="V34" s="65"/>
      <c r="W34" s="13">
        <v>387</v>
      </c>
      <c r="X34" s="18">
        <v>120.28400000000001</v>
      </c>
      <c r="Y34" s="19">
        <v>1.19</v>
      </c>
      <c r="Z34" s="19">
        <v>0.2033833998425518</v>
      </c>
      <c r="AA34" s="11">
        <v>0.24202624581263663</v>
      </c>
      <c r="AB34" s="12">
        <f>ABS(W34-X34)</f>
        <v>266.71600000000001</v>
      </c>
      <c r="AC34" s="71"/>
    </row>
    <row r="35" spans="1:29" x14ac:dyDescent="0.25">
      <c r="A35" s="65" t="s">
        <v>19</v>
      </c>
      <c r="B35" s="65"/>
      <c r="C35" s="2">
        <v>-90</v>
      </c>
      <c r="D35" s="6">
        <v>-97.341999999999999</v>
      </c>
      <c r="E35" s="2">
        <v>0.95</v>
      </c>
      <c r="F35" s="16">
        <v>0.20191200000000001</v>
      </c>
      <c r="G35" s="21">
        <v>0.18979728000000001</v>
      </c>
      <c r="H35" s="9">
        <f t="shared" si="5"/>
        <v>7.3419999999999987</v>
      </c>
      <c r="I35" s="22" t="str">
        <f>IF(AND(H35&lt;=115),"Pass", "Fail")</f>
        <v>Pass</v>
      </c>
      <c r="K35" s="65" t="s">
        <v>20</v>
      </c>
      <c r="L35" s="65"/>
      <c r="M35" s="2">
        <v>-172</v>
      </c>
      <c r="N35" s="6">
        <v>-201.34399999999999</v>
      </c>
      <c r="O35" s="2">
        <v>0.83</v>
      </c>
      <c r="P35" s="2">
        <v>0.19700000000000001</v>
      </c>
      <c r="Q35" s="11">
        <v>0.16350999999999999</v>
      </c>
      <c r="R35" s="12">
        <f t="shared" si="4"/>
        <v>29.343999999999994</v>
      </c>
      <c r="S35" s="10" t="str">
        <f>IF(AND(R35&lt;=48),"Pass", "Fail")</f>
        <v>Pass</v>
      </c>
      <c r="U35" s="65" t="s">
        <v>21</v>
      </c>
      <c r="V35" s="65"/>
      <c r="W35" s="13">
        <v>0</v>
      </c>
      <c r="X35" s="20">
        <v>1.4079999999999999</v>
      </c>
      <c r="Y35" s="19">
        <v>1.02</v>
      </c>
      <c r="Z35" s="19">
        <v>0.21252430338190703</v>
      </c>
      <c r="AA35" s="11">
        <v>0.21677478944954517</v>
      </c>
      <c r="AB35" s="12">
        <f>ABS(W35-X35)</f>
        <v>1.4079999999999999</v>
      </c>
      <c r="AC35" s="71"/>
    </row>
    <row r="36" spans="1:29" x14ac:dyDescent="0.25">
      <c r="A36" s="65" t="s">
        <v>22</v>
      </c>
      <c r="B36" s="65"/>
      <c r="C36" s="2">
        <v>-50</v>
      </c>
      <c r="D36" s="6">
        <v>-51.938000000000002</v>
      </c>
      <c r="E36" s="2">
        <v>0.98</v>
      </c>
      <c r="F36" s="16">
        <v>0.20739859999999999</v>
      </c>
      <c r="G36" s="21">
        <v>0.19910265599999999</v>
      </c>
      <c r="H36" s="9">
        <f t="shared" si="5"/>
        <v>1.9380000000000024</v>
      </c>
      <c r="I36" s="22" t="str">
        <f>IF(AND(H36&lt;=43),"Pass", "Fail")</f>
        <v>Pass</v>
      </c>
      <c r="K36" s="65" t="s">
        <v>23</v>
      </c>
      <c r="L36" s="65"/>
      <c r="M36" s="2">
        <v>-87</v>
      </c>
      <c r="N36" s="6">
        <v>-114.65600000000001</v>
      </c>
      <c r="O36" s="2">
        <v>0.92</v>
      </c>
      <c r="P36" s="2">
        <v>0.19700000000000001</v>
      </c>
      <c r="Q36" s="11">
        <v>0.18124000000000001</v>
      </c>
      <c r="R36" s="12">
        <f t="shared" si="4"/>
        <v>27.656000000000006</v>
      </c>
      <c r="S36" s="10" t="str">
        <f>IF(AND(R36&lt;=48),"Pass", "Fail")</f>
        <v>Pass</v>
      </c>
      <c r="U36" s="67" t="s">
        <v>24</v>
      </c>
      <c r="V36" s="68"/>
      <c r="W36" s="13">
        <v>-172</v>
      </c>
      <c r="X36" s="18">
        <v>-106.944</v>
      </c>
      <c r="Y36" s="19">
        <v>0.91</v>
      </c>
      <c r="Z36" s="19">
        <v>0.20433761663095557</v>
      </c>
      <c r="AA36" s="11">
        <v>0.18594723113416958</v>
      </c>
      <c r="AB36" s="12">
        <f>ABS(W36-X36)</f>
        <v>65.055999999999997</v>
      </c>
      <c r="AC36" s="71"/>
    </row>
    <row r="37" spans="1:29" x14ac:dyDescent="0.25">
      <c r="A37" s="65" t="s">
        <v>21</v>
      </c>
      <c r="B37" s="65"/>
      <c r="C37" s="2">
        <v>0</v>
      </c>
      <c r="D37" s="6">
        <v>5.3209999999999997</v>
      </c>
      <c r="E37" s="2">
        <v>1.02</v>
      </c>
      <c r="F37" s="16">
        <v>0.2153709</v>
      </c>
      <c r="G37" s="21">
        <v>0.213217191</v>
      </c>
      <c r="H37" s="9">
        <f t="shared" si="5"/>
        <v>5.3209999999999997</v>
      </c>
      <c r="I37" s="22" t="str">
        <f>IF(AND(H37&lt;=14),"Pass", "Fail")</f>
        <v>Pass</v>
      </c>
      <c r="K37" s="65" t="s">
        <v>21</v>
      </c>
      <c r="L37" s="65"/>
      <c r="M37" s="2">
        <v>0</v>
      </c>
      <c r="N37" s="6"/>
      <c r="O37" s="2">
        <v>1</v>
      </c>
      <c r="P37" s="2">
        <v>0.20599999999999999</v>
      </c>
      <c r="Q37" s="11">
        <v>0.20599999999999999</v>
      </c>
      <c r="R37" s="12">
        <f t="shared" si="4"/>
        <v>0</v>
      </c>
      <c r="S37" s="10" t="str">
        <f>IF(AND(R37&lt;=14),"Pass", "Fail")</f>
        <v>Pass</v>
      </c>
      <c r="U37" s="65" t="s">
        <v>15</v>
      </c>
      <c r="V37" s="65"/>
      <c r="W37" s="13">
        <v>-1046</v>
      </c>
      <c r="X37" s="18">
        <v>-999.38900000000001</v>
      </c>
      <c r="Y37" s="19">
        <v>1.2999999999999999E-3</v>
      </c>
      <c r="Z37" s="19">
        <v>0.1865</v>
      </c>
      <c r="AA37" s="11">
        <v>2.4244999999999998E-4</v>
      </c>
      <c r="AB37" s="12">
        <f>ABS(W37-X37)</f>
        <v>46.61099999999999</v>
      </c>
      <c r="AC37" s="71"/>
    </row>
    <row r="38" spans="1:29" x14ac:dyDescent="0.25">
      <c r="A38" s="65" t="s">
        <v>25</v>
      </c>
      <c r="B38" s="65"/>
      <c r="C38" s="2">
        <v>20</v>
      </c>
      <c r="D38" s="6">
        <v>14.374000000000001</v>
      </c>
      <c r="E38" s="2">
        <v>1.05</v>
      </c>
      <c r="F38" s="16">
        <v>0.202542</v>
      </c>
      <c r="G38" s="21">
        <v>0.21064368</v>
      </c>
      <c r="H38" s="9">
        <f t="shared" si="5"/>
        <v>5.6259999999999994</v>
      </c>
      <c r="I38" s="22" t="str">
        <f>IF(AND(H38&lt;=119),"Pass", "Fail")</f>
        <v>Pass</v>
      </c>
      <c r="K38" s="65" t="s">
        <v>24</v>
      </c>
      <c r="L38" s="65"/>
      <c r="M38" s="2">
        <v>-29</v>
      </c>
      <c r="N38" s="6">
        <v>-56.198</v>
      </c>
      <c r="O38" s="2">
        <v>1.03</v>
      </c>
      <c r="P38" s="2">
        <v>0.187</v>
      </c>
      <c r="Q38" s="11">
        <v>0.19261</v>
      </c>
      <c r="R38" s="12">
        <f t="shared" si="4"/>
        <v>27.198</v>
      </c>
      <c r="S38" s="10" t="str">
        <f>IF(AND(R38&lt;=36),"Pass", "Fail")</f>
        <v>Pass</v>
      </c>
    </row>
    <row r="39" spans="1:29" x14ac:dyDescent="0.25">
      <c r="A39" s="65" t="s">
        <v>26</v>
      </c>
      <c r="B39" s="65"/>
      <c r="C39" s="2">
        <v>60</v>
      </c>
      <c r="D39" s="6">
        <v>77.927999999999997</v>
      </c>
      <c r="E39" s="2">
        <v>1.0900000000000001</v>
      </c>
      <c r="F39" s="16">
        <v>0.21539849999999999</v>
      </c>
      <c r="G39" s="21">
        <v>0.230476395</v>
      </c>
      <c r="H39" s="9">
        <f t="shared" si="5"/>
        <v>17.927999999999997</v>
      </c>
      <c r="I39" s="22" t="str">
        <f>IF(AND(H39&lt;=52),"Pass", "Fail")</f>
        <v>Pass</v>
      </c>
      <c r="K39" s="65" t="s">
        <v>18</v>
      </c>
      <c r="L39" s="65"/>
      <c r="M39" s="2">
        <v>137</v>
      </c>
      <c r="N39" s="6">
        <v>111.30200000000001</v>
      </c>
      <c r="O39" s="2">
        <v>1.18</v>
      </c>
      <c r="P39" s="2">
        <v>0.192</v>
      </c>
      <c r="Q39" s="11">
        <v>0.22655999999999998</v>
      </c>
      <c r="R39" s="12">
        <f t="shared" si="4"/>
        <v>25.697999999999993</v>
      </c>
      <c r="S39" s="10" t="str">
        <f>IF(AND(R39&lt;=45),"Pass", "Fail")</f>
        <v>Pass</v>
      </c>
    </row>
    <row r="40" spans="1:29" x14ac:dyDescent="0.25">
      <c r="A40" s="65" t="s">
        <v>27</v>
      </c>
      <c r="B40" s="65"/>
      <c r="C40" s="2">
        <v>210</v>
      </c>
      <c r="D40" s="6">
        <v>269.48</v>
      </c>
      <c r="E40" s="2">
        <v>1.1399999999999999</v>
      </c>
      <c r="F40" s="16">
        <v>0.25943470000000002</v>
      </c>
      <c r="G40" s="21">
        <v>0.28278382299999999</v>
      </c>
      <c r="H40" s="9">
        <f t="shared" si="5"/>
        <v>59.480000000000018</v>
      </c>
      <c r="I40" s="22" t="str">
        <f>IF(AND(H40&lt;=48),"Pass", "Fail")</f>
        <v>Fail</v>
      </c>
      <c r="K40" s="65" t="s">
        <v>28</v>
      </c>
      <c r="L40" s="65"/>
      <c r="M40" s="2">
        <v>263</v>
      </c>
      <c r="N40" s="6">
        <v>184.37799999999999</v>
      </c>
      <c r="O40" s="2">
        <v>1.1399999999999999</v>
      </c>
      <c r="P40" s="2">
        <v>0.22</v>
      </c>
      <c r="Q40" s="11">
        <v>0.25079999999999997</v>
      </c>
      <c r="R40" s="12">
        <f t="shared" si="4"/>
        <v>78.622000000000014</v>
      </c>
      <c r="S40" s="10" t="str">
        <f>IF(AND(R40&lt;=52),"Pass", "Fail")</f>
        <v>Fail</v>
      </c>
    </row>
    <row r="41" spans="1:29" x14ac:dyDescent="0.25">
      <c r="A41" s="65" t="s">
        <v>16</v>
      </c>
      <c r="B41" s="65"/>
      <c r="C41" s="2">
        <v>220</v>
      </c>
      <c r="D41" s="6">
        <v>277.61200000000002</v>
      </c>
      <c r="E41" s="2">
        <v>1.1499999999999999</v>
      </c>
      <c r="F41" s="16">
        <v>0.25952619999999998</v>
      </c>
      <c r="G41" s="21">
        <v>0.28547882000000002</v>
      </c>
      <c r="H41" s="9">
        <f t="shared" si="5"/>
        <v>57.612000000000023</v>
      </c>
      <c r="I41" s="22" t="str">
        <f>IF(AND(H41&lt;=116),"Pass", "Fail")</f>
        <v>Pass</v>
      </c>
      <c r="K41" s="65" t="s">
        <v>29</v>
      </c>
      <c r="L41" s="65"/>
      <c r="M41" s="2">
        <v>387</v>
      </c>
      <c r="N41" s="6">
        <v>301.06200000000001</v>
      </c>
      <c r="O41" s="2">
        <v>1.42</v>
      </c>
      <c r="P41" s="2">
        <v>0.19400000000000001</v>
      </c>
      <c r="Q41" s="11">
        <v>0.27548</v>
      </c>
      <c r="R41" s="12">
        <f t="shared" si="4"/>
        <v>85.937999999999988</v>
      </c>
      <c r="S41" s="10" t="str">
        <f>IF(AND(R41&lt;=43),"Pass", "Fail")</f>
        <v>Fail</v>
      </c>
    </row>
    <row r="42" spans="1:29" x14ac:dyDescent="0.25">
      <c r="A42" s="65" t="s">
        <v>30</v>
      </c>
      <c r="B42" s="65"/>
      <c r="C42" s="2">
        <v>450</v>
      </c>
      <c r="D42" s="6">
        <v>545.53399999999999</v>
      </c>
      <c r="E42" s="2">
        <v>1.33</v>
      </c>
      <c r="F42" s="16">
        <v>0.27283960000000002</v>
      </c>
      <c r="G42" s="21">
        <v>0.34377789600000003</v>
      </c>
      <c r="H42" s="9">
        <f t="shared" si="5"/>
        <v>95.533999999999992</v>
      </c>
      <c r="I42" s="22" t="str">
        <f>IF(AND(H42&lt;=45),"Pass", "Fail")</f>
        <v>Fail</v>
      </c>
      <c r="K42" s="65" t="s">
        <v>31</v>
      </c>
      <c r="L42" s="65"/>
      <c r="M42" s="2">
        <v>783</v>
      </c>
      <c r="N42" s="6">
        <v>764.38900000000001</v>
      </c>
      <c r="O42" s="2">
        <v>1.4</v>
      </c>
      <c r="P42" s="2">
        <v>0.26600000000000001</v>
      </c>
      <c r="Q42" s="11">
        <v>0.37240000000000001</v>
      </c>
      <c r="R42" s="12">
        <f t="shared" si="4"/>
        <v>18.61099999999999</v>
      </c>
      <c r="S42" s="10" t="str">
        <f>IF(AND(R42&lt;=116),"Pass", "Fail")</f>
        <v>Pass</v>
      </c>
    </row>
    <row r="43" spans="1:29" x14ac:dyDescent="0.25">
      <c r="A43" s="65" t="s">
        <v>32</v>
      </c>
      <c r="B43" s="65"/>
      <c r="C43" s="2">
        <v>820</v>
      </c>
      <c r="D43" s="6">
        <v>1025.1790000000001</v>
      </c>
      <c r="E43" s="2">
        <v>1.56</v>
      </c>
      <c r="F43" s="16">
        <v>0.32068560000000002</v>
      </c>
      <c r="G43" s="21">
        <v>0.46499412000000001</v>
      </c>
      <c r="H43" s="9">
        <f t="shared" si="5"/>
        <v>205.17900000000009</v>
      </c>
      <c r="I43" s="22" t="str">
        <f>IF(AND(H43&lt;=45),"Pass", "Fail")</f>
        <v>Fail</v>
      </c>
      <c r="K43" s="65" t="s">
        <v>33</v>
      </c>
      <c r="L43" s="65"/>
      <c r="M43" s="2">
        <v>1060</v>
      </c>
      <c r="N43" s="6">
        <v>907.98299999999995</v>
      </c>
      <c r="O43" s="2">
        <v>2.16</v>
      </c>
      <c r="P43" s="2">
        <v>0.188</v>
      </c>
      <c r="Q43" s="11">
        <v>0.40608000000000005</v>
      </c>
      <c r="R43" s="12">
        <f t="shared" si="4"/>
        <v>152.01700000000005</v>
      </c>
      <c r="S43" s="10" t="str">
        <f>IF(AND(R43&lt;=119),"Pass", "Fail")</f>
        <v>Fail</v>
      </c>
    </row>
    <row r="44" spans="1:29" x14ac:dyDescent="0.25">
      <c r="A44" s="65" t="s">
        <v>34</v>
      </c>
      <c r="B44" s="65"/>
      <c r="C44" s="2">
        <v>1250</v>
      </c>
      <c r="D44" s="6">
        <v>1588.258</v>
      </c>
      <c r="E44" s="2">
        <v>1.82</v>
      </c>
      <c r="F44" s="16">
        <v>0.36243550000000002</v>
      </c>
      <c r="G44" s="21">
        <v>0.61251599499999998</v>
      </c>
      <c r="H44" s="9">
        <f t="shared" si="5"/>
        <v>338.25800000000004</v>
      </c>
      <c r="I44" s="22" t="str">
        <f>IF(AND(H44&lt;=45),"Pass", "Fail")</f>
        <v>Fail</v>
      </c>
    </row>
    <row r="45" spans="1:29" ht="15" customHeight="1" x14ac:dyDescent="0.25">
      <c r="A45" s="65" t="s">
        <v>0</v>
      </c>
      <c r="B45" s="65"/>
      <c r="C45" s="65" t="s">
        <v>6</v>
      </c>
      <c r="D45" s="64" t="s">
        <v>37</v>
      </c>
      <c r="E45" s="64"/>
      <c r="F45" s="64"/>
      <c r="G45" s="64"/>
      <c r="H45" s="65" t="s">
        <v>8</v>
      </c>
      <c r="I45" s="66" t="s">
        <v>9</v>
      </c>
      <c r="K45" s="65" t="s">
        <v>0</v>
      </c>
      <c r="L45" s="65"/>
      <c r="M45" s="65" t="s">
        <v>6</v>
      </c>
      <c r="N45" s="64" t="s">
        <v>37</v>
      </c>
      <c r="O45" s="64"/>
      <c r="P45" s="64"/>
      <c r="Q45" s="64"/>
      <c r="R45" s="65" t="s">
        <v>8</v>
      </c>
      <c r="S45" s="66" t="s">
        <v>9</v>
      </c>
      <c r="U45" s="65" t="s">
        <v>0</v>
      </c>
      <c r="V45" s="65"/>
      <c r="W45" s="65" t="s">
        <v>6</v>
      </c>
      <c r="X45" s="64" t="s">
        <v>37</v>
      </c>
      <c r="Y45" s="64"/>
      <c r="Z45" s="64"/>
      <c r="AA45" s="64"/>
      <c r="AB45" s="65" t="s">
        <v>8</v>
      </c>
      <c r="AC45" s="66" t="s">
        <v>9</v>
      </c>
    </row>
    <row r="46" spans="1:29" ht="30" x14ac:dyDescent="0.25">
      <c r="A46" s="65"/>
      <c r="B46" s="65"/>
      <c r="C46" s="65"/>
      <c r="D46" s="2" t="s">
        <v>10</v>
      </c>
      <c r="E46" s="2" t="s">
        <v>11</v>
      </c>
      <c r="F46" s="3" t="s">
        <v>12</v>
      </c>
      <c r="G46" s="2" t="s">
        <v>13</v>
      </c>
      <c r="H46" s="65"/>
      <c r="I46" s="66"/>
      <c r="K46" s="65"/>
      <c r="L46" s="65"/>
      <c r="M46" s="65"/>
      <c r="N46" s="2" t="s">
        <v>10</v>
      </c>
      <c r="O46" s="2" t="s">
        <v>11</v>
      </c>
      <c r="P46" s="3" t="s">
        <v>12</v>
      </c>
      <c r="Q46" s="2" t="s">
        <v>13</v>
      </c>
      <c r="R46" s="65"/>
      <c r="S46" s="66"/>
      <c r="U46" s="65"/>
      <c r="V46" s="65"/>
      <c r="W46" s="65"/>
      <c r="X46" s="4" t="s">
        <v>10</v>
      </c>
      <c r="Y46" s="4" t="s">
        <v>11</v>
      </c>
      <c r="Z46" s="5" t="s">
        <v>12</v>
      </c>
      <c r="AA46" s="4" t="s">
        <v>13</v>
      </c>
      <c r="AB46" s="69"/>
      <c r="AC46" s="70"/>
    </row>
    <row r="47" spans="1:29" x14ac:dyDescent="0.25">
      <c r="A47" s="65" t="s">
        <v>14</v>
      </c>
      <c r="B47" s="65"/>
      <c r="C47" s="2">
        <v>-700</v>
      </c>
      <c r="D47" s="6">
        <v>-703.10199999999998</v>
      </c>
      <c r="E47" s="2">
        <v>0.28999999999999998</v>
      </c>
      <c r="F47" s="16">
        <v>0.26396799999999998</v>
      </c>
      <c r="G47" s="21">
        <v>7.3911039999999997E-2</v>
      </c>
      <c r="H47" s="9">
        <f>ABS(C47-D47)</f>
        <v>3.1019999999999754</v>
      </c>
      <c r="I47" s="22" t="str">
        <f>IF(AND(H47&lt;=60),"Pass", "Fail")</f>
        <v>Pass</v>
      </c>
      <c r="K47" s="65" t="s">
        <v>15</v>
      </c>
      <c r="L47" s="65"/>
      <c r="M47" s="2">
        <v>-1046</v>
      </c>
      <c r="N47" s="6">
        <v>-1005.583</v>
      </c>
      <c r="O47" s="11">
        <v>1.2999999999999999E-3</v>
      </c>
      <c r="P47" s="2">
        <v>0.21199999999999999</v>
      </c>
      <c r="Q47" s="11">
        <v>2.7559999999999998E-4</v>
      </c>
      <c r="R47" s="12">
        <f t="shared" ref="R47:R57" si="6">ABS(M47-N47)</f>
        <v>40.41700000000003</v>
      </c>
      <c r="S47" s="10" t="str">
        <f>IF(AND(R47&lt;=60),"Pass", "Fail")</f>
        <v>Pass</v>
      </c>
      <c r="U47" s="65" t="s">
        <v>16</v>
      </c>
      <c r="V47" s="65"/>
      <c r="W47" s="13">
        <v>0</v>
      </c>
      <c r="X47" s="14">
        <v>1256.0920000000001</v>
      </c>
      <c r="Y47" s="15">
        <v>1.56</v>
      </c>
      <c r="Z47" s="15">
        <v>0.47723900000000002</v>
      </c>
      <c r="AA47" s="11">
        <v>0.69199655000000004</v>
      </c>
      <c r="AB47" s="12">
        <f>ABS(W47-X47)</f>
        <v>1256.0920000000001</v>
      </c>
      <c r="AC47" s="71" t="str">
        <f>IF(AND((X49&lt;=7),(X49&gt;=-7),(X51&lt;=-970),(X51&gt;=-1005)), "Pass","Fail")</f>
        <v>Pass</v>
      </c>
    </row>
    <row r="48" spans="1:29" x14ac:dyDescent="0.25">
      <c r="A48" s="65" t="s">
        <v>17</v>
      </c>
      <c r="B48" s="65"/>
      <c r="C48" s="2">
        <v>-530</v>
      </c>
      <c r="D48" s="6">
        <v>-538.24199999999996</v>
      </c>
      <c r="E48" s="2">
        <v>0.45</v>
      </c>
      <c r="F48" s="16">
        <v>0.26329390000000003</v>
      </c>
      <c r="G48" s="21">
        <v>0.11321637700000001</v>
      </c>
      <c r="H48" s="9">
        <f t="shared" ref="H48:H58" si="7">ABS(C48-D48)</f>
        <v>8.2419999999999618</v>
      </c>
      <c r="I48" s="22" t="str">
        <f>IF(AND(H48&lt;=48),"Pass", "Fail")</f>
        <v>Pass</v>
      </c>
      <c r="K48" s="65" t="s">
        <v>2</v>
      </c>
      <c r="L48" s="65"/>
      <c r="M48" s="2">
        <v>-925</v>
      </c>
      <c r="N48" s="6">
        <v>-834.34400000000005</v>
      </c>
      <c r="O48" s="2">
        <v>0.19</v>
      </c>
      <c r="P48" s="2">
        <v>0.20699999999999999</v>
      </c>
      <c r="Q48" s="11">
        <v>3.9329999999999997E-2</v>
      </c>
      <c r="R48" s="12">
        <f t="shared" si="6"/>
        <v>90.655999999999949</v>
      </c>
      <c r="S48" s="10" t="str">
        <f>IF(AND(R48&lt;=115),"Pass", "Fail")</f>
        <v>Pass</v>
      </c>
      <c r="U48" s="65" t="s">
        <v>18</v>
      </c>
      <c r="V48" s="65"/>
      <c r="W48" s="13">
        <v>387</v>
      </c>
      <c r="X48" s="18">
        <v>106.017</v>
      </c>
      <c r="Y48" s="19">
        <v>1.19</v>
      </c>
      <c r="Z48" s="19">
        <v>0.23780724386302496</v>
      </c>
      <c r="AA48" s="11">
        <v>0.28299062019699966</v>
      </c>
      <c r="AB48" s="12">
        <f>ABS(W48-X48)</f>
        <v>280.983</v>
      </c>
      <c r="AC48" s="71"/>
    </row>
    <row r="49" spans="1:29" x14ac:dyDescent="0.25">
      <c r="A49" s="65" t="s">
        <v>19</v>
      </c>
      <c r="B49" s="65"/>
      <c r="C49" s="2">
        <v>-90</v>
      </c>
      <c r="D49" s="6">
        <v>-111.238</v>
      </c>
      <c r="E49" s="2">
        <v>0.95</v>
      </c>
      <c r="F49" s="16">
        <v>0.23218430000000001</v>
      </c>
      <c r="G49" s="21">
        <v>0.21825324199999999</v>
      </c>
      <c r="H49" s="9">
        <f t="shared" si="7"/>
        <v>21.238</v>
      </c>
      <c r="I49" s="22" t="str">
        <f>IF(AND(H49&lt;=115),"Pass", "Fail")</f>
        <v>Pass</v>
      </c>
      <c r="K49" s="65" t="s">
        <v>20</v>
      </c>
      <c r="L49" s="65"/>
      <c r="M49" s="2">
        <v>-172</v>
      </c>
      <c r="N49" s="6">
        <v>-222.54499999999999</v>
      </c>
      <c r="O49" s="2">
        <v>0.83</v>
      </c>
      <c r="P49" s="2">
        <v>0.21099999999999999</v>
      </c>
      <c r="Q49" s="11">
        <v>0.17512999999999998</v>
      </c>
      <c r="R49" s="12">
        <f t="shared" si="6"/>
        <v>50.544999999999987</v>
      </c>
      <c r="S49" s="10" t="str">
        <f>IF(AND(R49&lt;=48),"Pass", "Fail")</f>
        <v>Fail</v>
      </c>
      <c r="U49" s="65" t="s">
        <v>21</v>
      </c>
      <c r="V49" s="65"/>
      <c r="W49" s="13">
        <v>0</v>
      </c>
      <c r="X49" s="20">
        <v>0.873</v>
      </c>
      <c r="Y49" s="2">
        <v>1.02</v>
      </c>
      <c r="Z49" s="16">
        <v>0.25496915727397107</v>
      </c>
      <c r="AA49" s="21">
        <v>0.26006854041945049</v>
      </c>
      <c r="AB49" s="12">
        <f>ABS(W49-X49)</f>
        <v>0.873</v>
      </c>
      <c r="AC49" s="71"/>
    </row>
    <row r="50" spans="1:29" x14ac:dyDescent="0.25">
      <c r="A50" s="65" t="s">
        <v>22</v>
      </c>
      <c r="B50" s="65"/>
      <c r="C50" s="2">
        <v>-50</v>
      </c>
      <c r="D50" s="6">
        <v>-58.649000000000001</v>
      </c>
      <c r="E50" s="2">
        <v>0.98</v>
      </c>
      <c r="F50" s="16">
        <v>0.24388309999999999</v>
      </c>
      <c r="G50" s="21">
        <v>0.23412777600000001</v>
      </c>
      <c r="H50" s="9">
        <f t="shared" si="7"/>
        <v>8.6490000000000009</v>
      </c>
      <c r="I50" s="22" t="str">
        <f>IF(AND(H50&lt;=43),"Pass", "Fail")</f>
        <v>Pass</v>
      </c>
      <c r="K50" s="65" t="s">
        <v>23</v>
      </c>
      <c r="L50" s="65"/>
      <c r="M50" s="2">
        <v>-87</v>
      </c>
      <c r="N50" s="6">
        <v>-137.22900000000001</v>
      </c>
      <c r="O50" s="2">
        <v>0.92</v>
      </c>
      <c r="P50" s="2">
        <v>0.21099999999999999</v>
      </c>
      <c r="Q50" s="11">
        <v>0.19412000000000001</v>
      </c>
      <c r="R50" s="12">
        <f t="shared" si="6"/>
        <v>50.229000000000013</v>
      </c>
      <c r="S50" s="10" t="str">
        <f>IF(AND(R50&lt;=48),"Pass", "Fail")</f>
        <v>Fail</v>
      </c>
      <c r="U50" s="67" t="s">
        <v>24</v>
      </c>
      <c r="V50" s="68"/>
      <c r="W50" s="13">
        <v>-172</v>
      </c>
      <c r="X50" s="18">
        <v>-129.06299999999999</v>
      </c>
      <c r="Y50" s="19">
        <v>0.91</v>
      </c>
      <c r="Z50" s="19">
        <v>0.22945252852857245</v>
      </c>
      <c r="AA50" s="11">
        <v>0.20880180096100093</v>
      </c>
      <c r="AB50" s="12">
        <f>ABS(W50-X50)</f>
        <v>42.937000000000012</v>
      </c>
      <c r="AC50" s="71"/>
    </row>
    <row r="51" spans="1:29" x14ac:dyDescent="0.25">
      <c r="A51" s="65" t="s">
        <v>21</v>
      </c>
      <c r="B51" s="65"/>
      <c r="C51" s="2">
        <v>0</v>
      </c>
      <c r="D51" s="6">
        <v>5.9950000000000001</v>
      </c>
      <c r="E51" s="2">
        <v>1.02</v>
      </c>
      <c r="F51" s="16">
        <v>0.26068029999999998</v>
      </c>
      <c r="G51" s="21">
        <v>0.25807349699999999</v>
      </c>
      <c r="H51" s="9">
        <f t="shared" si="7"/>
        <v>5.9950000000000001</v>
      </c>
      <c r="I51" s="22" t="str">
        <f>IF(AND(H51&lt;=14),"Pass", "Fail")</f>
        <v>Pass</v>
      </c>
      <c r="K51" s="65" t="s">
        <v>21</v>
      </c>
      <c r="L51" s="65"/>
      <c r="M51" s="2">
        <v>0</v>
      </c>
      <c r="N51" s="6"/>
      <c r="O51" s="2">
        <v>1</v>
      </c>
      <c r="P51" s="2">
        <v>0.23300000000000001</v>
      </c>
      <c r="Q51" s="11">
        <v>0.23300000000000001</v>
      </c>
      <c r="R51" s="12">
        <f t="shared" si="6"/>
        <v>0</v>
      </c>
      <c r="S51" s="10" t="str">
        <f>IF(AND(R51&lt;=14),"Pass", "Fail")</f>
        <v>Pass</v>
      </c>
      <c r="U51" s="65" t="s">
        <v>15</v>
      </c>
      <c r="V51" s="65"/>
      <c r="W51" s="13">
        <v>-1046</v>
      </c>
      <c r="X51" s="18">
        <v>-1001.146</v>
      </c>
      <c r="Y51" s="19">
        <v>1.2999999999999999E-3</v>
      </c>
      <c r="Z51" s="19">
        <v>0.1724</v>
      </c>
      <c r="AA51" s="11">
        <v>2.2411999999999999E-4</v>
      </c>
      <c r="AB51" s="12">
        <f>ABS(W51-X51)</f>
        <v>44.854000000000042</v>
      </c>
      <c r="AC51" s="71"/>
    </row>
    <row r="52" spans="1:29" x14ac:dyDescent="0.25">
      <c r="A52" s="65" t="s">
        <v>25</v>
      </c>
      <c r="B52" s="65"/>
      <c r="C52" s="2">
        <v>20</v>
      </c>
      <c r="D52" s="6">
        <v>4.5579999999999998</v>
      </c>
      <c r="E52" s="2">
        <v>1.05</v>
      </c>
      <c r="F52" s="16">
        <v>0.2329214</v>
      </c>
      <c r="G52" s="21">
        <v>0.24223825600000001</v>
      </c>
      <c r="H52" s="9">
        <f t="shared" si="7"/>
        <v>15.442</v>
      </c>
      <c r="I52" s="22" t="str">
        <f>IF(AND(H52&lt;=119),"Pass", "Fail")</f>
        <v>Pass</v>
      </c>
      <c r="K52" s="65" t="s">
        <v>24</v>
      </c>
      <c r="L52" s="65"/>
      <c r="M52" s="2">
        <v>-29</v>
      </c>
      <c r="N52" s="6">
        <v>-76.885000000000005</v>
      </c>
      <c r="O52" s="2">
        <v>1.03</v>
      </c>
      <c r="P52" s="2">
        <v>0.20200000000000001</v>
      </c>
      <c r="Q52" s="11">
        <v>0.20806000000000002</v>
      </c>
      <c r="R52" s="12">
        <f t="shared" si="6"/>
        <v>47.885000000000005</v>
      </c>
      <c r="S52" s="10" t="str">
        <f>IF(AND(R52&lt;=36),"Pass", "Fail")</f>
        <v>Fail</v>
      </c>
    </row>
    <row r="53" spans="1:29" x14ac:dyDescent="0.25">
      <c r="A53" s="65" t="s">
        <v>26</v>
      </c>
      <c r="B53" s="65"/>
      <c r="C53" s="2">
        <v>60</v>
      </c>
      <c r="D53" s="6">
        <v>82.523300000000006</v>
      </c>
      <c r="E53" s="2">
        <v>1.0900000000000001</v>
      </c>
      <c r="F53" s="16">
        <v>0.26073790000000002</v>
      </c>
      <c r="G53" s="21">
        <v>0.278989553</v>
      </c>
      <c r="H53" s="9">
        <f t="shared" si="7"/>
        <v>22.523300000000006</v>
      </c>
      <c r="I53" s="22" t="str">
        <f>IF(AND(H53&lt;=52),"Pass", "Fail")</f>
        <v>Pass</v>
      </c>
      <c r="K53" s="65" t="s">
        <v>18</v>
      </c>
      <c r="L53" s="65"/>
      <c r="M53" s="2">
        <v>137</v>
      </c>
      <c r="N53" s="6">
        <v>96.17</v>
      </c>
      <c r="O53" s="2">
        <v>1.18</v>
      </c>
      <c r="P53" s="2">
        <v>0.21199999999999999</v>
      </c>
      <c r="Q53" s="11">
        <v>0.25015999999999999</v>
      </c>
      <c r="R53" s="12">
        <f t="shared" si="6"/>
        <v>40.83</v>
      </c>
      <c r="S53" s="10" t="str">
        <f>IF(AND(R53&lt;=45),"Pass", "Fail")</f>
        <v>Pass</v>
      </c>
    </row>
    <row r="54" spans="1:29" x14ac:dyDescent="0.25">
      <c r="A54" s="65" t="s">
        <v>27</v>
      </c>
      <c r="B54" s="65"/>
      <c r="C54" s="2">
        <v>210</v>
      </c>
      <c r="D54" s="6">
        <v>337.94</v>
      </c>
      <c r="E54" s="2">
        <v>1.1399999999999999</v>
      </c>
      <c r="F54" s="16">
        <v>0.35348750000000001</v>
      </c>
      <c r="G54" s="21">
        <v>0.385301375</v>
      </c>
      <c r="H54" s="9">
        <f t="shared" si="7"/>
        <v>127.94</v>
      </c>
      <c r="I54" s="22" t="str">
        <f>IF(AND(H54&lt;=48),"Pass", "Fail")</f>
        <v>Fail</v>
      </c>
      <c r="K54" s="65" t="s">
        <v>28</v>
      </c>
      <c r="L54" s="65"/>
      <c r="M54" s="2">
        <v>263</v>
      </c>
      <c r="N54" s="6">
        <v>223.559</v>
      </c>
      <c r="O54" s="2">
        <v>1.1399999999999999</v>
      </c>
      <c r="P54" s="2">
        <v>0.27</v>
      </c>
      <c r="Q54" s="11">
        <v>0.30780000000000002</v>
      </c>
      <c r="R54" s="12">
        <f t="shared" si="6"/>
        <v>39.441000000000003</v>
      </c>
      <c r="S54" s="10" t="str">
        <f>IF(AND(R54&lt;=52),"Pass", "Fail")</f>
        <v>Pass</v>
      </c>
    </row>
    <row r="55" spans="1:29" x14ac:dyDescent="0.25">
      <c r="A55" s="65" t="s">
        <v>16</v>
      </c>
      <c r="B55" s="65"/>
      <c r="C55" s="2">
        <v>220</v>
      </c>
      <c r="D55" s="6">
        <v>336.58800000000002</v>
      </c>
      <c r="E55" s="2">
        <v>1.1499999999999999</v>
      </c>
      <c r="F55" s="16">
        <v>0.35370740000000001</v>
      </c>
      <c r="G55" s="21">
        <v>0.38907814000000002</v>
      </c>
      <c r="H55" s="9">
        <f t="shared" si="7"/>
        <v>116.58800000000002</v>
      </c>
      <c r="I55" s="22" t="str">
        <f>IF(AND(H55&lt;=116),"Pass", "Fail")</f>
        <v>Fail</v>
      </c>
      <c r="K55" s="65" t="s">
        <v>29</v>
      </c>
      <c r="L55" s="65"/>
      <c r="M55" s="2">
        <v>387</v>
      </c>
      <c r="N55" s="6">
        <v>300.46499999999997</v>
      </c>
      <c r="O55" s="2">
        <v>1.42</v>
      </c>
      <c r="P55" s="2">
        <v>0.216</v>
      </c>
      <c r="Q55" s="11">
        <v>0.30671999999999999</v>
      </c>
      <c r="R55" s="12">
        <f t="shared" si="6"/>
        <v>86.535000000000025</v>
      </c>
      <c r="S55" s="10" t="str">
        <f>IF(AND(R55&lt;=43),"Pass", "Fail")</f>
        <v>Fail</v>
      </c>
    </row>
    <row r="56" spans="1:29" x14ac:dyDescent="0.25">
      <c r="A56" s="65" t="s">
        <v>30</v>
      </c>
      <c r="B56" s="65"/>
      <c r="C56" s="2">
        <v>450</v>
      </c>
      <c r="D56" s="6">
        <v>646.53</v>
      </c>
      <c r="E56" s="2">
        <v>1.33</v>
      </c>
      <c r="F56" s="16">
        <v>0.37954120000000002</v>
      </c>
      <c r="G56" s="21">
        <v>0.47822191200000003</v>
      </c>
      <c r="H56" s="9">
        <f t="shared" si="7"/>
        <v>196.52999999999997</v>
      </c>
      <c r="I56" s="22" t="str">
        <f>IF(AND(H56&lt;=45),"Pass", "Fail")</f>
        <v>Fail</v>
      </c>
      <c r="K56" s="65" t="s">
        <v>31</v>
      </c>
      <c r="L56" s="65"/>
      <c r="M56" s="2">
        <v>783</v>
      </c>
      <c r="N56" s="6">
        <v>925.24</v>
      </c>
      <c r="O56" s="2">
        <v>1.4</v>
      </c>
      <c r="P56" s="2">
        <v>0.36099999999999999</v>
      </c>
      <c r="Q56" s="11">
        <v>0.50539999999999996</v>
      </c>
      <c r="R56" s="12">
        <f t="shared" si="6"/>
        <v>142.24</v>
      </c>
      <c r="S56" s="10" t="str">
        <f>IF(AND(R56&lt;=116),"Pass", "Fail")</f>
        <v>Fail</v>
      </c>
    </row>
    <row r="57" spans="1:29" x14ac:dyDescent="0.25">
      <c r="A57" s="65" t="s">
        <v>32</v>
      </c>
      <c r="B57" s="65"/>
      <c r="C57" s="2">
        <v>820</v>
      </c>
      <c r="D57" s="6">
        <v>1238.703</v>
      </c>
      <c r="E57" s="2">
        <v>1.56</v>
      </c>
      <c r="F57" s="16">
        <v>0.47723900000000002</v>
      </c>
      <c r="G57" s="21">
        <v>0.69199655000000004</v>
      </c>
      <c r="H57" s="9">
        <f t="shared" si="7"/>
        <v>418.70299999999997</v>
      </c>
      <c r="I57" s="22" t="str">
        <f>IF(AND(H57&lt;=45),"Pass", "Fail")</f>
        <v>Fail</v>
      </c>
      <c r="K57" s="65" t="s">
        <v>33</v>
      </c>
      <c r="L57" s="65"/>
      <c r="M57" s="2">
        <v>1060</v>
      </c>
      <c r="N57" s="6">
        <v>944.47900000000004</v>
      </c>
      <c r="O57" s="2">
        <v>2.16</v>
      </c>
      <c r="P57" s="2">
        <v>0.221</v>
      </c>
      <c r="Q57" s="11">
        <v>0.47736000000000006</v>
      </c>
      <c r="R57" s="12">
        <f t="shared" si="6"/>
        <v>115.52099999999996</v>
      </c>
      <c r="S57" s="10" t="str">
        <f>IF(AND(R57&lt;=119),"Pass", "Fail")</f>
        <v>Pass</v>
      </c>
    </row>
    <row r="58" spans="1:29" x14ac:dyDescent="0.25">
      <c r="A58" s="65" t="s">
        <v>34</v>
      </c>
      <c r="B58" s="65"/>
      <c r="C58" s="2">
        <v>1250</v>
      </c>
      <c r="D58" s="6">
        <v>1927.7</v>
      </c>
      <c r="E58" s="2">
        <v>1.82</v>
      </c>
      <c r="F58" s="16">
        <v>0.56251519999999999</v>
      </c>
      <c r="G58" s="21">
        <v>0.95065068799999997</v>
      </c>
      <c r="H58" s="9">
        <f t="shared" si="7"/>
        <v>677.7</v>
      </c>
      <c r="I58" s="22" t="str">
        <f>IF(AND(H58&lt;=45),"Pass", "Fail")</f>
        <v>Fail</v>
      </c>
    </row>
    <row r="59" spans="1:29" ht="15" customHeight="1" x14ac:dyDescent="0.25">
      <c r="A59" s="65" t="s">
        <v>0</v>
      </c>
      <c r="B59" s="65"/>
      <c r="C59" s="65" t="s">
        <v>6</v>
      </c>
      <c r="D59" s="64" t="s">
        <v>38</v>
      </c>
      <c r="E59" s="64"/>
      <c r="F59" s="64"/>
      <c r="G59" s="64"/>
      <c r="H59" s="65" t="s">
        <v>8</v>
      </c>
      <c r="I59" s="66" t="s">
        <v>9</v>
      </c>
      <c r="K59" s="65" t="s">
        <v>0</v>
      </c>
      <c r="L59" s="65"/>
      <c r="M59" s="65" t="s">
        <v>6</v>
      </c>
      <c r="N59" s="64" t="s">
        <v>38</v>
      </c>
      <c r="O59" s="64"/>
      <c r="P59" s="64"/>
      <c r="Q59" s="64"/>
      <c r="R59" s="65" t="s">
        <v>8</v>
      </c>
      <c r="S59" s="66" t="s">
        <v>9</v>
      </c>
      <c r="U59" s="65" t="s">
        <v>0</v>
      </c>
      <c r="V59" s="65"/>
      <c r="W59" s="65" t="s">
        <v>6</v>
      </c>
      <c r="X59" s="64" t="s">
        <v>38</v>
      </c>
      <c r="Y59" s="64"/>
      <c r="Z59" s="64"/>
      <c r="AA59" s="64"/>
      <c r="AB59" s="65" t="s">
        <v>8</v>
      </c>
      <c r="AC59" s="66" t="s">
        <v>9</v>
      </c>
    </row>
    <row r="60" spans="1:29" ht="30" x14ac:dyDescent="0.25">
      <c r="A60" s="65"/>
      <c r="B60" s="65"/>
      <c r="C60" s="65"/>
      <c r="D60" s="2" t="s">
        <v>10</v>
      </c>
      <c r="E60" s="2" t="s">
        <v>11</v>
      </c>
      <c r="F60" s="3" t="s">
        <v>12</v>
      </c>
      <c r="G60" s="2" t="s">
        <v>13</v>
      </c>
      <c r="H60" s="65"/>
      <c r="I60" s="66"/>
      <c r="K60" s="65"/>
      <c r="L60" s="65"/>
      <c r="M60" s="65"/>
      <c r="N60" s="2" t="s">
        <v>10</v>
      </c>
      <c r="O60" s="2" t="s">
        <v>11</v>
      </c>
      <c r="P60" s="3" t="s">
        <v>12</v>
      </c>
      <c r="Q60" s="2" t="s">
        <v>13</v>
      </c>
      <c r="R60" s="65"/>
      <c r="S60" s="66"/>
      <c r="U60" s="65"/>
      <c r="V60" s="65"/>
      <c r="W60" s="65"/>
      <c r="X60" s="4" t="s">
        <v>10</v>
      </c>
      <c r="Y60" s="4" t="s">
        <v>11</v>
      </c>
      <c r="Z60" s="5" t="s">
        <v>12</v>
      </c>
      <c r="AA60" s="4" t="s">
        <v>13</v>
      </c>
      <c r="AB60" s="69"/>
      <c r="AC60" s="70"/>
    </row>
    <row r="61" spans="1:29" x14ac:dyDescent="0.25">
      <c r="A61" s="65" t="s">
        <v>14</v>
      </c>
      <c r="B61" s="65"/>
      <c r="C61" s="2">
        <v>-700</v>
      </c>
      <c r="D61" s="6">
        <v>-711.01599999999996</v>
      </c>
      <c r="E61" s="2">
        <v>0.28999999999999998</v>
      </c>
      <c r="F61" s="16">
        <v>0.76238030000000001</v>
      </c>
      <c r="G61" s="21">
        <v>0.21346648400000001</v>
      </c>
      <c r="H61" s="9">
        <f>ABS(C61-D61)</f>
        <v>11.015999999999963</v>
      </c>
      <c r="I61" s="22" t="str">
        <f>IF(AND(H61&lt;=60),"Pass", "Fail")</f>
        <v>Pass</v>
      </c>
      <c r="K61" s="65" t="s">
        <v>15</v>
      </c>
      <c r="L61" s="65"/>
      <c r="M61" s="2">
        <v>-1046</v>
      </c>
      <c r="N61" s="6">
        <v>-1012.872</v>
      </c>
      <c r="O61" s="11">
        <v>1.2999999999999999E-3</v>
      </c>
      <c r="P61" s="2">
        <v>0.75</v>
      </c>
      <c r="Q61" s="11">
        <v>9.7499999999999996E-4</v>
      </c>
      <c r="R61" s="12">
        <f t="shared" ref="R61:R71" si="8">ABS(M61-N61)</f>
        <v>33.128000000000043</v>
      </c>
      <c r="S61" s="10" t="str">
        <f>IF(AND(R61&lt;=60),"Pass", "Fail")</f>
        <v>Pass</v>
      </c>
      <c r="U61" s="65" t="s">
        <v>16</v>
      </c>
      <c r="V61" s="65"/>
      <c r="W61" s="13">
        <v>0</v>
      </c>
      <c r="X61" s="14">
        <v>1472</v>
      </c>
      <c r="Y61" s="15">
        <v>1.56</v>
      </c>
      <c r="Z61" s="15">
        <v>3.2190295</v>
      </c>
      <c r="AA61" s="11">
        <v>4.6675927750000001</v>
      </c>
      <c r="AB61" s="12">
        <f>ABS(W61-X61)</f>
        <v>1472</v>
      </c>
      <c r="AC61" s="71" t="str">
        <f>IF(AND((X63&lt;=7),(X63&gt;=-7),(X65&lt;=-970),(X65&gt;=-1005)), "Pass","Fail")</f>
        <v>Pass</v>
      </c>
    </row>
    <row r="62" spans="1:29" x14ac:dyDescent="0.25">
      <c r="A62" s="65" t="s">
        <v>17</v>
      </c>
      <c r="B62" s="65"/>
      <c r="C62" s="2">
        <v>-530</v>
      </c>
      <c r="D62" s="6">
        <v>-536.48699999999997</v>
      </c>
      <c r="E62" s="2">
        <v>0.45</v>
      </c>
      <c r="F62" s="16">
        <v>0.75481469999999995</v>
      </c>
      <c r="G62" s="21">
        <v>0.32457032099999999</v>
      </c>
      <c r="H62" s="9">
        <f t="shared" ref="H62:H72" si="9">ABS(C62-D62)</f>
        <v>6.4869999999999663</v>
      </c>
      <c r="I62" s="22" t="str">
        <f>IF(AND(H62&lt;=48),"Pass", "Fail")</f>
        <v>Pass</v>
      </c>
      <c r="K62" s="65" t="s">
        <v>2</v>
      </c>
      <c r="L62" s="65"/>
      <c r="M62" s="2">
        <v>-925</v>
      </c>
      <c r="N62" s="6">
        <v>-842.53800000000001</v>
      </c>
      <c r="O62" s="2">
        <v>0.19</v>
      </c>
      <c r="P62" s="2">
        <v>0.58199999999999996</v>
      </c>
      <c r="Q62" s="11">
        <v>0.11058</v>
      </c>
      <c r="R62" s="12">
        <f t="shared" si="8"/>
        <v>82.461999999999989</v>
      </c>
      <c r="S62" s="10" t="str">
        <f>IF(AND(R62&lt;=115),"Pass", "Fail")</f>
        <v>Pass</v>
      </c>
      <c r="U62" s="65" t="s">
        <v>18</v>
      </c>
      <c r="V62" s="65"/>
      <c r="W62" s="13">
        <v>387</v>
      </c>
      <c r="X62" s="18">
        <v>92.024000000000001</v>
      </c>
      <c r="Y62" s="19">
        <v>1.19</v>
      </c>
      <c r="Z62" s="19">
        <v>0.45263533846680326</v>
      </c>
      <c r="AA62" s="11">
        <v>0.53863605277549587</v>
      </c>
      <c r="AB62" s="12">
        <f>ABS(W62-X62)</f>
        <v>294.976</v>
      </c>
      <c r="AC62" s="71"/>
    </row>
    <row r="63" spans="1:29" x14ac:dyDescent="0.25">
      <c r="A63" s="65" t="s">
        <v>19</v>
      </c>
      <c r="B63" s="65"/>
      <c r="C63" s="2">
        <v>-90</v>
      </c>
      <c r="D63" s="6">
        <v>-126.405</v>
      </c>
      <c r="E63" s="2">
        <v>0.95</v>
      </c>
      <c r="F63" s="16">
        <v>0.41736259999999997</v>
      </c>
      <c r="G63" s="21">
        <v>0.392320844</v>
      </c>
      <c r="H63" s="9">
        <f t="shared" si="9"/>
        <v>36.405000000000001</v>
      </c>
      <c r="I63" s="22" t="str">
        <f>IF(AND(H63&lt;=115),"Pass", "Fail")</f>
        <v>Pass</v>
      </c>
      <c r="K63" s="65" t="s">
        <v>20</v>
      </c>
      <c r="L63" s="65"/>
      <c r="M63" s="2">
        <v>-172</v>
      </c>
      <c r="N63" s="6">
        <v>-240.59700000000001</v>
      </c>
      <c r="O63" s="2">
        <v>0.83</v>
      </c>
      <c r="P63" s="2">
        <v>0.432</v>
      </c>
      <c r="Q63" s="11">
        <v>0.35855999999999999</v>
      </c>
      <c r="R63" s="12">
        <f t="shared" si="8"/>
        <v>68.597000000000008</v>
      </c>
      <c r="S63" s="10" t="str">
        <f>IF(AND(R63&lt;=48),"Pass", "Fail")</f>
        <v>Fail</v>
      </c>
      <c r="U63" s="65" t="s">
        <v>21</v>
      </c>
      <c r="V63" s="65"/>
      <c r="W63" s="13">
        <v>0</v>
      </c>
      <c r="X63" s="20">
        <v>1.1459999999999999</v>
      </c>
      <c r="Y63" s="19">
        <v>1.02</v>
      </c>
      <c r="Z63" s="19">
        <v>0.68000083359209385</v>
      </c>
      <c r="AA63" s="11">
        <v>0.6936008502639357</v>
      </c>
      <c r="AB63" s="12">
        <f>ABS(W63-X63)</f>
        <v>1.1459999999999999</v>
      </c>
      <c r="AC63" s="71"/>
    </row>
    <row r="64" spans="1:29" x14ac:dyDescent="0.25">
      <c r="A64" s="65" t="s">
        <v>22</v>
      </c>
      <c r="B64" s="65"/>
      <c r="C64" s="2">
        <v>-50</v>
      </c>
      <c r="D64" s="6">
        <v>-63.552999999999997</v>
      </c>
      <c r="E64" s="2">
        <v>0.98</v>
      </c>
      <c r="F64" s="16">
        <v>0.55218560000000005</v>
      </c>
      <c r="G64" s="21">
        <v>0.53009817599999998</v>
      </c>
      <c r="H64" s="9">
        <f t="shared" si="9"/>
        <v>13.552999999999997</v>
      </c>
      <c r="I64" s="22" t="str">
        <f>IF(AND(H64&lt;=43),"Pass", "Fail")</f>
        <v>Pass</v>
      </c>
      <c r="K64" s="65" t="s">
        <v>23</v>
      </c>
      <c r="L64" s="65"/>
      <c r="M64" s="2">
        <v>-87</v>
      </c>
      <c r="N64" s="6">
        <v>-158</v>
      </c>
      <c r="O64" s="2">
        <v>0.92</v>
      </c>
      <c r="P64" s="2">
        <v>0.432</v>
      </c>
      <c r="Q64" s="11">
        <v>0.39744000000000002</v>
      </c>
      <c r="R64" s="12">
        <f t="shared" si="8"/>
        <v>71</v>
      </c>
      <c r="S64" s="10" t="str">
        <f>IF(AND(R64&lt;=48),"Pass", "Fail")</f>
        <v>Fail</v>
      </c>
      <c r="U64" s="67" t="s">
        <v>24</v>
      </c>
      <c r="V64" s="68"/>
      <c r="W64" s="13">
        <v>-172</v>
      </c>
      <c r="X64" s="18">
        <v>-148.14599999999999</v>
      </c>
      <c r="Y64" s="19">
        <v>0.91</v>
      </c>
      <c r="Z64" s="19">
        <v>0.36440451211624714</v>
      </c>
      <c r="AA64" s="11">
        <v>0.33160810602578489</v>
      </c>
      <c r="AB64" s="12">
        <f>ABS(W64-X64)</f>
        <v>23.854000000000013</v>
      </c>
      <c r="AC64" s="71"/>
    </row>
    <row r="65" spans="1:29" x14ac:dyDescent="0.25">
      <c r="A65" s="65" t="s">
        <v>21</v>
      </c>
      <c r="B65" s="65"/>
      <c r="C65" s="2">
        <v>0</v>
      </c>
      <c r="D65" s="6">
        <v>15</v>
      </c>
      <c r="E65" s="2">
        <v>1.02</v>
      </c>
      <c r="F65" s="16">
        <v>0.74500319999999998</v>
      </c>
      <c r="G65" s="21">
        <v>0.73755316800000004</v>
      </c>
      <c r="H65" s="9">
        <f t="shared" si="9"/>
        <v>15</v>
      </c>
      <c r="I65" s="22" t="str">
        <f>IF(AND(H65&lt;=14),"Pass", "Fail")</f>
        <v>Fail</v>
      </c>
      <c r="K65" s="65" t="s">
        <v>21</v>
      </c>
      <c r="L65" s="65"/>
      <c r="M65" s="2">
        <v>0</v>
      </c>
      <c r="N65" s="6"/>
      <c r="O65" s="2">
        <v>1</v>
      </c>
      <c r="P65" s="2">
        <v>0.81</v>
      </c>
      <c r="Q65" s="11">
        <v>0.81</v>
      </c>
      <c r="R65" s="12">
        <f t="shared" si="8"/>
        <v>0</v>
      </c>
      <c r="S65" s="10" t="str">
        <f>IF(AND(R65&lt;=14),"Pass", "Fail")</f>
        <v>Pass</v>
      </c>
      <c r="U65" s="65" t="s">
        <v>15</v>
      </c>
      <c r="V65" s="65"/>
      <c r="W65" s="13">
        <v>-1046</v>
      </c>
      <c r="X65" s="18">
        <v>-1005</v>
      </c>
      <c r="Y65" s="19">
        <v>1.2999999999999999E-3</v>
      </c>
      <c r="Z65" s="19">
        <v>0.16300000000000001</v>
      </c>
      <c r="AA65" s="11">
        <v>2.119E-4</v>
      </c>
      <c r="AB65" s="12">
        <f>ABS(W65-X65)</f>
        <v>41</v>
      </c>
      <c r="AC65" s="71"/>
    </row>
    <row r="66" spans="1:29" x14ac:dyDescent="0.25">
      <c r="A66" s="65" t="s">
        <v>25</v>
      </c>
      <c r="B66" s="65"/>
      <c r="C66" s="2">
        <v>20</v>
      </c>
      <c r="D66" s="6">
        <v>-2.0449999999999999</v>
      </c>
      <c r="E66" s="2">
        <v>1.05</v>
      </c>
      <c r="F66" s="16">
        <v>0.41676839999999998</v>
      </c>
      <c r="G66" s="21">
        <v>0.433439136</v>
      </c>
      <c r="H66" s="9">
        <f t="shared" si="9"/>
        <v>22.045000000000002</v>
      </c>
      <c r="I66" s="22" t="str">
        <f>IF(AND(H66&lt;=119),"Pass", "Fail")</f>
        <v>Pass</v>
      </c>
      <c r="K66" s="65" t="s">
        <v>24</v>
      </c>
      <c r="L66" s="65"/>
      <c r="M66" s="2">
        <v>-29</v>
      </c>
      <c r="N66" s="6">
        <v>-97.375</v>
      </c>
      <c r="O66" s="2">
        <v>1.03</v>
      </c>
      <c r="P66" s="2">
        <v>0.436</v>
      </c>
      <c r="Q66" s="11">
        <v>0.44908000000000003</v>
      </c>
      <c r="R66" s="12">
        <f t="shared" si="8"/>
        <v>68.375</v>
      </c>
      <c r="S66" s="10" t="str">
        <f>IF(AND(R66&lt;=36),"Pass", "Fail")</f>
        <v>Fail</v>
      </c>
    </row>
    <row r="67" spans="1:29" x14ac:dyDescent="0.25">
      <c r="A67" s="65" t="s">
        <v>26</v>
      </c>
      <c r="B67" s="65"/>
      <c r="C67" s="2">
        <v>60</v>
      </c>
      <c r="D67" s="6">
        <v>82.948999999999998</v>
      </c>
      <c r="E67" s="2">
        <v>1.0900000000000001</v>
      </c>
      <c r="F67" s="16">
        <v>0.7453128</v>
      </c>
      <c r="G67" s="21">
        <v>0.79748469600000005</v>
      </c>
      <c r="H67" s="9">
        <f t="shared" si="9"/>
        <v>22.948999999999998</v>
      </c>
      <c r="I67" s="22" t="str">
        <f>IF(AND(H67&lt;=52),"Pass", "Fail")</f>
        <v>Pass</v>
      </c>
      <c r="K67" s="65" t="s">
        <v>18</v>
      </c>
      <c r="L67" s="65"/>
      <c r="M67" s="2">
        <v>137</v>
      </c>
      <c r="N67" s="6">
        <v>85.049000000000007</v>
      </c>
      <c r="O67" s="2">
        <v>1.18</v>
      </c>
      <c r="P67" s="2">
        <v>0.57099999999999995</v>
      </c>
      <c r="Q67" s="11">
        <v>0.67377999999999993</v>
      </c>
      <c r="R67" s="12">
        <f t="shared" si="8"/>
        <v>51.950999999999993</v>
      </c>
      <c r="S67" s="10" t="str">
        <f>IF(AND(R67&lt;=45),"Pass", "Fail")</f>
        <v>Fail</v>
      </c>
    </row>
    <row r="68" spans="1:29" x14ac:dyDescent="0.25">
      <c r="A68" s="65" t="s">
        <v>27</v>
      </c>
      <c r="B68" s="65"/>
      <c r="C68" s="2">
        <v>210</v>
      </c>
      <c r="D68" s="6">
        <v>427</v>
      </c>
      <c r="E68" s="2">
        <v>1.1399999999999999</v>
      </c>
      <c r="F68" s="16">
        <v>1.7913999</v>
      </c>
      <c r="G68" s="21">
        <v>1.9526258910000001</v>
      </c>
      <c r="H68" s="9">
        <f t="shared" si="9"/>
        <v>217</v>
      </c>
      <c r="I68" s="22" t="str">
        <f>IF(AND(H68&lt;=48),"Pass", "Fail")</f>
        <v>Fail</v>
      </c>
      <c r="K68" s="65" t="s">
        <v>28</v>
      </c>
      <c r="L68" s="65"/>
      <c r="M68" s="2">
        <v>263</v>
      </c>
      <c r="N68" s="6">
        <v>263.55900000000003</v>
      </c>
      <c r="O68" s="2">
        <v>1.1399999999999999</v>
      </c>
      <c r="P68" s="2">
        <v>1.41</v>
      </c>
      <c r="Q68" s="11">
        <v>1.6073999999999997</v>
      </c>
      <c r="R68" s="12">
        <f t="shared" si="8"/>
        <v>0.55900000000002592</v>
      </c>
      <c r="S68" s="10" t="str">
        <f>IF(AND(R68&lt;=52),"Pass", "Fail")</f>
        <v>Pass</v>
      </c>
    </row>
    <row r="69" spans="1:29" x14ac:dyDescent="0.25">
      <c r="A69" s="65" t="s">
        <v>16</v>
      </c>
      <c r="B69" s="65"/>
      <c r="C69" s="2">
        <v>220</v>
      </c>
      <c r="D69" s="6">
        <v>430</v>
      </c>
      <c r="E69" s="2">
        <v>1.1499999999999999</v>
      </c>
      <c r="F69" s="16">
        <v>1.7937273</v>
      </c>
      <c r="G69" s="21">
        <v>1.9731000299999999</v>
      </c>
      <c r="H69" s="9">
        <f t="shared" si="9"/>
        <v>210</v>
      </c>
      <c r="I69" s="22" t="str">
        <f>IF(AND(H69&lt;=116),"Pass", "Fail")</f>
        <v>Fail</v>
      </c>
      <c r="K69" s="65" t="s">
        <v>29</v>
      </c>
      <c r="L69" s="65"/>
      <c r="M69" s="2">
        <v>387</v>
      </c>
      <c r="N69" s="6">
        <v>308.69400000000002</v>
      </c>
      <c r="O69" s="2">
        <v>1.42</v>
      </c>
      <c r="P69" s="2">
        <v>0.66300000000000003</v>
      </c>
      <c r="Q69" s="11">
        <v>0.94145999999999996</v>
      </c>
      <c r="R69" s="12">
        <f t="shared" si="8"/>
        <v>78.305999999999983</v>
      </c>
      <c r="S69" s="10" t="str">
        <f>IF(AND(R69&lt;=43),"Pass", "Fail")</f>
        <v>Fail</v>
      </c>
    </row>
    <row r="70" spans="1:29" x14ac:dyDescent="0.25">
      <c r="A70" s="65" t="s">
        <v>30</v>
      </c>
      <c r="B70" s="65"/>
      <c r="C70" s="2">
        <v>450</v>
      </c>
      <c r="D70" s="6">
        <v>790.62</v>
      </c>
      <c r="E70" s="2">
        <v>1.33</v>
      </c>
      <c r="F70" s="16">
        <v>2.1038462</v>
      </c>
      <c r="G70" s="21">
        <v>2.6508462119999998</v>
      </c>
      <c r="H70" s="9">
        <f t="shared" si="9"/>
        <v>340.62</v>
      </c>
      <c r="I70" s="22" t="str">
        <f>IF(AND(H70&lt;=45),"Pass", "Fail")</f>
        <v>Fail</v>
      </c>
      <c r="K70" s="65" t="s">
        <v>31</v>
      </c>
      <c r="L70" s="65"/>
      <c r="M70" s="2">
        <v>783</v>
      </c>
      <c r="N70" s="6">
        <v>1101.1980000000001</v>
      </c>
      <c r="O70" s="2">
        <v>1.4</v>
      </c>
      <c r="P70" s="2">
        <v>2.67</v>
      </c>
      <c r="Q70" s="11">
        <v>3.7379999999999995</v>
      </c>
      <c r="R70" s="12">
        <f t="shared" si="8"/>
        <v>318.19800000000009</v>
      </c>
      <c r="S70" s="10" t="str">
        <f>IF(AND(R70&lt;=116),"Pass", "Fail")</f>
        <v>Fail</v>
      </c>
    </row>
    <row r="71" spans="1:29" x14ac:dyDescent="0.25">
      <c r="A71" s="65" t="s">
        <v>32</v>
      </c>
      <c r="B71" s="65"/>
      <c r="C71" s="2">
        <v>820</v>
      </c>
      <c r="D71" s="6">
        <v>1521.635</v>
      </c>
      <c r="E71" s="2">
        <v>1.56</v>
      </c>
      <c r="F71" s="16">
        <v>3.2190295</v>
      </c>
      <c r="G71" s="21">
        <v>5.0199999999999996</v>
      </c>
      <c r="H71" s="9">
        <f t="shared" si="9"/>
        <v>701.63499999999999</v>
      </c>
      <c r="I71" s="22" t="str">
        <f>IF(AND(H71&lt;=45),"Pass", "Fail")</f>
        <v>Fail</v>
      </c>
      <c r="K71" s="65" t="s">
        <v>33</v>
      </c>
      <c r="L71" s="65"/>
      <c r="M71" s="2">
        <v>1060</v>
      </c>
      <c r="N71" s="6">
        <v>1006.083</v>
      </c>
      <c r="O71" s="2">
        <v>2.16</v>
      </c>
      <c r="P71" s="24">
        <v>0.96699999999999997</v>
      </c>
      <c r="Q71" s="24">
        <v>2.0887199999999999</v>
      </c>
      <c r="R71" s="12">
        <f t="shared" si="8"/>
        <v>53.91700000000003</v>
      </c>
      <c r="S71" s="10" t="str">
        <f>IF(AND(R71&lt;=119),"Pass", "Fail")</f>
        <v>Pass</v>
      </c>
    </row>
    <row r="72" spans="1:29" x14ac:dyDescent="0.25">
      <c r="A72" s="65" t="s">
        <v>34</v>
      </c>
      <c r="B72" s="65"/>
      <c r="C72" s="2">
        <v>1250</v>
      </c>
      <c r="D72" s="6">
        <v>2375.9180000000001</v>
      </c>
      <c r="E72" s="2">
        <v>1.82</v>
      </c>
      <c r="F72" s="16">
        <v>4.1927523999999998</v>
      </c>
      <c r="G72" s="21">
        <v>7.6304999999999996</v>
      </c>
      <c r="H72" s="9">
        <f t="shared" si="9"/>
        <v>1125.9180000000001</v>
      </c>
      <c r="I72" s="22" t="str">
        <f>IF(AND(H72&lt;=45),"Pass", "Fail")</f>
        <v>Fail</v>
      </c>
    </row>
    <row r="75" spans="1:29" x14ac:dyDescent="0.25">
      <c r="A75" s="25" t="s">
        <v>39</v>
      </c>
    </row>
    <row r="76" spans="1:29" x14ac:dyDescent="0.25">
      <c r="C76" s="26" t="s">
        <v>40</v>
      </c>
      <c r="D76" s="27" t="s">
        <v>41</v>
      </c>
      <c r="E76" s="26" t="s">
        <v>42</v>
      </c>
      <c r="F76" s="26" t="s">
        <v>43</v>
      </c>
      <c r="G76" s="26" t="s">
        <v>44</v>
      </c>
      <c r="H76" s="26" t="s">
        <v>45</v>
      </c>
      <c r="I76" s="26" t="s">
        <v>46</v>
      </c>
      <c r="J76" s="26" t="s">
        <v>47</v>
      </c>
      <c r="K76" s="26" t="s">
        <v>48</v>
      </c>
      <c r="L76" s="26" t="s">
        <v>49</v>
      </c>
      <c r="M76" s="26" t="s">
        <v>50</v>
      </c>
      <c r="N76" s="26" t="s">
        <v>51</v>
      </c>
      <c r="O76" s="26" t="s">
        <v>52</v>
      </c>
      <c r="P76" s="26" t="s">
        <v>53</v>
      </c>
      <c r="Q76" s="26" t="s">
        <v>54</v>
      </c>
      <c r="R76" s="26" t="s">
        <v>55</v>
      </c>
    </row>
    <row r="77" spans="1:29" x14ac:dyDescent="0.25">
      <c r="A77">
        <v>455</v>
      </c>
      <c r="B77" t="s">
        <v>14</v>
      </c>
      <c r="C77">
        <v>0.28999999999999998</v>
      </c>
      <c r="D77">
        <v>0.28000000000000003</v>
      </c>
      <c r="E77">
        <v>7.43</v>
      </c>
      <c r="F77">
        <v>20.71</v>
      </c>
      <c r="G77">
        <v>57.86</v>
      </c>
      <c r="H77">
        <v>1.96</v>
      </c>
      <c r="I77">
        <v>0.08</v>
      </c>
      <c r="M77">
        <v>11.19</v>
      </c>
      <c r="N77">
        <v>0.77</v>
      </c>
      <c r="S77">
        <f t="shared" ref="S77:S89" si="10">SUM(F77:R77)</f>
        <v>92.569999999999979</v>
      </c>
    </row>
    <row r="78" spans="1:29" x14ac:dyDescent="0.25">
      <c r="A78">
        <v>485</v>
      </c>
      <c r="B78" s="26" t="s">
        <v>17</v>
      </c>
      <c r="C78">
        <v>0.45</v>
      </c>
      <c r="D78">
        <v>0.43</v>
      </c>
      <c r="E78">
        <v>7.44</v>
      </c>
      <c r="F78">
        <v>20.69</v>
      </c>
      <c r="G78">
        <v>58.03</v>
      </c>
      <c r="H78">
        <v>1.97</v>
      </c>
      <c r="I78">
        <v>0.08</v>
      </c>
      <c r="M78">
        <v>11.22</v>
      </c>
      <c r="N78" s="26">
        <v>0.56999999999999995</v>
      </c>
      <c r="S78">
        <f t="shared" si="10"/>
        <v>92.559999999999988</v>
      </c>
    </row>
    <row r="79" spans="1:29" x14ac:dyDescent="0.25">
      <c r="A79">
        <v>450</v>
      </c>
      <c r="B79" s="26" t="s">
        <v>56</v>
      </c>
      <c r="C79">
        <v>1.82</v>
      </c>
      <c r="D79">
        <v>1.69</v>
      </c>
      <c r="E79">
        <v>2.66</v>
      </c>
      <c r="F79">
        <v>39.08</v>
      </c>
      <c r="G79">
        <v>30.34</v>
      </c>
      <c r="H79">
        <v>0.99</v>
      </c>
      <c r="I79">
        <v>0.04</v>
      </c>
      <c r="J79">
        <v>26.48</v>
      </c>
      <c r="M79">
        <v>0.41</v>
      </c>
      <c r="S79">
        <f t="shared" si="10"/>
        <v>97.34</v>
      </c>
    </row>
    <row r="80" spans="1:29" x14ac:dyDescent="0.25">
      <c r="A80">
        <v>456</v>
      </c>
      <c r="B80" s="26" t="s">
        <v>57</v>
      </c>
      <c r="C80">
        <v>1.1399999999999999</v>
      </c>
      <c r="D80">
        <v>1.0900000000000001</v>
      </c>
      <c r="E80">
        <v>6.97</v>
      </c>
      <c r="F80">
        <v>19.71</v>
      </c>
      <c r="G80">
        <v>56.73</v>
      </c>
      <c r="H80">
        <v>1.79</v>
      </c>
      <c r="I80">
        <v>0.11</v>
      </c>
      <c r="J80">
        <v>6.38</v>
      </c>
      <c r="K80">
        <v>8.3000000000000007</v>
      </c>
      <c r="S80">
        <f t="shared" si="10"/>
        <v>93.02</v>
      </c>
    </row>
    <row r="81" spans="1:38" x14ac:dyDescent="0.25">
      <c r="A81">
        <v>480</v>
      </c>
      <c r="B81" s="26" t="s">
        <v>58</v>
      </c>
      <c r="C81">
        <v>1.56</v>
      </c>
      <c r="D81">
        <v>1.45</v>
      </c>
      <c r="E81">
        <v>4.03</v>
      </c>
      <c r="F81">
        <v>34.130000000000003</v>
      </c>
      <c r="G81">
        <v>40.340000000000003</v>
      </c>
      <c r="H81">
        <v>1.52</v>
      </c>
      <c r="I81">
        <v>7.0000000000000007E-2</v>
      </c>
      <c r="J81">
        <v>19.62</v>
      </c>
      <c r="M81">
        <v>0.3</v>
      </c>
      <c r="S81">
        <f t="shared" si="10"/>
        <v>95.97999999999999</v>
      </c>
    </row>
    <row r="82" spans="1:38" x14ac:dyDescent="0.25">
      <c r="A82">
        <v>484</v>
      </c>
      <c r="B82" s="26" t="s">
        <v>59</v>
      </c>
      <c r="C82">
        <v>1.33</v>
      </c>
      <c r="D82">
        <v>1.26</v>
      </c>
      <c r="E82">
        <v>5.6</v>
      </c>
      <c r="F82">
        <v>28.47</v>
      </c>
      <c r="G82">
        <v>51.77</v>
      </c>
      <c r="H82">
        <v>2.12</v>
      </c>
      <c r="I82">
        <v>0.09</v>
      </c>
      <c r="J82">
        <v>11.77</v>
      </c>
      <c r="M82">
        <v>0.18</v>
      </c>
      <c r="S82">
        <f t="shared" si="10"/>
        <v>94.40000000000002</v>
      </c>
    </row>
    <row r="83" spans="1:38" x14ac:dyDescent="0.25">
      <c r="A83">
        <v>487</v>
      </c>
      <c r="B83" s="26" t="s">
        <v>60</v>
      </c>
      <c r="C83">
        <v>1.1499999999999999</v>
      </c>
      <c r="D83">
        <v>1.1000000000000001</v>
      </c>
      <c r="E83">
        <v>6.94</v>
      </c>
      <c r="F83">
        <v>19.82</v>
      </c>
      <c r="G83">
        <v>56.62</v>
      </c>
      <c r="H83">
        <v>1.81</v>
      </c>
      <c r="I83">
        <v>0.11</v>
      </c>
      <c r="J83">
        <v>6.39</v>
      </c>
      <c r="K83">
        <v>8.31</v>
      </c>
      <c r="S83">
        <f t="shared" si="10"/>
        <v>93.06</v>
      </c>
    </row>
    <row r="84" spans="1:38" x14ac:dyDescent="0.25">
      <c r="A84">
        <v>452</v>
      </c>
      <c r="B84" s="26" t="s">
        <v>1</v>
      </c>
      <c r="C84">
        <v>1.05</v>
      </c>
      <c r="D84">
        <v>1.02</v>
      </c>
      <c r="E84">
        <v>8.39</v>
      </c>
      <c r="F84">
        <v>18.45</v>
      </c>
      <c r="G84">
        <v>68.5</v>
      </c>
      <c r="H84">
        <v>2.2200000000000002</v>
      </c>
      <c r="I84">
        <v>0.14000000000000001</v>
      </c>
      <c r="J84">
        <v>2.2599999999999998</v>
      </c>
      <c r="M84">
        <v>0.03</v>
      </c>
      <c r="S84">
        <f t="shared" si="10"/>
        <v>91.600000000000009</v>
      </c>
    </row>
    <row r="85" spans="1:38" x14ac:dyDescent="0.25">
      <c r="A85">
        <v>453</v>
      </c>
      <c r="B85" s="26" t="s">
        <v>19</v>
      </c>
      <c r="C85">
        <v>0.95</v>
      </c>
      <c r="D85">
        <v>0.94</v>
      </c>
      <c r="E85">
        <v>9.44</v>
      </c>
      <c r="F85">
        <v>14.86</v>
      </c>
      <c r="G85">
        <v>73.5</v>
      </c>
      <c r="H85">
        <v>2.0699999999999998</v>
      </c>
      <c r="I85">
        <v>0.13</v>
      </c>
      <c r="J85">
        <v>0</v>
      </c>
      <c r="S85">
        <f t="shared" si="10"/>
        <v>90.559999999999988</v>
      </c>
    </row>
    <row r="86" spans="1:38" x14ac:dyDescent="0.25">
      <c r="A86">
        <v>454</v>
      </c>
      <c r="B86" s="26" t="s">
        <v>22</v>
      </c>
      <c r="C86">
        <v>0.98</v>
      </c>
      <c r="D86">
        <v>0.96</v>
      </c>
      <c r="E86">
        <v>8.9700000000000006</v>
      </c>
      <c r="F86">
        <v>16.45</v>
      </c>
      <c r="G86">
        <v>71.36</v>
      </c>
      <c r="H86">
        <v>2.14</v>
      </c>
      <c r="I86">
        <v>0.13</v>
      </c>
      <c r="J86">
        <v>0.93</v>
      </c>
      <c r="M86">
        <v>0.01</v>
      </c>
      <c r="S86">
        <f t="shared" si="10"/>
        <v>91.02000000000001</v>
      </c>
    </row>
    <row r="87" spans="1:38" x14ac:dyDescent="0.25">
      <c r="A87">
        <v>482</v>
      </c>
      <c r="B87" s="26" t="s">
        <v>26</v>
      </c>
      <c r="C87">
        <v>1.0900000000000001</v>
      </c>
      <c r="D87">
        <v>1.07</v>
      </c>
      <c r="E87">
        <v>8.4</v>
      </c>
      <c r="F87">
        <v>18.5</v>
      </c>
      <c r="G87">
        <v>68.41</v>
      </c>
      <c r="H87">
        <v>2.25</v>
      </c>
      <c r="I87">
        <v>0.14000000000000001</v>
      </c>
      <c r="J87">
        <v>2.2599999999999998</v>
      </c>
      <c r="M87">
        <v>0.03</v>
      </c>
      <c r="S87">
        <f t="shared" si="10"/>
        <v>91.59</v>
      </c>
    </row>
    <row r="88" spans="1:38" x14ac:dyDescent="0.25">
      <c r="A88">
        <v>481</v>
      </c>
      <c r="B88" s="26" t="s">
        <v>25</v>
      </c>
      <c r="C88">
        <v>1.05</v>
      </c>
      <c r="D88">
        <v>1.04</v>
      </c>
      <c r="E88">
        <v>9.77</v>
      </c>
      <c r="F88">
        <v>16.34</v>
      </c>
      <c r="G88">
        <v>72.13</v>
      </c>
      <c r="H88">
        <v>1.69</v>
      </c>
      <c r="I88">
        <v>7.0000000000000007E-2</v>
      </c>
      <c r="J88">
        <v>0</v>
      </c>
      <c r="S88">
        <f t="shared" si="10"/>
        <v>90.22999999999999</v>
      </c>
    </row>
    <row r="89" spans="1:38" x14ac:dyDescent="0.25">
      <c r="A89">
        <v>1481</v>
      </c>
      <c r="B89" s="26" t="s">
        <v>61</v>
      </c>
      <c r="C89">
        <v>1.05</v>
      </c>
      <c r="D89">
        <v>1.03</v>
      </c>
      <c r="E89">
        <v>8.23</v>
      </c>
      <c r="F89">
        <v>19.7</v>
      </c>
      <c r="G89">
        <v>65.75</v>
      </c>
      <c r="H89">
        <v>2.0499999999999998</v>
      </c>
      <c r="I89">
        <v>0.13</v>
      </c>
      <c r="J89">
        <v>1.79</v>
      </c>
      <c r="L89">
        <v>0.15</v>
      </c>
      <c r="M89">
        <v>1.23</v>
      </c>
      <c r="N89">
        <v>0.94</v>
      </c>
      <c r="O89">
        <v>0.04</v>
      </c>
      <c r="S89">
        <f t="shared" si="10"/>
        <v>91.780000000000015</v>
      </c>
    </row>
    <row r="90" spans="1:38" x14ac:dyDescent="0.25">
      <c r="A90">
        <v>451</v>
      </c>
      <c r="B90" s="26" t="s">
        <v>21</v>
      </c>
      <c r="C90">
        <v>1.02</v>
      </c>
      <c r="D90">
        <v>0.99</v>
      </c>
      <c r="E90">
        <v>8.39</v>
      </c>
      <c r="F90">
        <v>18.399999999999999</v>
      </c>
      <c r="G90">
        <v>68.59</v>
      </c>
      <c r="H90">
        <v>2.19</v>
      </c>
      <c r="I90">
        <v>0.14000000000000001</v>
      </c>
      <c r="J90">
        <v>2.2599999999999998</v>
      </c>
      <c r="M90">
        <v>0.03</v>
      </c>
    </row>
    <row r="91" spans="1:38" x14ac:dyDescent="0.25">
      <c r="A91" t="s">
        <v>62</v>
      </c>
      <c r="B91" s="26" t="s">
        <v>63</v>
      </c>
      <c r="C91">
        <v>0.91</v>
      </c>
      <c r="D91">
        <v>0.94</v>
      </c>
      <c r="E91">
        <v>14.37</v>
      </c>
      <c r="G91">
        <v>85.63</v>
      </c>
    </row>
    <row r="92" spans="1:38" x14ac:dyDescent="0.25">
      <c r="A92" t="s">
        <v>62</v>
      </c>
      <c r="B92" s="26" t="s">
        <v>18</v>
      </c>
      <c r="C92">
        <v>1.19</v>
      </c>
      <c r="D92">
        <v>1.1499999999999999</v>
      </c>
      <c r="E92">
        <v>8.0500000000000007</v>
      </c>
      <c r="F92">
        <v>31.96</v>
      </c>
      <c r="G92">
        <v>59.98</v>
      </c>
    </row>
    <row r="93" spans="1:38" x14ac:dyDescent="0.25">
      <c r="A93" t="s">
        <v>62</v>
      </c>
      <c r="B93" s="26" t="s">
        <v>64</v>
      </c>
      <c r="C93">
        <v>1.02</v>
      </c>
      <c r="D93">
        <v>1</v>
      </c>
      <c r="E93">
        <v>8.66</v>
      </c>
      <c r="F93">
        <v>17.559999999999999</v>
      </c>
      <c r="G93">
        <v>69.650000000000006</v>
      </c>
      <c r="H93">
        <v>2.15</v>
      </c>
      <c r="I93">
        <v>0.13</v>
      </c>
      <c r="J93">
        <v>1.82</v>
      </c>
      <c r="M93">
        <v>0.03</v>
      </c>
    </row>
    <row r="94" spans="1:38" x14ac:dyDescent="0.25">
      <c r="B94" s="26"/>
      <c r="M94" t="s">
        <v>65</v>
      </c>
    </row>
    <row r="95" spans="1:38" x14ac:dyDescent="0.25">
      <c r="H95" s="26" t="s">
        <v>42</v>
      </c>
      <c r="K95" s="26" t="s">
        <v>43</v>
      </c>
      <c r="N95" s="26" t="s">
        <v>44</v>
      </c>
      <c r="Q95" s="26" t="s">
        <v>45</v>
      </c>
      <c r="T95" s="26" t="s">
        <v>46</v>
      </c>
      <c r="W95" s="26" t="s">
        <v>47</v>
      </c>
      <c r="Z95" s="26" t="s">
        <v>48</v>
      </c>
      <c r="AC95" s="26" t="s">
        <v>49</v>
      </c>
      <c r="AF95" s="26" t="s">
        <v>50</v>
      </c>
      <c r="AI95" s="26" t="s">
        <v>51</v>
      </c>
      <c r="AL95" s="26" t="s">
        <v>52</v>
      </c>
    </row>
    <row r="96" spans="1:38" x14ac:dyDescent="0.25">
      <c r="D96" s="26" t="s">
        <v>66</v>
      </c>
      <c r="E96" s="28" t="s">
        <v>67</v>
      </c>
      <c r="H96" s="28" t="s">
        <v>68</v>
      </c>
      <c r="K96" s="28" t="s">
        <v>68</v>
      </c>
      <c r="N96" s="28" t="s">
        <v>68</v>
      </c>
      <c r="Q96" s="28" t="s">
        <v>68</v>
      </c>
      <c r="T96" s="28" t="s">
        <v>68</v>
      </c>
      <c r="W96" s="28" t="s">
        <v>68</v>
      </c>
      <c r="Z96" s="28" t="s">
        <v>68</v>
      </c>
      <c r="AC96" s="28" t="s">
        <v>68</v>
      </c>
      <c r="AF96" s="28" t="s">
        <v>68</v>
      </c>
      <c r="AI96" s="28" t="s">
        <v>68</v>
      </c>
      <c r="AL96" s="28" t="s">
        <v>68</v>
      </c>
    </row>
    <row r="97" spans="1:40" ht="17.25" thickBot="1" x14ac:dyDescent="0.3">
      <c r="E97" s="28" t="s">
        <v>69</v>
      </c>
      <c r="H97" s="28" t="s">
        <v>70</v>
      </c>
      <c r="K97" s="28" t="s">
        <v>70</v>
      </c>
      <c r="M97" s="29"/>
      <c r="N97" s="28" t="s">
        <v>70</v>
      </c>
      <c r="Q97" s="28" t="s">
        <v>70</v>
      </c>
      <c r="T97" s="28" t="s">
        <v>70</v>
      </c>
      <c r="W97" s="28" t="s">
        <v>70</v>
      </c>
      <c r="Z97" s="28" t="s">
        <v>70</v>
      </c>
      <c r="AC97" s="28" t="s">
        <v>70</v>
      </c>
      <c r="AF97" s="28" t="s">
        <v>70</v>
      </c>
      <c r="AI97" s="28" t="s">
        <v>70</v>
      </c>
      <c r="AL97" s="28" t="s">
        <v>70</v>
      </c>
    </row>
    <row r="98" spans="1:40" x14ac:dyDescent="0.25">
      <c r="A98" s="30" t="s">
        <v>42</v>
      </c>
      <c r="B98" s="31"/>
      <c r="C98" s="31"/>
      <c r="D98" s="31">
        <v>140</v>
      </c>
      <c r="E98" s="31">
        <v>8.4000000000000005E-2</v>
      </c>
      <c r="F98" s="32">
        <f>A$99*EXP(E98*A$100)</f>
        <v>0.30555320292062188</v>
      </c>
      <c r="H98" s="33">
        <v>0.01</v>
      </c>
      <c r="I98" s="29">
        <v>0.38540000000000002</v>
      </c>
      <c r="J98" s="29">
        <v>9.8490000000000001E-3</v>
      </c>
      <c r="K98" s="33">
        <v>0.01</v>
      </c>
      <c r="L98" s="29"/>
      <c r="M98" s="29">
        <v>5.5650000000000004</v>
      </c>
      <c r="N98" s="33">
        <v>0.01</v>
      </c>
      <c r="O98">
        <v>2.3730000000000002</v>
      </c>
      <c r="Q98" s="33">
        <v>0.01</v>
      </c>
      <c r="R98" s="29">
        <v>3.879</v>
      </c>
      <c r="S98" s="29">
        <v>3.5449999999999999</v>
      </c>
      <c r="T98" s="33">
        <v>0.01</v>
      </c>
      <c r="U98" s="29">
        <v>57.25</v>
      </c>
      <c r="V98" s="29">
        <v>55.1</v>
      </c>
      <c r="W98" s="33">
        <v>0.01</v>
      </c>
      <c r="X98" s="29">
        <v>93.41</v>
      </c>
      <c r="Y98" s="29">
        <v>87.44</v>
      </c>
      <c r="Z98" s="33">
        <v>0.01</v>
      </c>
      <c r="AA98" s="29">
        <v>40.35</v>
      </c>
      <c r="AB98" s="29">
        <v>39.119999999999997</v>
      </c>
      <c r="AC98" s="33">
        <v>0.01</v>
      </c>
      <c r="AD98" s="29">
        <v>15.57</v>
      </c>
      <c r="AE98" s="29">
        <v>14.99</v>
      </c>
      <c r="AF98" s="33">
        <v>0.01</v>
      </c>
      <c r="AG98" s="29">
        <v>21.05</v>
      </c>
      <c r="AH98" s="29">
        <v>20.36</v>
      </c>
      <c r="AI98" s="33">
        <v>0.01</v>
      </c>
      <c r="AJ98" s="29">
        <v>33.89</v>
      </c>
      <c r="AK98" s="29">
        <v>32.89</v>
      </c>
      <c r="AL98" s="33">
        <v>0.01</v>
      </c>
      <c r="AM98" s="29">
        <v>1.2549999999999999</v>
      </c>
      <c r="AN98" s="29">
        <v>1.006</v>
      </c>
    </row>
    <row r="99" spans="1:40" x14ac:dyDescent="0.25">
      <c r="A99" s="34">
        <v>0.39219999999999999</v>
      </c>
      <c r="B99" s="35"/>
      <c r="C99" s="35"/>
      <c r="D99" s="35">
        <v>120</v>
      </c>
      <c r="E99" s="35">
        <v>7.1999999999999995E-2</v>
      </c>
      <c r="F99" s="36">
        <f>A$99*EXP(E99*A$100)</f>
        <v>0.31664710291901177</v>
      </c>
      <c r="H99" s="33">
        <v>1.4999999999999999E-2</v>
      </c>
      <c r="I99" s="29">
        <v>0.37640000000000001</v>
      </c>
      <c r="J99" s="29">
        <v>1.102E-2</v>
      </c>
      <c r="K99" s="33">
        <v>1.4999999999999999E-2</v>
      </c>
      <c r="L99" s="29">
        <v>1.8360000000000001</v>
      </c>
      <c r="M99" s="29">
        <v>1.5449999999999999</v>
      </c>
      <c r="N99" s="33">
        <v>1.4999999999999999E-2</v>
      </c>
      <c r="O99" s="29">
        <v>0.80710000000000004</v>
      </c>
      <c r="P99" s="29">
        <v>0.56269999999999998</v>
      </c>
      <c r="Q99" s="33">
        <v>1.4999999999999999E-2</v>
      </c>
      <c r="R99" s="29">
        <v>1.236</v>
      </c>
      <c r="S99" s="29">
        <v>0.97150000000000003</v>
      </c>
      <c r="T99" s="29">
        <v>1.4999999999999999E-2</v>
      </c>
      <c r="U99" s="29">
        <v>17.84</v>
      </c>
      <c r="V99" s="29">
        <v>17</v>
      </c>
      <c r="W99" s="29">
        <v>1.4999999999999999E-2</v>
      </c>
      <c r="X99" s="29">
        <v>29.79</v>
      </c>
      <c r="Y99" s="29">
        <v>28.04</v>
      </c>
      <c r="Z99" s="29">
        <v>1.4999999999999999E-2</v>
      </c>
      <c r="AA99" s="29">
        <v>12.39</v>
      </c>
      <c r="AB99" s="29">
        <v>11.79</v>
      </c>
      <c r="AC99" s="29">
        <v>1.4999999999999999E-2</v>
      </c>
      <c r="AD99" s="29">
        <v>4.694</v>
      </c>
      <c r="AE99" s="29">
        <v>4.3129999999999997</v>
      </c>
      <c r="AF99" s="29">
        <v>1.4999999999999999E-2</v>
      </c>
      <c r="AG99" s="29">
        <v>6.3579999999999997</v>
      </c>
      <c r="AH99" s="29">
        <v>5.9249999999999998</v>
      </c>
      <c r="AI99" s="29">
        <v>1.4999999999999999E-2</v>
      </c>
      <c r="AJ99" s="29">
        <v>10.34</v>
      </c>
      <c r="AK99" s="29">
        <v>9.7940000000000005</v>
      </c>
      <c r="AL99" s="33">
        <v>1.4999999999999999E-2</v>
      </c>
      <c r="AM99" s="29">
        <v>0.48270000000000002</v>
      </c>
      <c r="AN99" s="29">
        <v>0.26979999999999998</v>
      </c>
    </row>
    <row r="100" spans="1:40" x14ac:dyDescent="0.25">
      <c r="A100" s="34">
        <v>-2.972</v>
      </c>
      <c r="B100" s="35"/>
      <c r="C100" s="35"/>
      <c r="D100" s="35">
        <v>100</v>
      </c>
      <c r="E100" s="35">
        <v>0.06</v>
      </c>
      <c r="F100" s="36">
        <f>A$99*EXP(E100*A$100)</f>
        <v>0.3281437956749243</v>
      </c>
      <c r="H100" s="33">
        <v>0.02</v>
      </c>
      <c r="I100" s="29">
        <v>0.3695</v>
      </c>
      <c r="J100" s="29">
        <v>1.355E-2</v>
      </c>
      <c r="K100" s="33">
        <v>0.02</v>
      </c>
      <c r="L100" s="29">
        <v>0.86509999999999998</v>
      </c>
      <c r="M100" s="29">
        <v>0.6179</v>
      </c>
      <c r="N100" s="33">
        <v>0.02</v>
      </c>
      <c r="O100" s="29">
        <v>0.442</v>
      </c>
      <c r="P100" s="29">
        <v>0.2238</v>
      </c>
      <c r="Q100" s="33">
        <v>0.02</v>
      </c>
      <c r="R100" s="29">
        <v>0.61780000000000002</v>
      </c>
      <c r="S100" s="29">
        <v>0.38669999999999999</v>
      </c>
      <c r="T100" s="29">
        <v>0.02</v>
      </c>
      <c r="U100" s="29">
        <v>7.7389999999999999</v>
      </c>
      <c r="V100" s="29">
        <v>7.2270000000000003</v>
      </c>
      <c r="W100" s="29">
        <v>0.02</v>
      </c>
      <c r="X100" s="29">
        <v>13.06</v>
      </c>
      <c r="Y100" s="29">
        <v>12.2</v>
      </c>
      <c r="Z100" s="29">
        <v>0.02</v>
      </c>
      <c r="AA100" s="29">
        <v>5.3520000000000003</v>
      </c>
      <c r="AB100" s="29">
        <v>4.9390000000000001</v>
      </c>
      <c r="AC100" s="29">
        <v>0.02</v>
      </c>
      <c r="AD100" s="29">
        <v>2.0569999999999999</v>
      </c>
      <c r="AE100" s="29">
        <v>1.7589999999999999</v>
      </c>
      <c r="AF100" s="29">
        <v>0.02</v>
      </c>
      <c r="AG100" s="29">
        <v>2.7629999999999999</v>
      </c>
      <c r="AH100" s="29">
        <v>2.4319999999999999</v>
      </c>
      <c r="AI100" s="29">
        <v>0.02</v>
      </c>
      <c r="AJ100" s="29">
        <v>4.4640000000000004</v>
      </c>
      <c r="AK100" s="29">
        <v>4.0759999999999996</v>
      </c>
      <c r="AL100" s="33">
        <v>0.02</v>
      </c>
      <c r="AM100" s="29">
        <v>0.3014</v>
      </c>
      <c r="AN100" s="29">
        <v>0.1084</v>
      </c>
    </row>
    <row r="101" spans="1:40" x14ac:dyDescent="0.25">
      <c r="A101" s="34"/>
      <c r="B101" s="35"/>
      <c r="C101" s="35"/>
      <c r="D101" s="35">
        <v>80</v>
      </c>
      <c r="E101" s="35">
        <v>4.8000000000000001E-2</v>
      </c>
      <c r="F101" s="36">
        <f>A$99*EXP(E101*A$100)</f>
        <v>0.34005790562210558</v>
      </c>
      <c r="H101" s="33">
        <v>0.03</v>
      </c>
      <c r="I101" s="29">
        <v>0.35699999999999998</v>
      </c>
      <c r="J101" s="29">
        <v>1.8630000000000001E-2</v>
      </c>
      <c r="K101" s="33">
        <v>0.03</v>
      </c>
      <c r="L101" s="29">
        <v>0.37790000000000001</v>
      </c>
      <c r="M101" s="29">
        <v>0.1729</v>
      </c>
      <c r="N101" s="33">
        <v>0.03</v>
      </c>
      <c r="O101" s="29">
        <v>0.25619999999999998</v>
      </c>
      <c r="P101" s="29">
        <v>6.6140000000000004E-2</v>
      </c>
      <c r="Q101" s="33">
        <v>0.03</v>
      </c>
      <c r="R101" s="29">
        <v>0.30659999999999998</v>
      </c>
      <c r="S101" s="29">
        <v>0.1099</v>
      </c>
      <c r="T101" s="29">
        <v>0.03</v>
      </c>
      <c r="U101" s="29">
        <v>2.4249999999999998</v>
      </c>
      <c r="V101" s="29">
        <v>2.1139999999999999</v>
      </c>
      <c r="W101" s="29">
        <v>0.03</v>
      </c>
      <c r="X101" s="29">
        <v>4.08</v>
      </c>
      <c r="Y101" s="29">
        <v>3.665</v>
      </c>
      <c r="Z101" s="29">
        <v>0.03</v>
      </c>
      <c r="AA101" s="29">
        <v>1.7</v>
      </c>
      <c r="AB101" s="29">
        <v>1.4219999999999999</v>
      </c>
      <c r="AC101" s="29">
        <v>0.03</v>
      </c>
      <c r="AD101" s="29">
        <v>0.71970000000000001</v>
      </c>
      <c r="AE101" s="29">
        <v>0.49280000000000002</v>
      </c>
      <c r="AF101" s="29">
        <v>0.03</v>
      </c>
      <c r="AG101" s="29">
        <v>0.93059999999999998</v>
      </c>
      <c r="AH101" s="29">
        <v>0.6855</v>
      </c>
      <c r="AI101" s="29">
        <v>0.03</v>
      </c>
      <c r="AJ101" s="29">
        <v>1.4359999999999999</v>
      </c>
      <c r="AK101" s="29">
        <v>1.1639999999999999</v>
      </c>
      <c r="AL101" s="33">
        <v>0.03</v>
      </c>
      <c r="AM101" s="29">
        <v>0.20630000000000001</v>
      </c>
      <c r="AN101" s="29">
        <v>3.5060000000000001E-2</v>
      </c>
    </row>
    <row r="102" spans="1:40" ht="15.75" thickBot="1" x14ac:dyDescent="0.3">
      <c r="A102" s="37"/>
      <c r="B102" s="38"/>
      <c r="C102" s="38"/>
      <c r="D102" s="38">
        <v>70</v>
      </c>
      <c r="E102" s="38">
        <v>0.02</v>
      </c>
      <c r="F102" s="39">
        <f>A$99*EXP(E102*A$100)</f>
        <v>0.36956694962625081</v>
      </c>
      <c r="H102" s="33">
        <v>0.04</v>
      </c>
      <c r="I102" s="29">
        <v>0.3458</v>
      </c>
      <c r="J102" s="29">
        <v>2.315E-2</v>
      </c>
      <c r="K102" s="33">
        <v>0.04</v>
      </c>
      <c r="L102" s="29">
        <v>0.25850000000000001</v>
      </c>
      <c r="M102" s="29">
        <v>7.5300000000000006E-2</v>
      </c>
      <c r="N102" s="33">
        <v>0.04</v>
      </c>
      <c r="O102" s="29">
        <v>0.20760000000000001</v>
      </c>
      <c r="P102" s="29">
        <v>3.3430000000000001E-2</v>
      </c>
      <c r="Q102" s="33">
        <v>0.04</v>
      </c>
      <c r="R102" s="29">
        <v>0.2288</v>
      </c>
      <c r="S102" s="29">
        <v>5.0509999999999999E-2</v>
      </c>
      <c r="T102" s="29">
        <v>0.04</v>
      </c>
      <c r="U102" s="29">
        <v>1.117</v>
      </c>
      <c r="V102" s="29">
        <v>0.87560000000000004</v>
      </c>
      <c r="W102" s="29">
        <v>0.04</v>
      </c>
      <c r="X102" s="29">
        <v>1.83</v>
      </c>
      <c r="Y102" s="29">
        <v>1.538</v>
      </c>
      <c r="Z102" s="29">
        <v>0.04</v>
      </c>
      <c r="AA102" s="29">
        <v>0.80959999999999999</v>
      </c>
      <c r="AB102" s="29">
        <v>0.58499999999999996</v>
      </c>
      <c r="AC102" s="29">
        <v>0.04</v>
      </c>
      <c r="AD102" s="29">
        <v>0.39689999999999998</v>
      </c>
      <c r="AE102" s="29">
        <v>0.2031</v>
      </c>
      <c r="AF102" s="29">
        <v>0.04</v>
      </c>
      <c r="AG102" s="29">
        <v>0.48809999999999998</v>
      </c>
      <c r="AH102" s="29">
        <v>0.28149999999999997</v>
      </c>
      <c r="AI102" s="29">
        <v>0.04</v>
      </c>
      <c r="AJ102" s="29">
        <v>0.70120000000000005</v>
      </c>
      <c r="AK102" s="29">
        <v>0.47820000000000001</v>
      </c>
      <c r="AL102" s="33">
        <v>0.04</v>
      </c>
      <c r="AM102" s="29">
        <v>0.17929999999999999</v>
      </c>
      <c r="AN102" s="29">
        <v>2.0840000000000001E-2</v>
      </c>
    </row>
    <row r="103" spans="1:40" x14ac:dyDescent="0.25">
      <c r="A103" s="30" t="s">
        <v>43</v>
      </c>
      <c r="B103" s="31"/>
      <c r="C103" s="31"/>
      <c r="D103" s="31">
        <v>140</v>
      </c>
      <c r="E103" s="31">
        <v>8.4000000000000005E-2</v>
      </c>
      <c r="F103" s="32">
        <f>A$104*(E103^A$105)</f>
        <v>0.1484931324995257</v>
      </c>
      <c r="H103" s="33">
        <v>0.05</v>
      </c>
      <c r="I103" s="29">
        <v>0.33550000000000002</v>
      </c>
      <c r="J103" s="29">
        <v>2.7089999999999999E-2</v>
      </c>
      <c r="K103" s="33">
        <v>0.05</v>
      </c>
      <c r="L103" s="29">
        <v>0.2132</v>
      </c>
      <c r="M103" s="29">
        <v>4.4139999999999999E-2</v>
      </c>
      <c r="N103" s="33">
        <v>0.05</v>
      </c>
      <c r="O103" s="29">
        <v>0.18709999999999999</v>
      </c>
      <c r="P103" s="29">
        <v>2.3970000000000002E-2</v>
      </c>
      <c r="Q103" s="33">
        <v>0.05</v>
      </c>
      <c r="R103" s="29">
        <v>0.19800000000000001</v>
      </c>
      <c r="S103" s="29">
        <v>3.2169999999999997E-2</v>
      </c>
      <c r="T103" s="29">
        <v>0.05</v>
      </c>
      <c r="U103" s="29">
        <v>0.64829999999999999</v>
      </c>
      <c r="V103" s="29">
        <v>0.44330000000000003</v>
      </c>
      <c r="W103" s="29">
        <v>0.05</v>
      </c>
      <c r="X103" s="29">
        <v>1.0189999999999999</v>
      </c>
      <c r="Y103" s="29">
        <v>0.78220000000000001</v>
      </c>
      <c r="Z103" s="29">
        <v>0.05</v>
      </c>
      <c r="AA103" s="29">
        <v>0.49159999999999998</v>
      </c>
      <c r="AB103" s="29">
        <v>0.29649999999999999</v>
      </c>
      <c r="AC103" s="29">
        <v>0.05</v>
      </c>
      <c r="AD103" s="29">
        <v>0.28039999999999998</v>
      </c>
      <c r="AE103" s="29">
        <v>0.10630000000000001</v>
      </c>
      <c r="AF103" s="29">
        <v>0.05</v>
      </c>
      <c r="AG103" s="29">
        <v>0.32919999999999999</v>
      </c>
      <c r="AH103" s="29">
        <v>0.14510000000000001</v>
      </c>
      <c r="AI103" s="29">
        <v>0.05</v>
      </c>
      <c r="AJ103" s="29">
        <v>0.4385</v>
      </c>
      <c r="AK103" s="29">
        <v>0.24299999999999999</v>
      </c>
      <c r="AL103" s="33">
        <v>0.05</v>
      </c>
      <c r="AM103" s="29">
        <v>0.16650000000000001</v>
      </c>
      <c r="AN103" s="29">
        <v>1.737E-2</v>
      </c>
    </row>
    <row r="104" spans="1:40" x14ac:dyDescent="0.25">
      <c r="A104" s="34">
        <v>1.1900000000000001E-2</v>
      </c>
      <c r="B104" s="35"/>
      <c r="C104" s="35"/>
      <c r="D104" s="35">
        <v>120</v>
      </c>
      <c r="E104" s="35">
        <v>7.1999999999999995E-2</v>
      </c>
      <c r="F104" s="36">
        <f>A$104*(E104^A$105)</f>
        <v>0.17375013373160739</v>
      </c>
      <c r="H104" s="33">
        <v>0.06</v>
      </c>
      <c r="I104" s="29">
        <v>0.32600000000000001</v>
      </c>
      <c r="J104" s="29">
        <v>3.0530000000000002E-2</v>
      </c>
      <c r="K104" s="33">
        <v>0.06</v>
      </c>
      <c r="L104" s="29">
        <v>0.19070000000000001</v>
      </c>
      <c r="M104" s="29">
        <v>3.2070000000000001E-2</v>
      </c>
      <c r="N104" s="33">
        <v>0.06</v>
      </c>
      <c r="O104" s="29">
        <v>0.17530000000000001</v>
      </c>
      <c r="P104" s="29">
        <v>2.0979999999999999E-2</v>
      </c>
      <c r="Q104" s="33">
        <v>0.06</v>
      </c>
      <c r="R104" s="29">
        <v>0.1817</v>
      </c>
      <c r="S104" s="29">
        <v>2.5479999999999999E-2</v>
      </c>
      <c r="T104" s="29">
        <v>0.06</v>
      </c>
      <c r="U104" s="29">
        <v>0.4395</v>
      </c>
      <c r="V104" s="29">
        <v>0.25700000000000001</v>
      </c>
      <c r="W104" s="29">
        <v>0.06</v>
      </c>
      <c r="X104" s="29">
        <v>0.65780000000000005</v>
      </c>
      <c r="Y104" s="29">
        <v>0.45200000000000001</v>
      </c>
      <c r="Z104" s="29">
        <v>0.06</v>
      </c>
      <c r="AA104" s="29">
        <v>0.34939999999999999</v>
      </c>
      <c r="AB104" s="29">
        <v>0.17349999999999999</v>
      </c>
      <c r="AC104" s="29">
        <v>0.06</v>
      </c>
      <c r="AD104" s="29">
        <v>0.2268</v>
      </c>
      <c r="AE104" s="29">
        <v>6.6250000000000003E-2</v>
      </c>
      <c r="AF104" s="29">
        <v>0.06</v>
      </c>
      <c r="AG104" s="29">
        <v>0.25700000000000001</v>
      </c>
      <c r="AH104" s="29">
        <v>8.8200000000000001E-2</v>
      </c>
      <c r="AI104" s="29">
        <v>0.06</v>
      </c>
      <c r="AJ104" s="29">
        <v>0.32069999999999999</v>
      </c>
      <c r="AK104" s="29">
        <v>0.1434</v>
      </c>
      <c r="AL104" s="33">
        <v>0.06</v>
      </c>
      <c r="AM104" s="29">
        <v>0.1583</v>
      </c>
      <c r="AN104" s="29">
        <v>1.6799999999999999E-2</v>
      </c>
    </row>
    <row r="105" spans="1:40" x14ac:dyDescent="0.25">
      <c r="A105" s="34">
        <v>-1.0189999999999999</v>
      </c>
      <c r="B105" s="35"/>
      <c r="C105" s="35"/>
      <c r="D105" s="35">
        <v>100</v>
      </c>
      <c r="E105" s="35">
        <v>0.06</v>
      </c>
      <c r="F105" s="36">
        <f>A$104*(E105^A$105)</f>
        <v>0.20922368033358948</v>
      </c>
      <c r="H105" s="33">
        <v>0.08</v>
      </c>
      <c r="I105" s="29">
        <v>0.30909999999999999</v>
      </c>
      <c r="J105" s="29">
        <v>3.6200000000000003E-2</v>
      </c>
      <c r="K105" s="33">
        <v>0.08</v>
      </c>
      <c r="L105" s="29">
        <v>0.1678</v>
      </c>
      <c r="M105" s="29">
        <v>2.4680000000000001E-2</v>
      </c>
      <c r="N105" s="33">
        <v>0.08</v>
      </c>
      <c r="O105" s="29">
        <v>0.161</v>
      </c>
      <c r="P105" s="29">
        <v>2.0369999999999999E-2</v>
      </c>
      <c r="Q105" s="33">
        <v>0.08</v>
      </c>
      <c r="R105" s="29">
        <v>0.16389999999999999</v>
      </c>
      <c r="S105" s="29">
        <v>2.2110000000000001E-2</v>
      </c>
      <c r="T105" s="29">
        <v>0.08</v>
      </c>
      <c r="U105" s="29">
        <v>0.26960000000000001</v>
      </c>
      <c r="V105" s="29">
        <v>0.1148</v>
      </c>
      <c r="W105" s="29">
        <v>0.08</v>
      </c>
      <c r="X105" s="29">
        <v>0.36559999999999998</v>
      </c>
      <c r="Y105" s="29">
        <v>0.1958</v>
      </c>
      <c r="Z105" s="29">
        <v>0.08</v>
      </c>
      <c r="AA105" s="29">
        <v>0.2324</v>
      </c>
      <c r="AB105" s="29">
        <v>8.0829999999999999E-2</v>
      </c>
      <c r="AC105" s="29">
        <v>0.08</v>
      </c>
      <c r="AD105" s="29">
        <v>0.17960000000000001</v>
      </c>
      <c r="AE105" s="29">
        <v>3.7609999999999998E-2</v>
      </c>
      <c r="AF105" s="29">
        <v>0.08</v>
      </c>
      <c r="AG105" s="29">
        <v>0.1951</v>
      </c>
      <c r="AH105" s="29">
        <v>4.6710000000000002E-2</v>
      </c>
      <c r="AI105" s="29">
        <v>0.08</v>
      </c>
      <c r="AJ105" s="29">
        <v>0.2228</v>
      </c>
      <c r="AK105" s="29">
        <v>6.8959999999999994E-2</v>
      </c>
      <c r="AL105" s="33">
        <v>0.08</v>
      </c>
      <c r="AM105" s="29">
        <v>0.1472</v>
      </c>
      <c r="AN105" s="29">
        <v>1.7850000000000001E-2</v>
      </c>
    </row>
    <row r="106" spans="1:40" x14ac:dyDescent="0.25">
      <c r="A106" s="34"/>
      <c r="B106" s="35"/>
      <c r="C106" s="35"/>
      <c r="D106" s="35">
        <v>80</v>
      </c>
      <c r="E106" s="35">
        <v>4.8000000000000001E-2</v>
      </c>
      <c r="F106" s="36">
        <f>A$104*(E106^A$105)</f>
        <v>0.2626407685098755</v>
      </c>
      <c r="H106" s="33">
        <v>0.1</v>
      </c>
      <c r="I106" s="29">
        <v>0.2944</v>
      </c>
      <c r="J106" s="29">
        <v>4.0629999999999999E-2</v>
      </c>
      <c r="K106" s="33">
        <v>0.1</v>
      </c>
      <c r="L106" s="29">
        <v>0.15509999999999999</v>
      </c>
      <c r="M106" s="29">
        <v>2.3550000000000001E-2</v>
      </c>
      <c r="N106" s="33">
        <v>0.1</v>
      </c>
      <c r="O106" s="29">
        <v>0.15140000000000001</v>
      </c>
      <c r="P106" s="29">
        <v>2.147E-2</v>
      </c>
      <c r="Q106" s="33">
        <v>0.1</v>
      </c>
      <c r="R106" s="29">
        <v>0.15290000000000001</v>
      </c>
      <c r="S106" s="29">
        <v>2.231E-2</v>
      </c>
      <c r="T106" s="29">
        <v>0.1</v>
      </c>
      <c r="U106" s="29">
        <v>0.20499999999999999</v>
      </c>
      <c r="V106" s="29">
        <v>6.7449999999999996E-2</v>
      </c>
      <c r="W106" s="29">
        <v>0.1</v>
      </c>
      <c r="X106" s="29">
        <v>0.2571</v>
      </c>
      <c r="Y106" s="29">
        <v>0.1085</v>
      </c>
      <c r="Z106" s="29">
        <v>0.1</v>
      </c>
      <c r="AA106" s="29">
        <v>0.1865</v>
      </c>
      <c r="AB106" s="29">
        <v>5.0680000000000003E-2</v>
      </c>
      <c r="AC106" s="29">
        <v>0.1</v>
      </c>
      <c r="AD106" s="29">
        <v>0.1585</v>
      </c>
      <c r="AE106" s="29">
        <v>2.9309999999999999E-2</v>
      </c>
      <c r="AF106" s="29">
        <v>0.1</v>
      </c>
      <c r="AG106" s="29">
        <v>0.1686</v>
      </c>
      <c r="AH106" s="29">
        <v>3.4099999999999998E-2</v>
      </c>
      <c r="AI106" s="29">
        <v>0.1</v>
      </c>
      <c r="AJ106" s="29">
        <v>0.1835</v>
      </c>
      <c r="AK106" s="29">
        <v>4.5130000000000003E-2</v>
      </c>
      <c r="AL106" s="33">
        <v>0.1</v>
      </c>
      <c r="AM106" s="29">
        <v>0.1391</v>
      </c>
      <c r="AN106" s="29">
        <v>1.9400000000000001E-2</v>
      </c>
    </row>
    <row r="107" spans="1:40" ht="15.75" thickBot="1" x14ac:dyDescent="0.3">
      <c r="A107" s="37"/>
      <c r="B107" s="38"/>
      <c r="C107" s="38"/>
      <c r="D107" s="38">
        <v>70</v>
      </c>
      <c r="E107" s="38">
        <v>0.02</v>
      </c>
      <c r="F107" s="39">
        <f>A$104*(E107^A$105)</f>
        <v>0.64091051349865014</v>
      </c>
    </row>
    <row r="108" spans="1:40" x14ac:dyDescent="0.25">
      <c r="A108" s="30" t="s">
        <v>44</v>
      </c>
      <c r="B108" s="31"/>
      <c r="C108" s="31"/>
      <c r="D108" s="31">
        <v>140</v>
      </c>
      <c r="E108" s="31">
        <v>8.4000000000000005E-2</v>
      </c>
      <c r="F108" s="32">
        <f>A$109*(E108^A$110)</f>
        <v>0.14889803523981843</v>
      </c>
      <c r="L108" s="26" t="s">
        <v>66</v>
      </c>
      <c r="M108" s="28" t="s">
        <v>71</v>
      </c>
      <c r="N108" s="28" t="s">
        <v>72</v>
      </c>
      <c r="O108" t="s">
        <v>73</v>
      </c>
      <c r="T108" s="26" t="s">
        <v>66</v>
      </c>
      <c r="U108" s="28" t="s">
        <v>71</v>
      </c>
      <c r="V108" s="28" t="s">
        <v>72</v>
      </c>
      <c r="W108" t="s">
        <v>73</v>
      </c>
      <c r="AB108" s="26" t="s">
        <v>66</v>
      </c>
      <c r="AC108" s="28" t="s">
        <v>71</v>
      </c>
      <c r="AD108" s="28" t="s">
        <v>72</v>
      </c>
      <c r="AE108" t="s">
        <v>73</v>
      </c>
    </row>
    <row r="109" spans="1:40" ht="15.75" thickBot="1" x14ac:dyDescent="0.3">
      <c r="A109" s="34">
        <v>3.1899999999999998E-2</v>
      </c>
      <c r="B109" s="35"/>
      <c r="C109" s="35"/>
      <c r="D109" s="35">
        <v>120</v>
      </c>
      <c r="E109" s="35">
        <v>7.1999999999999995E-2</v>
      </c>
      <c r="F109" s="36">
        <f>A$109*(E109^A$110)</f>
        <v>0.16388147732111455</v>
      </c>
      <c r="J109" s="26" t="s">
        <v>74</v>
      </c>
      <c r="K109" s="27" t="s">
        <v>41</v>
      </c>
      <c r="M109" s="28" t="s">
        <v>75</v>
      </c>
      <c r="N109" s="28" t="s">
        <v>76</v>
      </c>
      <c r="O109" s="26" t="s">
        <v>77</v>
      </c>
      <c r="R109" s="26" t="s">
        <v>74</v>
      </c>
      <c r="S109" s="27" t="s">
        <v>41</v>
      </c>
      <c r="U109" s="28" t="s">
        <v>75</v>
      </c>
      <c r="V109" s="28" t="s">
        <v>76</v>
      </c>
      <c r="W109" s="26" t="s">
        <v>77</v>
      </c>
      <c r="Z109" s="26" t="s">
        <v>74</v>
      </c>
      <c r="AA109" s="27" t="s">
        <v>41</v>
      </c>
      <c r="AC109" s="28" t="s">
        <v>75</v>
      </c>
      <c r="AD109" s="28" t="s">
        <v>76</v>
      </c>
      <c r="AE109" s="26" t="s">
        <v>77</v>
      </c>
    </row>
    <row r="110" spans="1:40" x14ac:dyDescent="0.25">
      <c r="A110" s="34">
        <v>-0.622</v>
      </c>
      <c r="B110" s="35"/>
      <c r="C110" s="35"/>
      <c r="D110" s="35">
        <v>100</v>
      </c>
      <c r="E110" s="35">
        <v>0.06</v>
      </c>
      <c r="F110" s="36">
        <f>A$109*(E110^A$110)</f>
        <v>0.18356108045365988</v>
      </c>
      <c r="H110" s="40">
        <v>455</v>
      </c>
      <c r="I110" s="31" t="s">
        <v>14</v>
      </c>
      <c r="J110" s="31">
        <v>0.28999999999999998</v>
      </c>
      <c r="K110" s="31">
        <v>0.28000000000000003</v>
      </c>
      <c r="L110" s="31">
        <v>140</v>
      </c>
      <c r="M110" s="31">
        <v>8.4000000000000005E-2</v>
      </c>
      <c r="N110" s="41">
        <v>0.15967110000000001</v>
      </c>
      <c r="O110" s="42">
        <v>4.4707907999999998E-2</v>
      </c>
      <c r="P110" s="40">
        <v>453</v>
      </c>
      <c r="Q110" s="31" t="s">
        <v>19</v>
      </c>
      <c r="R110" s="31">
        <v>0.95</v>
      </c>
      <c r="S110" s="31">
        <v>0.94</v>
      </c>
      <c r="T110" s="31">
        <v>140</v>
      </c>
      <c r="U110" s="31">
        <v>8.4000000000000005E-2</v>
      </c>
      <c r="V110" s="41">
        <v>0.1637217</v>
      </c>
      <c r="W110" s="42">
        <v>0.15389839799999999</v>
      </c>
      <c r="X110" s="40" t="s">
        <v>62</v>
      </c>
      <c r="Y110" s="31" t="str">
        <f>B92</f>
        <v>Acrylic</v>
      </c>
      <c r="Z110" s="31">
        <f>C92</f>
        <v>1.19</v>
      </c>
      <c r="AA110" s="31">
        <f>D92</f>
        <v>1.1499999999999999</v>
      </c>
      <c r="AB110" s="31">
        <v>140</v>
      </c>
      <c r="AC110" s="31">
        <v>8.4000000000000005E-2</v>
      </c>
      <c r="AD110" s="41">
        <f>F98*E$92/100+F103*F$92/100+F108*G$92/100</f>
        <v>0.16136447951880159</v>
      </c>
      <c r="AE110" s="42">
        <f>AD110*$Z$110</f>
        <v>0.19202373062737388</v>
      </c>
    </row>
    <row r="111" spans="1:40" x14ac:dyDescent="0.25">
      <c r="A111" s="34"/>
      <c r="B111" s="35"/>
      <c r="C111" s="35"/>
      <c r="D111" s="35">
        <v>80</v>
      </c>
      <c r="E111" s="35">
        <v>4.8000000000000001E-2</v>
      </c>
      <c r="F111" s="36">
        <f>A$109*(E111^A$110)</f>
        <v>0.21089128516953862</v>
      </c>
      <c r="H111" s="34"/>
      <c r="I111" s="35"/>
      <c r="J111" s="35"/>
      <c r="K111" s="35"/>
      <c r="L111" s="35">
        <v>120</v>
      </c>
      <c r="M111" s="35">
        <v>7.1999999999999995E-2</v>
      </c>
      <c r="N111" s="43">
        <v>0.1817066</v>
      </c>
      <c r="O111" s="44">
        <v>5.0877848000000003E-2</v>
      </c>
      <c r="P111" s="34"/>
      <c r="Q111" s="35"/>
      <c r="R111" s="35"/>
      <c r="S111" s="35"/>
      <c r="T111" s="35">
        <v>120</v>
      </c>
      <c r="U111" s="35">
        <v>7.1999999999999995E-2</v>
      </c>
      <c r="V111" s="43">
        <v>0.1801875</v>
      </c>
      <c r="W111" s="44">
        <v>0.16937625000000001</v>
      </c>
      <c r="X111" s="34"/>
      <c r="Y111" s="35"/>
      <c r="Z111" s="35"/>
      <c r="AA111" s="35"/>
      <c r="AB111" s="35">
        <v>120</v>
      </c>
      <c r="AC111" s="35">
        <v>7.1999999999999995E-2</v>
      </c>
      <c r="AD111" s="43">
        <f>F99*E$92/100+F104*F$92/100+F109*G$92/100</f>
        <v>0.17931674462280667</v>
      </c>
      <c r="AE111" s="44">
        <f>AD111*$Z$110</f>
        <v>0.21338692610113993</v>
      </c>
    </row>
    <row r="112" spans="1:40" ht="15.75" thickBot="1" x14ac:dyDescent="0.3">
      <c r="A112" s="45"/>
      <c r="B112" s="38"/>
      <c r="C112" s="38"/>
      <c r="D112" s="38">
        <v>70</v>
      </c>
      <c r="E112" s="38">
        <v>0.02</v>
      </c>
      <c r="F112" s="39">
        <f>A$109*(E112^A$110)</f>
        <v>0.36353817757205986</v>
      </c>
      <c r="H112" s="34"/>
      <c r="I112" s="35"/>
      <c r="J112" s="35"/>
      <c r="K112" s="35"/>
      <c r="L112" s="35">
        <v>100</v>
      </c>
      <c r="M112" s="35">
        <v>0.06</v>
      </c>
      <c r="N112" s="43">
        <v>0.21346309999999999</v>
      </c>
      <c r="O112" s="44">
        <v>5.9769667999999998E-2</v>
      </c>
      <c r="P112" s="34"/>
      <c r="Q112" s="35"/>
      <c r="R112" s="35"/>
      <c r="S112" s="35"/>
      <c r="T112" s="35">
        <v>100</v>
      </c>
      <c r="U112" s="35">
        <v>0.06</v>
      </c>
      <c r="V112" s="43">
        <v>0.20191200000000001</v>
      </c>
      <c r="W112" s="44">
        <v>0.18979728000000001</v>
      </c>
      <c r="X112" s="34"/>
      <c r="Y112" s="35"/>
      <c r="Z112" s="35"/>
      <c r="AA112" s="35"/>
      <c r="AB112" s="35">
        <v>100</v>
      </c>
      <c r="AC112" s="35">
        <v>0.06</v>
      </c>
      <c r="AD112" s="43">
        <f>F100*E$92/100+F105*F$92/100+F110*G$92/100</f>
        <v>0.2033833998425518</v>
      </c>
      <c r="AE112" s="44">
        <f>AD112*$Z$110</f>
        <v>0.24202624581263663</v>
      </c>
    </row>
    <row r="113" spans="1:31" x14ac:dyDescent="0.25">
      <c r="A113" s="30" t="s">
        <v>45</v>
      </c>
      <c r="B113" s="31"/>
      <c r="C113" s="31"/>
      <c r="D113" s="31">
        <v>140</v>
      </c>
      <c r="E113" s="31">
        <v>8.4000000000000005E-2</v>
      </c>
      <c r="F113" s="32">
        <f>A$114*(E113^A$115)</f>
        <v>0.14790203698252929</v>
      </c>
      <c r="H113" s="34"/>
      <c r="I113" s="35"/>
      <c r="J113" s="35"/>
      <c r="K113" s="35"/>
      <c r="L113" s="35">
        <v>80</v>
      </c>
      <c r="M113" s="35">
        <v>4.8000000000000001E-2</v>
      </c>
      <c r="N113" s="43">
        <v>0.26396799999999998</v>
      </c>
      <c r="O113" s="44">
        <v>7.3911039999999997E-2</v>
      </c>
      <c r="P113" s="34"/>
      <c r="Q113" s="35"/>
      <c r="R113" s="35"/>
      <c r="S113" s="35"/>
      <c r="T113" s="35">
        <v>80</v>
      </c>
      <c r="U113" s="35">
        <v>4.8000000000000001E-2</v>
      </c>
      <c r="V113" s="43">
        <v>0.23218430000000001</v>
      </c>
      <c r="W113" s="44">
        <v>0.21825324199999999</v>
      </c>
      <c r="X113" s="34"/>
      <c r="Y113" s="35"/>
      <c r="Z113" s="35"/>
      <c r="AA113" s="35"/>
      <c r="AB113" s="35">
        <v>80</v>
      </c>
      <c r="AC113" s="35">
        <v>4.8000000000000001E-2</v>
      </c>
      <c r="AD113" s="43">
        <f>F101*E$92/100+F106*F$92/100+F111*G$92/100</f>
        <v>0.23780724386302496</v>
      </c>
      <c r="AE113" s="44">
        <f>AD113*$Z$110</f>
        <v>0.28299062019699966</v>
      </c>
    </row>
    <row r="114" spans="1:31" ht="15.75" thickBot="1" x14ac:dyDescent="0.3">
      <c r="A114" s="34">
        <v>1.95E-2</v>
      </c>
      <c r="B114" s="35"/>
      <c r="C114" s="35"/>
      <c r="D114" s="35">
        <v>120</v>
      </c>
      <c r="E114" s="35">
        <v>7.1999999999999995E-2</v>
      </c>
      <c r="F114" s="36">
        <f>A$114*(E114^A$115)</f>
        <v>0.16777862437805818</v>
      </c>
      <c r="H114" s="37"/>
      <c r="I114" s="38"/>
      <c r="J114" s="38"/>
      <c r="K114" s="38"/>
      <c r="L114" s="38">
        <v>70</v>
      </c>
      <c r="M114" s="38">
        <v>0.02</v>
      </c>
      <c r="N114" s="46">
        <v>0.76238030000000001</v>
      </c>
      <c r="O114" s="47">
        <v>0.21346648400000001</v>
      </c>
      <c r="P114" s="37"/>
      <c r="Q114" s="38"/>
      <c r="R114" s="38"/>
      <c r="S114" s="38"/>
      <c r="T114" s="38">
        <v>70</v>
      </c>
      <c r="U114" s="38">
        <v>0.02</v>
      </c>
      <c r="V114" s="46">
        <v>0.41736259999999997</v>
      </c>
      <c r="W114" s="47">
        <v>0.392320844</v>
      </c>
      <c r="X114" s="37"/>
      <c r="Y114" s="38"/>
      <c r="Z114" s="38"/>
      <c r="AA114" s="38"/>
      <c r="AB114" s="38">
        <v>70</v>
      </c>
      <c r="AC114" s="38">
        <v>0.02</v>
      </c>
      <c r="AD114" s="46">
        <f>F102*E$92/100+F107*F$92/100+F112*G$92/100</f>
        <v>0.45263533846680326</v>
      </c>
      <c r="AE114" s="47">
        <f>AD114*$Z$110</f>
        <v>0.53863605277549587</v>
      </c>
    </row>
    <row r="115" spans="1:31" x14ac:dyDescent="0.25">
      <c r="A115" s="34">
        <v>-0.81799999999999995</v>
      </c>
      <c r="B115" s="35"/>
      <c r="C115" s="35"/>
      <c r="D115" s="35">
        <v>100</v>
      </c>
      <c r="E115" s="35">
        <v>0.06</v>
      </c>
      <c r="F115" s="36">
        <f>A$114*(E115^A$115)</f>
        <v>0.19476319420021529</v>
      </c>
      <c r="H115" s="40">
        <v>485</v>
      </c>
      <c r="I115" s="31" t="s">
        <v>17</v>
      </c>
      <c r="J115" s="31">
        <v>0.45</v>
      </c>
      <c r="K115" s="31">
        <v>0.43</v>
      </c>
      <c r="L115" s="31">
        <v>140</v>
      </c>
      <c r="M115" s="31">
        <v>8.4000000000000005E-2</v>
      </c>
      <c r="N115" s="41">
        <v>0.15966250000000001</v>
      </c>
      <c r="O115" s="42">
        <v>6.8654875000000004E-2</v>
      </c>
      <c r="P115" s="40">
        <v>454</v>
      </c>
      <c r="Q115" s="31" t="s">
        <v>22</v>
      </c>
      <c r="R115" s="31">
        <v>0.98</v>
      </c>
      <c r="S115" s="31">
        <v>0.96</v>
      </c>
      <c r="T115" s="31">
        <v>140</v>
      </c>
      <c r="U115" s="31">
        <v>8.4000000000000005E-2</v>
      </c>
      <c r="V115" s="41">
        <v>0.16465340000000001</v>
      </c>
      <c r="W115" s="42">
        <v>0.15806726400000001</v>
      </c>
      <c r="X115" s="40" t="s">
        <v>62</v>
      </c>
      <c r="Y115" s="31" t="str">
        <f>B93</f>
        <v>Solid Water-SIG</v>
      </c>
      <c r="Z115" s="31">
        <f>C93</f>
        <v>1.02</v>
      </c>
      <c r="AA115" s="31">
        <f>D93</f>
        <v>1</v>
      </c>
      <c r="AB115" s="31">
        <v>140</v>
      </c>
      <c r="AC115" s="31">
        <v>8.4000000000000005E-2</v>
      </c>
      <c r="AD115" s="41">
        <f>(F98*E$93/100)+(F103*F$93/100)+(F113*H$93/100)+(F118*I$93/100)+(F123*J$93/100)+(F138*M$93/100)+(F108*G$93/100)</f>
        <v>0.16577956678830286</v>
      </c>
      <c r="AE115" s="42">
        <f>AD115*$Z$115</f>
        <v>0.16909515812406892</v>
      </c>
    </row>
    <row r="116" spans="1:31" x14ac:dyDescent="0.25">
      <c r="A116" s="34"/>
      <c r="B116" s="35"/>
      <c r="C116" s="35"/>
      <c r="D116" s="35">
        <v>80</v>
      </c>
      <c r="E116" s="35">
        <v>4.8000000000000001E-2</v>
      </c>
      <c r="F116" s="36">
        <f>A$114*(E116^A$115)</f>
        <v>0.23376488770435194</v>
      </c>
      <c r="H116" s="34"/>
      <c r="I116" s="35"/>
      <c r="J116" s="35"/>
      <c r="K116" s="35"/>
      <c r="L116" s="35">
        <v>120</v>
      </c>
      <c r="M116" s="35">
        <v>7.1999999999999995E-2</v>
      </c>
      <c r="N116" s="43">
        <v>0.18159990000000001</v>
      </c>
      <c r="O116" s="44">
        <v>7.8087957E-2</v>
      </c>
      <c r="P116" s="34"/>
      <c r="Q116" s="35"/>
      <c r="R116" s="35"/>
      <c r="S116" s="35"/>
      <c r="T116" s="35">
        <v>120</v>
      </c>
      <c r="U116" s="35">
        <v>7.1999999999999995E-2</v>
      </c>
      <c r="V116" s="43">
        <v>0.1827232</v>
      </c>
      <c r="W116" s="44">
        <v>0.17541427200000001</v>
      </c>
      <c r="X116" s="34"/>
      <c r="Y116" s="35"/>
      <c r="Z116" s="35"/>
      <c r="AA116" s="35"/>
      <c r="AB116" s="35">
        <v>120</v>
      </c>
      <c r="AC116" s="35">
        <v>7.1999999999999995E-2</v>
      </c>
      <c r="AD116" s="43">
        <f>(F99*E$93/100)+(F104*F$93/100)+(F114*H$93/100)+(F119*I$93/100)+(F124*J$93/100)+(F139*M$93/100)+(F109*G$93/100)</f>
        <v>0.18519627907197234</v>
      </c>
      <c r="AE116" s="44">
        <f>AD116*$Z$115</f>
        <v>0.18890020465341179</v>
      </c>
    </row>
    <row r="117" spans="1:31" ht="15.75" thickBot="1" x14ac:dyDescent="0.3">
      <c r="A117" s="45"/>
      <c r="B117" s="38"/>
      <c r="C117" s="38"/>
      <c r="D117" s="38">
        <v>70</v>
      </c>
      <c r="E117" s="38">
        <v>0.02</v>
      </c>
      <c r="F117" s="39">
        <f>A$114*(E117^A$115)</f>
        <v>0.47840099573011974</v>
      </c>
      <c r="H117" s="34"/>
      <c r="I117" s="35"/>
      <c r="J117" s="35"/>
      <c r="K117" s="35"/>
      <c r="L117" s="35">
        <v>100</v>
      </c>
      <c r="M117" s="35">
        <v>0.06</v>
      </c>
      <c r="N117" s="43">
        <v>0.21317340000000001</v>
      </c>
      <c r="O117" s="44">
        <v>9.1664562000000005E-2</v>
      </c>
      <c r="P117" s="34"/>
      <c r="Q117" s="35"/>
      <c r="R117" s="35"/>
      <c r="S117" s="35"/>
      <c r="T117" s="35">
        <v>100</v>
      </c>
      <c r="U117" s="35">
        <v>0.06</v>
      </c>
      <c r="V117" s="43">
        <v>0.20739859999999999</v>
      </c>
      <c r="W117" s="44">
        <v>0.19910265599999999</v>
      </c>
      <c r="X117" s="34"/>
      <c r="Y117" s="35"/>
      <c r="Z117" s="35"/>
      <c r="AA117" s="35"/>
      <c r="AB117" s="35">
        <v>100</v>
      </c>
      <c r="AC117" s="35">
        <v>0.06</v>
      </c>
      <c r="AD117" s="43">
        <f>(F100*E$93/100)+(F105*F$93/100)+(F115*H$93/100)+(F120*I$93/100)+(F125*J$93/100)+(F140*M$93/100)+(F110*G$93/100)</f>
        <v>0.21252430338190703</v>
      </c>
      <c r="AE117" s="44">
        <f>AD117*$Z$115</f>
        <v>0.21677478944954517</v>
      </c>
    </row>
    <row r="118" spans="1:31" x14ac:dyDescent="0.25">
      <c r="A118" s="30" t="s">
        <v>46</v>
      </c>
      <c r="B118" s="31"/>
      <c r="C118" s="31"/>
      <c r="D118" s="31">
        <v>140</v>
      </c>
      <c r="E118" s="31">
        <v>8.4000000000000005E-2</v>
      </c>
      <c r="F118" s="32">
        <f>A$119*(E118^A$120)</f>
        <v>0.20300072402783062</v>
      </c>
      <c r="H118" s="34"/>
      <c r="I118" s="35"/>
      <c r="J118" s="35"/>
      <c r="K118" s="35"/>
      <c r="L118" s="35">
        <v>80</v>
      </c>
      <c r="M118" s="35">
        <v>4.8000000000000001E-2</v>
      </c>
      <c r="N118" s="43">
        <v>0.26329390000000003</v>
      </c>
      <c r="O118" s="44">
        <v>0.11321637700000001</v>
      </c>
      <c r="P118" s="34"/>
      <c r="Q118" s="35"/>
      <c r="R118" s="35"/>
      <c r="S118" s="35"/>
      <c r="T118" s="35">
        <v>80</v>
      </c>
      <c r="U118" s="35">
        <v>4.8000000000000001E-2</v>
      </c>
      <c r="V118" s="43">
        <v>0.24388309999999999</v>
      </c>
      <c r="W118" s="44">
        <v>0.23412777600000001</v>
      </c>
      <c r="X118" s="34"/>
      <c r="Y118" s="35"/>
      <c r="Z118" s="35"/>
      <c r="AA118" s="35"/>
      <c r="AB118" s="35">
        <v>80</v>
      </c>
      <c r="AC118" s="35">
        <v>4.8000000000000001E-2</v>
      </c>
      <c r="AD118" s="43">
        <f>(F101*E$93/100)+(F106*F$93/100)+(F116*H$93/100)+(F121*I$93/100)+(F126*J$93/100)+(F141*M$93/100)+(F111*G$93/100)</f>
        <v>0.25496915727397107</v>
      </c>
      <c r="AE118" s="44">
        <f>AD118*$Z$115</f>
        <v>0.26006854041945049</v>
      </c>
    </row>
    <row r="119" spans="1:31" ht="15.75" thickBot="1" x14ac:dyDescent="0.3">
      <c r="A119" s="34">
        <v>4.0000000000000002E-4</v>
      </c>
      <c r="B119" s="35"/>
      <c r="C119" s="35"/>
      <c r="D119" s="35">
        <v>120</v>
      </c>
      <c r="E119" s="35">
        <v>7.1999999999999995E-2</v>
      </c>
      <c r="F119" s="36">
        <f>A$119*(E119^A$120)</f>
        <v>0.29913605562859319</v>
      </c>
      <c r="H119" s="37"/>
      <c r="I119" s="38"/>
      <c r="J119" s="38"/>
      <c r="K119" s="38"/>
      <c r="L119" s="38">
        <v>70</v>
      </c>
      <c r="M119" s="38">
        <v>0.02</v>
      </c>
      <c r="N119" s="46">
        <v>0.75481469999999995</v>
      </c>
      <c r="O119" s="47">
        <v>0.32457032099999999</v>
      </c>
      <c r="P119" s="37"/>
      <c r="Q119" s="38"/>
      <c r="R119" s="38"/>
      <c r="S119" s="38"/>
      <c r="T119" s="38">
        <v>70</v>
      </c>
      <c r="U119" s="38">
        <v>0.02</v>
      </c>
      <c r="V119" s="46">
        <v>0.55218560000000005</v>
      </c>
      <c r="W119" s="47">
        <v>0.53009817599999998</v>
      </c>
      <c r="X119" s="37"/>
      <c r="Y119" s="38"/>
      <c r="Z119" s="38"/>
      <c r="AA119" s="38"/>
      <c r="AB119" s="38">
        <v>70</v>
      </c>
      <c r="AC119" s="38">
        <v>0.02</v>
      </c>
      <c r="AD119" s="46">
        <f>(F102*E$93/100)+(F107*F$93/100)+(F117*H$93/100)+(F122*I$93/100)+(F127*J$93/100)+(F142*M$93/100)+(F112*G$93/100)</f>
        <v>0.68000083359209385</v>
      </c>
      <c r="AE119" s="47">
        <f>AD119*$Z$115</f>
        <v>0.6936008502639357</v>
      </c>
    </row>
    <row r="120" spans="1:31" x14ac:dyDescent="0.25">
      <c r="A120" s="34">
        <v>-2.5150000000000001</v>
      </c>
      <c r="B120" s="35"/>
      <c r="C120" s="35"/>
      <c r="D120" s="35">
        <v>100</v>
      </c>
      <c r="E120" s="35">
        <v>0.06</v>
      </c>
      <c r="F120" s="36">
        <f>A$119*(E120^A$120)</f>
        <v>0.47316171430900716</v>
      </c>
      <c r="H120" s="40">
        <v>450</v>
      </c>
      <c r="I120" s="31" t="s">
        <v>56</v>
      </c>
      <c r="J120" s="31">
        <v>1.82</v>
      </c>
      <c r="K120" s="31">
        <v>1.69</v>
      </c>
      <c r="L120" s="31">
        <v>140</v>
      </c>
      <c r="M120" s="31">
        <v>8.4000000000000005E-2</v>
      </c>
      <c r="N120" s="41">
        <v>0.2012227</v>
      </c>
      <c r="O120" s="42">
        <v>0.34006636299999998</v>
      </c>
      <c r="P120" s="40">
        <v>482</v>
      </c>
      <c r="Q120" s="31" t="s">
        <v>26</v>
      </c>
      <c r="R120" s="31">
        <v>1.0900000000000001</v>
      </c>
      <c r="S120" s="31">
        <v>1.07</v>
      </c>
      <c r="T120" s="31">
        <v>140</v>
      </c>
      <c r="U120" s="31">
        <v>8.4000000000000005E-2</v>
      </c>
      <c r="V120" s="41">
        <v>0.16617460000000001</v>
      </c>
      <c r="W120" s="42">
        <v>0.177806822</v>
      </c>
    </row>
    <row r="121" spans="1:31" x14ac:dyDescent="0.25">
      <c r="A121" s="34"/>
      <c r="B121" s="35"/>
      <c r="C121" s="35"/>
      <c r="D121" s="35">
        <v>80</v>
      </c>
      <c r="E121" s="35">
        <v>4.8000000000000001E-2</v>
      </c>
      <c r="F121" s="36">
        <f>A$119*(E121^A$120)</f>
        <v>0.82935082178716857</v>
      </c>
      <c r="H121" s="34"/>
      <c r="I121" s="35"/>
      <c r="J121" s="35"/>
      <c r="K121" s="35"/>
      <c r="L121" s="35">
        <v>120</v>
      </c>
      <c r="M121" s="35">
        <v>7.1999999999999995E-2</v>
      </c>
      <c r="N121" s="43">
        <v>0.26064579999999998</v>
      </c>
      <c r="O121" s="44">
        <v>0.44049140199999998</v>
      </c>
      <c r="P121" s="34"/>
      <c r="Q121" s="35"/>
      <c r="R121" s="35"/>
      <c r="S121" s="35"/>
      <c r="T121" s="35">
        <v>120</v>
      </c>
      <c r="U121" s="35">
        <v>7.1999999999999995E-2</v>
      </c>
      <c r="V121" s="43">
        <v>0.18652260000000001</v>
      </c>
      <c r="W121" s="44">
        <v>0.19957918199999999</v>
      </c>
    </row>
    <row r="122" spans="1:31" ht="15.75" thickBot="1" x14ac:dyDescent="0.3">
      <c r="A122" s="45"/>
      <c r="B122" s="38"/>
      <c r="C122" s="38"/>
      <c r="D122" s="38">
        <v>70</v>
      </c>
      <c r="E122" s="38">
        <v>0.02</v>
      </c>
      <c r="F122" s="39">
        <f>A$119*(E122^A$120)</f>
        <v>7.498416371614697</v>
      </c>
      <c r="H122" s="34"/>
      <c r="I122" s="35"/>
      <c r="J122" s="35"/>
      <c r="K122" s="35"/>
      <c r="L122" s="35">
        <v>100</v>
      </c>
      <c r="M122" s="35">
        <v>0.06</v>
      </c>
      <c r="N122" s="43">
        <v>0.36243550000000002</v>
      </c>
      <c r="O122" s="44">
        <v>0.61251599499999998</v>
      </c>
      <c r="P122" s="34"/>
      <c r="Q122" s="35"/>
      <c r="R122" s="35"/>
      <c r="S122" s="35"/>
      <c r="T122" s="35">
        <v>100</v>
      </c>
      <c r="U122" s="35">
        <v>0.06</v>
      </c>
      <c r="V122" s="43">
        <v>0.21539849999999999</v>
      </c>
      <c r="W122" s="44">
        <v>0.230476395</v>
      </c>
    </row>
    <row r="123" spans="1:31" x14ac:dyDescent="0.25">
      <c r="A123" s="30" t="s">
        <v>47</v>
      </c>
      <c r="B123" s="31"/>
      <c r="C123" s="31"/>
      <c r="D123" s="31">
        <v>140</v>
      </c>
      <c r="E123" s="31">
        <v>8.4000000000000005E-2</v>
      </c>
      <c r="F123" s="32">
        <f>A$124*(E123^A$125)</f>
        <v>0.33240010914124274</v>
      </c>
      <c r="H123" s="34"/>
      <c r="I123" s="35"/>
      <c r="J123" s="35"/>
      <c r="K123" s="35"/>
      <c r="L123" s="35">
        <v>80</v>
      </c>
      <c r="M123" s="35">
        <v>4.8000000000000001E-2</v>
      </c>
      <c r="N123" s="43">
        <v>0.56251519999999999</v>
      </c>
      <c r="O123" s="44">
        <v>0.95065068799999997</v>
      </c>
      <c r="P123" s="34"/>
      <c r="Q123" s="35"/>
      <c r="R123" s="35"/>
      <c r="S123" s="35"/>
      <c r="T123" s="35">
        <v>80</v>
      </c>
      <c r="U123" s="35">
        <v>4.8000000000000001E-2</v>
      </c>
      <c r="V123" s="43">
        <v>0.26073790000000002</v>
      </c>
      <c r="W123" s="44">
        <v>0.278989553</v>
      </c>
    </row>
    <row r="124" spans="1:31" ht="15.75" thickBot="1" x14ac:dyDescent="0.3">
      <c r="A124" s="34">
        <v>5.0000000000000001E-4</v>
      </c>
      <c r="B124" s="35"/>
      <c r="C124" s="35"/>
      <c r="D124" s="35">
        <v>120</v>
      </c>
      <c r="E124" s="35">
        <v>7.1999999999999995E-2</v>
      </c>
      <c r="F124" s="36">
        <f>A$124*(E124^A$125)</f>
        <v>0.49811490094007632</v>
      </c>
      <c r="H124" s="37"/>
      <c r="I124" s="38"/>
      <c r="J124" s="38"/>
      <c r="L124" s="38">
        <v>70</v>
      </c>
      <c r="M124" s="38">
        <v>0.02</v>
      </c>
      <c r="N124" s="38">
        <f>(F102*E79/100)+(F107*F79/100)+(F112*G79/100)+(F117*H79/100)+(F122*I79/100)+(F127*J79/100)+(F142*M79/100)</f>
        <v>4.1926011702217023</v>
      </c>
      <c r="O124" s="47">
        <f>N124*C79</f>
        <v>7.6305341298034985</v>
      </c>
      <c r="P124" s="37"/>
      <c r="Q124" s="38"/>
      <c r="R124" s="38"/>
      <c r="S124" s="38"/>
      <c r="T124" s="38">
        <v>70</v>
      </c>
      <c r="U124" s="38">
        <v>0.02</v>
      </c>
      <c r="V124" s="46">
        <v>0.7453128</v>
      </c>
      <c r="W124" s="47">
        <v>0.79748469600000005</v>
      </c>
    </row>
    <row r="125" spans="1:31" x14ac:dyDescent="0.25">
      <c r="A125" s="34">
        <v>-2.6240000000000001</v>
      </c>
      <c r="B125" s="35"/>
      <c r="C125" s="35"/>
      <c r="D125" s="35">
        <v>100</v>
      </c>
      <c r="E125" s="35">
        <v>0.06</v>
      </c>
      <c r="F125" s="36">
        <f>A$124*(E125^A$125)</f>
        <v>0.80371324106634601</v>
      </c>
      <c r="H125" s="40">
        <v>456</v>
      </c>
      <c r="I125" s="31" t="s">
        <v>57</v>
      </c>
      <c r="J125" s="31">
        <v>1.1399999999999999</v>
      </c>
      <c r="K125" s="31">
        <v>1.0900000000000001</v>
      </c>
      <c r="L125" s="31">
        <v>140</v>
      </c>
      <c r="M125" s="31">
        <v>8.4000000000000005E-2</v>
      </c>
      <c r="N125" s="41">
        <v>0.1750168</v>
      </c>
      <c r="O125" s="42">
        <v>0.190768312</v>
      </c>
      <c r="P125" s="40">
        <v>481</v>
      </c>
      <c r="Q125" s="31" t="s">
        <v>25</v>
      </c>
      <c r="R125" s="31">
        <v>1.05</v>
      </c>
      <c r="S125" s="31">
        <v>1.04</v>
      </c>
      <c r="T125" s="31">
        <v>140</v>
      </c>
      <c r="U125" s="31">
        <v>8.4000000000000005E-2</v>
      </c>
      <c r="V125" s="41">
        <v>0.16419639999999999</v>
      </c>
      <c r="W125" s="42">
        <v>0.170764256</v>
      </c>
    </row>
    <row r="126" spans="1:31" x14ac:dyDescent="0.25">
      <c r="A126" s="34"/>
      <c r="B126" s="35"/>
      <c r="C126" s="35"/>
      <c r="D126" s="35">
        <v>80</v>
      </c>
      <c r="E126" s="35">
        <v>4.8000000000000001E-2</v>
      </c>
      <c r="F126" s="36">
        <f>A$124*(E126^A$125)</f>
        <v>1.4434209268950127</v>
      </c>
      <c r="H126" s="34"/>
      <c r="I126" s="35"/>
      <c r="J126" s="35"/>
      <c r="K126" s="35"/>
      <c r="L126" s="35">
        <v>120</v>
      </c>
      <c r="M126" s="35">
        <v>7.1999999999999995E-2</v>
      </c>
      <c r="N126" s="43">
        <v>0.20760999999999999</v>
      </c>
      <c r="O126" s="44">
        <v>0.22629489999999999</v>
      </c>
      <c r="P126" s="34"/>
      <c r="Q126" s="35"/>
      <c r="R126" s="35"/>
      <c r="S126" s="35"/>
      <c r="T126" s="35">
        <v>120</v>
      </c>
      <c r="U126" s="35">
        <v>7.1999999999999995E-2</v>
      </c>
      <c r="V126" s="43">
        <v>0.18074419999999999</v>
      </c>
      <c r="W126" s="44">
        <v>0.18797396799999999</v>
      </c>
    </row>
    <row r="127" spans="1:31" ht="15.75" thickBot="1" x14ac:dyDescent="0.3">
      <c r="A127" s="45"/>
      <c r="B127" s="38"/>
      <c r="C127" s="38"/>
      <c r="D127" s="38">
        <v>70</v>
      </c>
      <c r="E127" s="38">
        <v>0.02</v>
      </c>
      <c r="F127" s="39">
        <f>A$124*(E127^A$125)</f>
        <v>14.357118855717825</v>
      </c>
      <c r="H127" s="34"/>
      <c r="I127" s="35"/>
      <c r="J127" s="35"/>
      <c r="K127" s="35"/>
      <c r="L127" s="35">
        <v>100</v>
      </c>
      <c r="M127" s="35">
        <v>0.06</v>
      </c>
      <c r="N127" s="43">
        <v>0.25943470000000002</v>
      </c>
      <c r="O127" s="44">
        <v>0.28278382299999999</v>
      </c>
      <c r="P127" s="34"/>
      <c r="Q127" s="35"/>
      <c r="R127" s="35"/>
      <c r="S127" s="35"/>
      <c r="T127" s="35">
        <v>100</v>
      </c>
      <c r="U127" s="35">
        <v>0.06</v>
      </c>
      <c r="V127" s="43">
        <v>0.202542</v>
      </c>
      <c r="W127" s="44">
        <v>0.21064368</v>
      </c>
    </row>
    <row r="128" spans="1:31" x14ac:dyDescent="0.25">
      <c r="A128" s="30" t="s">
        <v>48</v>
      </c>
      <c r="B128" s="31"/>
      <c r="C128" s="31"/>
      <c r="D128" s="31">
        <v>140</v>
      </c>
      <c r="E128" s="31">
        <v>8.4000000000000005E-2</v>
      </c>
      <c r="F128" s="36">
        <f>A$129*(E128^A$130)</f>
        <v>0.19180112899262688</v>
      </c>
      <c r="H128" s="34"/>
      <c r="I128" s="35"/>
      <c r="J128" s="35"/>
      <c r="K128" s="35"/>
      <c r="L128" s="35">
        <v>80</v>
      </c>
      <c r="M128" s="35">
        <v>4.8000000000000001E-2</v>
      </c>
      <c r="N128" s="43">
        <v>0.35348750000000001</v>
      </c>
      <c r="O128" s="44">
        <v>0.385301375</v>
      </c>
      <c r="P128" s="34"/>
      <c r="Q128" s="35"/>
      <c r="R128" s="35"/>
      <c r="S128" s="35"/>
      <c r="T128" s="35">
        <v>80</v>
      </c>
      <c r="U128" s="35">
        <v>4.8000000000000001E-2</v>
      </c>
      <c r="V128" s="43">
        <v>0.2329214</v>
      </c>
      <c r="W128" s="44">
        <v>0.24223825600000001</v>
      </c>
    </row>
    <row r="129" spans="1:23" ht="15.75" thickBot="1" x14ac:dyDescent="0.3">
      <c r="A129" s="34">
        <v>5.0000000000000001E-4</v>
      </c>
      <c r="B129" s="35"/>
      <c r="C129" s="35"/>
      <c r="D129" s="35">
        <v>120</v>
      </c>
      <c r="E129" s="35">
        <v>7.1999999999999995E-2</v>
      </c>
      <c r="F129" s="36">
        <f>A$129*(E129^A$130)</f>
        <v>0.27775209789779187</v>
      </c>
      <c r="H129" s="37"/>
      <c r="I129" s="38"/>
      <c r="J129" s="38"/>
      <c r="K129" s="38"/>
      <c r="L129" s="38">
        <v>70</v>
      </c>
      <c r="M129" s="38">
        <v>0.02</v>
      </c>
      <c r="N129" s="46">
        <v>1.7913999</v>
      </c>
      <c r="O129" s="47">
        <v>1.9526258910000001</v>
      </c>
      <c r="P129" s="37"/>
      <c r="Q129" s="38"/>
      <c r="R129" s="38"/>
      <c r="S129" s="38"/>
      <c r="T129" s="38">
        <v>70</v>
      </c>
      <c r="U129" s="38">
        <v>0.02</v>
      </c>
      <c r="V129" s="46">
        <v>0.41676839999999998</v>
      </c>
      <c r="W129" s="47">
        <v>0.433439136</v>
      </c>
    </row>
    <row r="130" spans="1:23" x14ac:dyDescent="0.25">
      <c r="A130" s="34">
        <v>-2.4020000000000001</v>
      </c>
      <c r="B130" s="35"/>
      <c r="C130" s="35"/>
      <c r="D130" s="35">
        <v>100</v>
      </c>
      <c r="E130" s="35">
        <v>0.06</v>
      </c>
      <c r="F130" s="36">
        <f>A$129*(E130^A$130)</f>
        <v>0.43037863213887545</v>
      </c>
      <c r="H130" s="40">
        <v>480</v>
      </c>
      <c r="I130" s="31" t="s">
        <v>58</v>
      </c>
      <c r="J130" s="31">
        <v>1.56</v>
      </c>
      <c r="K130" s="31">
        <v>1.45</v>
      </c>
      <c r="L130" s="31">
        <v>140</v>
      </c>
      <c r="M130" s="31">
        <v>8.4000000000000005E-2</v>
      </c>
      <c r="N130" s="41">
        <v>0.19090389999999999</v>
      </c>
      <c r="O130" s="42">
        <v>0.27681065500000002</v>
      </c>
      <c r="P130" s="40">
        <v>1481</v>
      </c>
      <c r="Q130" s="31" t="s">
        <v>61</v>
      </c>
      <c r="R130" s="31">
        <v>1.05</v>
      </c>
      <c r="S130" s="31">
        <v>1.03</v>
      </c>
      <c r="T130" s="31">
        <v>140</v>
      </c>
      <c r="U130" s="31">
        <v>8.4000000000000005E-2</v>
      </c>
      <c r="V130" s="41">
        <v>0.1650364</v>
      </c>
      <c r="W130" s="42">
        <v>0.16998749199999999</v>
      </c>
    </row>
    <row r="131" spans="1:23" x14ac:dyDescent="0.25">
      <c r="A131" s="34"/>
      <c r="B131" s="35"/>
      <c r="C131" s="35"/>
      <c r="D131" s="35">
        <v>80</v>
      </c>
      <c r="E131" s="35">
        <v>4.8000000000000001E-2</v>
      </c>
      <c r="F131" s="36">
        <f>A$129*(E131^A$130)</f>
        <v>0.73557769593412925</v>
      </c>
      <c r="H131" s="34"/>
      <c r="I131" s="35"/>
      <c r="J131" s="35"/>
      <c r="K131" s="35"/>
      <c r="L131" s="35">
        <v>120</v>
      </c>
      <c r="M131" s="35">
        <v>7.1999999999999995E-2</v>
      </c>
      <c r="N131" s="43">
        <v>0.23937739999999999</v>
      </c>
      <c r="O131" s="44">
        <v>0.34709722999999998</v>
      </c>
      <c r="P131" s="34"/>
      <c r="Q131" s="35"/>
      <c r="R131" s="35"/>
      <c r="S131" s="35"/>
      <c r="T131" s="35">
        <v>120</v>
      </c>
      <c r="U131" s="35">
        <v>7.1999999999999995E-2</v>
      </c>
      <c r="V131" s="43">
        <v>0.18583930000000001</v>
      </c>
      <c r="W131" s="44">
        <v>0.191414479</v>
      </c>
    </row>
    <row r="132" spans="1:23" ht="15.75" thickBot="1" x14ac:dyDescent="0.3">
      <c r="A132" s="48"/>
      <c r="B132" s="35"/>
      <c r="C132" s="35"/>
      <c r="D132" s="35">
        <v>70</v>
      </c>
      <c r="E132" s="35">
        <v>0.02</v>
      </c>
      <c r="F132" s="36">
        <f>A$129*(E132^A$130)</f>
        <v>6.0241524633377042</v>
      </c>
      <c r="H132" s="34"/>
      <c r="I132" s="35"/>
      <c r="J132" s="35"/>
      <c r="K132" s="35"/>
      <c r="L132" s="35">
        <v>100</v>
      </c>
      <c r="M132" s="35">
        <v>0.06</v>
      </c>
      <c r="N132" s="43">
        <v>0.32068560000000002</v>
      </c>
      <c r="O132" s="44">
        <v>0.46499412000000001</v>
      </c>
      <c r="P132" s="34"/>
      <c r="Q132" s="35"/>
      <c r="R132" s="35"/>
      <c r="S132" s="35"/>
      <c r="T132" s="35">
        <v>100</v>
      </c>
      <c r="U132" s="35">
        <v>0.06</v>
      </c>
      <c r="V132" s="43">
        <v>0.2154721</v>
      </c>
      <c r="W132" s="44">
        <v>0.22193626299999999</v>
      </c>
    </row>
    <row r="133" spans="1:23" x14ac:dyDescent="0.25">
      <c r="A133" s="30" t="s">
        <v>49</v>
      </c>
      <c r="B133" s="31"/>
      <c r="C133" s="31"/>
      <c r="D133" s="31">
        <v>140</v>
      </c>
      <c r="E133" s="31">
        <v>8.4000000000000005E-2</v>
      </c>
      <c r="F133" s="32">
        <f>A$134*(E133^A$135)</f>
        <v>0.1353633938270753</v>
      </c>
      <c r="H133" s="34"/>
      <c r="I133" s="35"/>
      <c r="J133" s="35"/>
      <c r="K133" s="35"/>
      <c r="L133" s="35">
        <v>80</v>
      </c>
      <c r="M133" s="35">
        <v>4.8000000000000001E-2</v>
      </c>
      <c r="N133" s="43">
        <v>0.47723900000000002</v>
      </c>
      <c r="O133" s="44">
        <v>0.69199655000000004</v>
      </c>
      <c r="P133" s="34"/>
      <c r="Q133" s="35"/>
      <c r="R133" s="35"/>
      <c r="S133" s="35"/>
      <c r="T133" s="35">
        <v>80</v>
      </c>
      <c r="U133" s="35">
        <v>4.8000000000000001E-2</v>
      </c>
      <c r="V133" s="43">
        <v>0.26222970000000001</v>
      </c>
      <c r="W133" s="44">
        <v>0.270096591</v>
      </c>
    </row>
    <row r="134" spans="1:23" ht="15.75" thickBot="1" x14ac:dyDescent="0.3">
      <c r="A134" s="34">
        <v>8.9999999999999998E-4</v>
      </c>
      <c r="B134" s="35"/>
      <c r="C134" s="35"/>
      <c r="D134" s="35">
        <v>120</v>
      </c>
      <c r="E134" s="35">
        <v>7.1999999999999995E-2</v>
      </c>
      <c r="F134" s="36">
        <f>A$134*(E134^A$135)</f>
        <v>0.18492751622494527</v>
      </c>
      <c r="H134" s="37"/>
      <c r="I134" s="38"/>
      <c r="J134" s="38"/>
      <c r="K134" s="38"/>
      <c r="L134" s="38">
        <v>70</v>
      </c>
      <c r="M134" s="38">
        <v>0.02</v>
      </c>
      <c r="N134" s="38">
        <f>(F102*E81/100)+(F107*F81/100)+(F112*G81/100)+(F117*H81/100)+(F122*I81/100)+(F127*J81/100)+(F142*M81/100)</f>
        <v>3.2188247436446287</v>
      </c>
      <c r="O134" s="47">
        <f>N134*C81</f>
        <v>5.0213666000856207</v>
      </c>
      <c r="P134" s="37"/>
      <c r="Q134" s="38"/>
      <c r="R134" s="38"/>
      <c r="S134" s="38"/>
      <c r="T134" s="38">
        <v>70</v>
      </c>
      <c r="U134" s="38">
        <v>0.02</v>
      </c>
      <c r="V134" s="46">
        <v>0.75654140000000003</v>
      </c>
      <c r="W134" s="47">
        <v>0.77923764200000001</v>
      </c>
    </row>
    <row r="135" spans="1:23" x14ac:dyDescent="0.25">
      <c r="A135" s="34">
        <v>-2.024</v>
      </c>
      <c r="B135" s="35"/>
      <c r="C135" s="35"/>
      <c r="D135" s="35">
        <v>100</v>
      </c>
      <c r="E135" s="35">
        <v>0.06</v>
      </c>
      <c r="F135" s="36">
        <f>A$134*(E135^A$135)</f>
        <v>0.26746341083745012</v>
      </c>
      <c r="H135" s="40">
        <v>484</v>
      </c>
      <c r="I135" s="31" t="s">
        <v>59</v>
      </c>
      <c r="J135" s="31">
        <v>1.33</v>
      </c>
      <c r="K135" s="31">
        <v>1.26</v>
      </c>
      <c r="L135" s="31">
        <v>140</v>
      </c>
      <c r="M135" s="31">
        <v>8.4000000000000005E-2</v>
      </c>
      <c r="N135" s="41">
        <v>0.17905940000000001</v>
      </c>
      <c r="O135" s="42">
        <v>0.22561484400000001</v>
      </c>
      <c r="P135" s="40">
        <v>451</v>
      </c>
      <c r="Q135" s="31" t="s">
        <v>21</v>
      </c>
      <c r="R135" s="31">
        <v>1.02</v>
      </c>
      <c r="S135" s="31">
        <v>0.99</v>
      </c>
      <c r="T135" s="31">
        <v>140</v>
      </c>
      <c r="U135" s="31">
        <v>8.4000000000000005E-2</v>
      </c>
      <c r="V135" s="41">
        <v>0.1661754</v>
      </c>
      <c r="W135" s="42">
        <v>0.16451364600000001</v>
      </c>
    </row>
    <row r="136" spans="1:23" x14ac:dyDescent="0.25">
      <c r="A136" s="34"/>
      <c r="B136" s="35"/>
      <c r="C136" s="35"/>
      <c r="D136" s="35">
        <v>80</v>
      </c>
      <c r="E136" s="35">
        <v>4.8000000000000001E-2</v>
      </c>
      <c r="F136" s="36">
        <f>A$134*(E136^A$135)</f>
        <v>0.42015568573944645</v>
      </c>
      <c r="H136" s="34"/>
      <c r="I136" s="35"/>
      <c r="J136" s="35"/>
      <c r="K136" s="35"/>
      <c r="L136" s="35">
        <v>120</v>
      </c>
      <c r="M136" s="35">
        <v>7.1999999999999995E-2</v>
      </c>
      <c r="N136" s="43">
        <v>0.21499070000000001</v>
      </c>
      <c r="O136" s="44">
        <v>0.27088828199999998</v>
      </c>
      <c r="P136" s="34"/>
      <c r="Q136" s="35"/>
      <c r="R136" s="35"/>
      <c r="S136" s="35"/>
      <c r="T136" s="35">
        <v>120</v>
      </c>
      <c r="U136" s="35">
        <v>7.1999999999999995E-2</v>
      </c>
      <c r="V136" s="43">
        <v>0.18651129999999999</v>
      </c>
      <c r="W136" s="44">
        <v>0.18464618699999999</v>
      </c>
    </row>
    <row r="137" spans="1:23" ht="15.75" thickBot="1" x14ac:dyDescent="0.3">
      <c r="A137" s="45"/>
      <c r="B137" s="38"/>
      <c r="C137" s="38"/>
      <c r="D137" s="38">
        <v>70</v>
      </c>
      <c r="E137" s="38">
        <v>0.02</v>
      </c>
      <c r="F137" s="39">
        <f>A$134*(E137^A$135)</f>
        <v>2.4714839713407146</v>
      </c>
      <c r="H137" s="34"/>
      <c r="I137" s="35"/>
      <c r="J137" s="35"/>
      <c r="K137" s="35"/>
      <c r="L137" s="35">
        <v>100</v>
      </c>
      <c r="M137" s="35">
        <v>0.06</v>
      </c>
      <c r="N137" s="43">
        <v>0.27283960000000002</v>
      </c>
      <c r="O137" s="44">
        <v>0.34377789600000003</v>
      </c>
      <c r="P137" s="34"/>
      <c r="Q137" s="35"/>
      <c r="R137" s="35"/>
      <c r="S137" s="35"/>
      <c r="T137" s="35">
        <v>100</v>
      </c>
      <c r="U137" s="35">
        <v>0.06</v>
      </c>
      <c r="V137" s="43">
        <v>0.2153709</v>
      </c>
      <c r="W137" s="44">
        <v>0.213217191</v>
      </c>
    </row>
    <row r="138" spans="1:23" x14ac:dyDescent="0.25">
      <c r="A138" s="30" t="s">
        <v>50</v>
      </c>
      <c r="B138" s="31"/>
      <c r="C138" s="31"/>
      <c r="D138" s="31">
        <v>140</v>
      </c>
      <c r="E138" s="31">
        <v>8.4000000000000005E-2</v>
      </c>
      <c r="F138" s="32">
        <f>A$139*(E138^A$140)</f>
        <v>0.14102360398528682</v>
      </c>
      <c r="H138" s="34"/>
      <c r="I138" s="35"/>
      <c r="J138" s="35"/>
      <c r="K138" s="35"/>
      <c r="L138" s="35">
        <v>80</v>
      </c>
      <c r="M138" s="35">
        <v>4.8000000000000001E-2</v>
      </c>
      <c r="N138" s="43">
        <v>0.37954120000000002</v>
      </c>
      <c r="O138" s="44">
        <v>0.47822191200000003</v>
      </c>
      <c r="P138" s="34"/>
      <c r="Q138" s="35"/>
      <c r="R138" s="35"/>
      <c r="S138" s="35"/>
      <c r="T138" s="35">
        <v>80</v>
      </c>
      <c r="U138" s="35">
        <v>4.8000000000000001E-2</v>
      </c>
      <c r="V138" s="43">
        <v>0.26068029999999998</v>
      </c>
      <c r="W138" s="44">
        <v>0.25807349699999999</v>
      </c>
    </row>
    <row r="139" spans="1:23" ht="15.75" thickBot="1" x14ac:dyDescent="0.3">
      <c r="A139" s="34">
        <v>6.9999999999999999E-4</v>
      </c>
      <c r="B139" s="35"/>
      <c r="C139" s="35"/>
      <c r="D139" s="35">
        <v>120</v>
      </c>
      <c r="E139" s="35">
        <v>7.1999999999999995E-2</v>
      </c>
      <c r="F139" s="36">
        <f>A$139*(E139^A$140)</f>
        <v>0.19619676068181791</v>
      </c>
      <c r="H139" s="37"/>
      <c r="I139" s="38"/>
      <c r="J139" s="38"/>
      <c r="K139" s="38"/>
      <c r="L139" s="38">
        <v>70</v>
      </c>
      <c r="M139" s="38">
        <v>0.02</v>
      </c>
      <c r="N139" s="46">
        <v>2.1038462</v>
      </c>
      <c r="O139" s="47">
        <v>2.6508462119999998</v>
      </c>
      <c r="P139" s="37"/>
      <c r="Q139" s="38"/>
      <c r="R139" s="38"/>
      <c r="S139" s="38"/>
      <c r="T139" s="38">
        <v>70</v>
      </c>
      <c r="U139" s="38">
        <v>0.02</v>
      </c>
      <c r="V139" s="46">
        <v>0.74500319999999998</v>
      </c>
      <c r="W139" s="47">
        <v>0.73755316800000004</v>
      </c>
    </row>
    <row r="140" spans="1:23" x14ac:dyDescent="0.25">
      <c r="A140" s="34">
        <v>-2.1419999999999999</v>
      </c>
      <c r="B140" s="35"/>
      <c r="C140" s="35"/>
      <c r="D140" s="35">
        <v>100</v>
      </c>
      <c r="E140" s="35">
        <v>0.06</v>
      </c>
      <c r="F140" s="36">
        <f>A$139*(E140^A$140)</f>
        <v>0.28993327530777407</v>
      </c>
      <c r="H140" s="40">
        <v>487</v>
      </c>
      <c r="I140" s="31" t="s">
        <v>60</v>
      </c>
      <c r="J140" s="31">
        <v>1.1499999999999999</v>
      </c>
      <c r="K140" s="31">
        <v>1.1000000000000001</v>
      </c>
      <c r="L140" s="31">
        <v>140</v>
      </c>
      <c r="M140" s="31">
        <v>8.4000000000000005E-2</v>
      </c>
      <c r="N140" s="41">
        <v>0.17500589999999999</v>
      </c>
      <c r="O140" s="42">
        <v>0.19250649</v>
      </c>
      <c r="P140" s="40" t="s">
        <v>62</v>
      </c>
      <c r="Q140" s="31" t="s">
        <v>63</v>
      </c>
      <c r="R140" s="31">
        <v>0.91</v>
      </c>
      <c r="S140" s="31">
        <v>0.94</v>
      </c>
      <c r="T140" s="31">
        <v>140</v>
      </c>
      <c r="U140" s="31">
        <v>8.4000000000000005E-2</v>
      </c>
      <c r="V140" s="41">
        <f>F98*E$91/100+F108*G$91/100</f>
        <v>0.17140938283554985</v>
      </c>
      <c r="W140" s="42">
        <f>V140*$R$140</f>
        <v>0.15598253838035037</v>
      </c>
    </row>
    <row r="141" spans="1:23" x14ac:dyDescent="0.25">
      <c r="A141" s="34"/>
      <c r="B141" s="35"/>
      <c r="C141" s="35"/>
      <c r="D141" s="35">
        <v>80</v>
      </c>
      <c r="E141" s="35">
        <v>4.8000000000000001E-2</v>
      </c>
      <c r="F141" s="36">
        <f>A$139*(E141^A$140)</f>
        <v>0.46760517574265914</v>
      </c>
      <c r="H141" s="34"/>
      <c r="I141" s="35"/>
      <c r="J141" s="35"/>
      <c r="K141" s="35"/>
      <c r="L141" s="35">
        <v>120</v>
      </c>
      <c r="M141" s="35">
        <v>7.1999999999999995E-2</v>
      </c>
      <c r="N141" s="43">
        <v>0.20763709999999999</v>
      </c>
      <c r="O141" s="44">
        <v>0.22840081000000001</v>
      </c>
      <c r="P141" s="34"/>
      <c r="Q141" s="35"/>
      <c r="R141" s="35"/>
      <c r="S141" s="35"/>
      <c r="T141" s="35">
        <v>120</v>
      </c>
      <c r="U141" s="35">
        <v>7.1999999999999995E-2</v>
      </c>
      <c r="V141" s="43">
        <f>F99*E$91/100+F109*G$91/100</f>
        <v>0.18583389771953238</v>
      </c>
      <c r="W141" s="44">
        <f>V141*$R$140</f>
        <v>0.16910884692477446</v>
      </c>
    </row>
    <row r="142" spans="1:23" ht="15.75" thickBot="1" x14ac:dyDescent="0.3">
      <c r="A142" s="45"/>
      <c r="B142" s="38"/>
      <c r="C142" s="38"/>
      <c r="D142" s="38">
        <v>70</v>
      </c>
      <c r="E142" s="38">
        <v>0.02</v>
      </c>
      <c r="F142" s="39">
        <f>A$139*(E142^A$140)</f>
        <v>3.0499434659889983</v>
      </c>
      <c r="H142" s="34"/>
      <c r="I142" s="35"/>
      <c r="J142" s="35"/>
      <c r="K142" s="35"/>
      <c r="L142" s="35">
        <v>100</v>
      </c>
      <c r="M142" s="35">
        <v>0.06</v>
      </c>
      <c r="N142" s="43">
        <v>0.25952619999999998</v>
      </c>
      <c r="O142" s="44">
        <v>0.28547882000000002</v>
      </c>
      <c r="P142" s="34"/>
      <c r="Q142" s="35"/>
      <c r="R142" s="35"/>
      <c r="S142" s="35"/>
      <c r="T142" s="35">
        <v>100</v>
      </c>
      <c r="U142" s="35">
        <v>0.06</v>
      </c>
      <c r="V142" s="43">
        <f>F100*E$91/100+F110*G$91/100</f>
        <v>0.20433761663095557</v>
      </c>
      <c r="W142" s="44">
        <f>V142*$R$140</f>
        <v>0.18594723113416958</v>
      </c>
    </row>
    <row r="143" spans="1:23" x14ac:dyDescent="0.25">
      <c r="A143" s="30" t="s">
        <v>51</v>
      </c>
      <c r="B143" s="31"/>
      <c r="C143" s="31"/>
      <c r="D143" s="31">
        <v>140</v>
      </c>
      <c r="E143" s="31">
        <v>8.4000000000000005E-2</v>
      </c>
      <c r="F143" s="36">
        <f>A$144*(E143^A$145)</f>
        <v>0.16007501349088288</v>
      </c>
      <c r="H143" s="34"/>
      <c r="I143" s="35"/>
      <c r="J143" s="35"/>
      <c r="K143" s="35"/>
      <c r="L143" s="35">
        <v>80</v>
      </c>
      <c r="M143" s="35">
        <v>4.8000000000000001E-2</v>
      </c>
      <c r="N143" s="43">
        <v>0.35370740000000001</v>
      </c>
      <c r="O143" s="44">
        <v>0.38907814000000002</v>
      </c>
      <c r="P143" s="34"/>
      <c r="Q143" s="35"/>
      <c r="R143" s="35"/>
      <c r="S143" s="35"/>
      <c r="T143" s="35">
        <v>80</v>
      </c>
      <c r="U143" s="35">
        <v>4.8000000000000001E-2</v>
      </c>
      <c r="V143" s="43">
        <f>F101*E$91/100+F111*G$91/100</f>
        <v>0.22945252852857245</v>
      </c>
      <c r="W143" s="44">
        <f>V143*$R$140</f>
        <v>0.20880180096100093</v>
      </c>
    </row>
    <row r="144" spans="1:23" ht="15.75" thickBot="1" x14ac:dyDescent="0.3">
      <c r="A144" s="34">
        <v>5.0000000000000001E-4</v>
      </c>
      <c r="B144" s="35"/>
      <c r="C144" s="35"/>
      <c r="D144" s="35">
        <v>120</v>
      </c>
      <c r="E144" s="35">
        <v>7.1999999999999995E-2</v>
      </c>
      <c r="F144" s="36">
        <f>A$144*(E144^A$145)</f>
        <v>0.2292147811629808</v>
      </c>
      <c r="H144" s="37"/>
      <c r="I144" s="38"/>
      <c r="J144" s="38"/>
      <c r="K144" s="38"/>
      <c r="L144" s="38">
        <v>70</v>
      </c>
      <c r="M144" s="38">
        <v>0.02</v>
      </c>
      <c r="N144" s="46">
        <v>1.7937273</v>
      </c>
      <c r="O144" s="47">
        <v>1.9731000299999999</v>
      </c>
      <c r="P144" s="37"/>
      <c r="Q144" s="38"/>
      <c r="R144" s="38"/>
      <c r="S144" s="38"/>
      <c r="T144" s="38">
        <v>70</v>
      </c>
      <c r="U144" s="38">
        <v>0.02</v>
      </c>
      <c r="V144" s="46">
        <f>F102*E$91/100+F112*G$91/100</f>
        <v>0.36440451211624714</v>
      </c>
      <c r="W144" s="47">
        <f>V144*$R$140</f>
        <v>0.33160810602578489</v>
      </c>
    </row>
    <row r="145" spans="1:21" x14ac:dyDescent="0.25">
      <c r="A145" s="34">
        <v>-2.3290000000000002</v>
      </c>
      <c r="B145" s="35"/>
      <c r="C145" s="35"/>
      <c r="D145" s="35">
        <v>100</v>
      </c>
      <c r="E145" s="35">
        <v>0.06</v>
      </c>
      <c r="F145" s="36">
        <f>A$144*(E145^A$145)</f>
        <v>0.35047394910915053</v>
      </c>
    </row>
    <row r="146" spans="1:21" x14ac:dyDescent="0.25">
      <c r="A146" s="34"/>
      <c r="B146" s="35"/>
      <c r="C146" s="35"/>
      <c r="D146" s="35">
        <v>80</v>
      </c>
      <c r="E146" s="35">
        <v>4.8000000000000001E-2</v>
      </c>
      <c r="F146" s="36">
        <f>A$144*(E146^A$145)</f>
        <v>0.58933083176921441</v>
      </c>
    </row>
    <row r="147" spans="1:21" ht="15.75" thickBot="1" x14ac:dyDescent="0.3">
      <c r="A147" s="48"/>
      <c r="B147" s="35"/>
      <c r="C147" s="35"/>
      <c r="D147" s="35">
        <v>70</v>
      </c>
      <c r="E147" s="35">
        <v>0.02</v>
      </c>
      <c r="F147" s="36">
        <f>A$144*(E147^A$145)</f>
        <v>4.527632247148718</v>
      </c>
    </row>
    <row r="148" spans="1:21" x14ac:dyDescent="0.25">
      <c r="A148" s="30" t="s">
        <v>52</v>
      </c>
      <c r="B148" s="31"/>
      <c r="C148" s="31"/>
      <c r="D148" s="31">
        <v>140</v>
      </c>
      <c r="E148" s="31">
        <v>8.4000000000000005E-2</v>
      </c>
      <c r="F148" s="32">
        <f>A$149*(E148^A$150)</f>
        <v>0.11887136449183905</v>
      </c>
    </row>
    <row r="149" spans="1:21" x14ac:dyDescent="0.25">
      <c r="A149" s="34">
        <v>1.43E-2</v>
      </c>
      <c r="B149" s="35"/>
      <c r="C149" s="35"/>
      <c r="D149" s="35">
        <v>120</v>
      </c>
      <c r="E149" s="35">
        <v>7.1999999999999995E-2</v>
      </c>
      <c r="F149" s="36">
        <f>A$149*(E149^A$150)</f>
        <v>0.13561781813331292</v>
      </c>
    </row>
    <row r="150" spans="1:21" x14ac:dyDescent="0.25">
      <c r="A150" s="34">
        <v>-0.85499999999999998</v>
      </c>
      <c r="B150" s="35"/>
      <c r="C150" s="35"/>
      <c r="D150" s="35">
        <v>100</v>
      </c>
      <c r="E150" s="35">
        <v>0.06</v>
      </c>
      <c r="F150" s="36">
        <f>A$149*(E150^A$150)</f>
        <v>0.15849542049052837</v>
      </c>
    </row>
    <row r="151" spans="1:21" x14ac:dyDescent="0.25">
      <c r="A151" s="34"/>
      <c r="B151" s="35"/>
      <c r="C151" s="35"/>
      <c r="D151" s="35">
        <v>80</v>
      </c>
      <c r="E151" s="35">
        <v>4.8000000000000001E-2</v>
      </c>
      <c r="F151" s="36">
        <f>A$149*(E151^A$150)</f>
        <v>0.19181156090544443</v>
      </c>
    </row>
    <row r="152" spans="1:21" ht="15.75" thickBot="1" x14ac:dyDescent="0.3">
      <c r="A152" s="45"/>
      <c r="B152" s="38"/>
      <c r="C152" s="38"/>
      <c r="D152" s="38">
        <v>70</v>
      </c>
      <c r="E152" s="38">
        <v>0.02</v>
      </c>
      <c r="F152" s="39">
        <f>A$149*(E152^A$150)</f>
        <v>0.40546688552620896</v>
      </c>
    </row>
    <row r="155" spans="1:21" x14ac:dyDescent="0.25">
      <c r="A155" s="25" t="s">
        <v>78</v>
      </c>
      <c r="F155" s="72" t="s">
        <v>15</v>
      </c>
      <c r="G155" s="72"/>
      <c r="H155" s="72"/>
      <c r="I155" s="49"/>
      <c r="J155" s="72" t="s">
        <v>23</v>
      </c>
      <c r="K155" s="72"/>
      <c r="L155" s="72"/>
      <c r="M155" s="49"/>
      <c r="N155" s="72" t="s">
        <v>18</v>
      </c>
      <c r="O155" s="72"/>
      <c r="P155" s="72"/>
      <c r="Q155" s="49"/>
      <c r="R155" s="72" t="s">
        <v>79</v>
      </c>
      <c r="S155" s="72"/>
      <c r="T155" s="72"/>
    </row>
    <row r="156" spans="1:21" ht="45" x14ac:dyDescent="0.25">
      <c r="A156" s="50" t="s">
        <v>0</v>
      </c>
      <c r="B156" s="50" t="s">
        <v>80</v>
      </c>
      <c r="C156" s="50" t="s">
        <v>81</v>
      </c>
      <c r="D156" s="50" t="s">
        <v>82</v>
      </c>
      <c r="F156" s="51" t="s">
        <v>66</v>
      </c>
      <c r="G156" s="52" t="s">
        <v>83</v>
      </c>
      <c r="H156" s="53" t="s">
        <v>84</v>
      </c>
      <c r="I156" s="54" t="s">
        <v>85</v>
      </c>
      <c r="J156" s="51" t="s">
        <v>66</v>
      </c>
      <c r="K156" s="52" t="s">
        <v>83</v>
      </c>
      <c r="L156" s="53" t="s">
        <v>84</v>
      </c>
      <c r="M156" s="54" t="s">
        <v>85</v>
      </c>
      <c r="N156" s="51" t="s">
        <v>66</v>
      </c>
      <c r="O156" s="52" t="s">
        <v>83</v>
      </c>
      <c r="P156" s="53" t="s">
        <v>84</v>
      </c>
      <c r="Q156" s="54" t="s">
        <v>85</v>
      </c>
      <c r="R156" s="51" t="s">
        <v>66</v>
      </c>
      <c r="S156" s="52" t="s">
        <v>83</v>
      </c>
      <c r="T156" s="53" t="s">
        <v>84</v>
      </c>
      <c r="U156" s="54" t="s">
        <v>85</v>
      </c>
    </row>
    <row r="157" spans="1:21" x14ac:dyDescent="0.25">
      <c r="A157" s="50" t="s">
        <v>15</v>
      </c>
      <c r="B157" s="55">
        <v>1.2999999999999999E-3</v>
      </c>
      <c r="C157" s="55">
        <v>1.1999999999999999E-3</v>
      </c>
      <c r="D157" s="56">
        <v>8</v>
      </c>
      <c r="F157" s="35">
        <v>140</v>
      </c>
      <c r="G157" s="35">
        <v>8.4000000000000005E-2</v>
      </c>
      <c r="H157" s="57">
        <v>0.16300000000000001</v>
      </c>
      <c r="I157" s="58">
        <f>H157*B$157</f>
        <v>2.119E-4</v>
      </c>
    </row>
    <row r="158" spans="1:21" x14ac:dyDescent="0.25">
      <c r="A158" s="50" t="s">
        <v>2</v>
      </c>
      <c r="B158" s="59">
        <v>0.19</v>
      </c>
      <c r="C158" s="56">
        <v>0.29699999999999999</v>
      </c>
      <c r="D158" s="56">
        <v>6.6420000000000003</v>
      </c>
      <c r="F158" s="35">
        <v>120</v>
      </c>
      <c r="G158" s="35">
        <v>7.1999999999999995E-2</v>
      </c>
      <c r="H158" s="57">
        <v>0.17199999999999999</v>
      </c>
      <c r="I158" s="58">
        <f>H158*B$157</f>
        <v>2.2359999999999996E-4</v>
      </c>
    </row>
    <row r="159" spans="1:21" x14ac:dyDescent="0.25">
      <c r="A159" s="50" t="s">
        <v>20</v>
      </c>
      <c r="B159" s="59">
        <v>0.83</v>
      </c>
      <c r="C159" s="56">
        <v>0.85299999999999998</v>
      </c>
      <c r="D159" s="56">
        <v>5.444</v>
      </c>
      <c r="F159" s="35">
        <v>100</v>
      </c>
      <c r="G159" s="35">
        <v>0.06</v>
      </c>
      <c r="H159" s="57">
        <v>0.187</v>
      </c>
      <c r="I159" s="58">
        <f>H159*B$157</f>
        <v>2.431E-4</v>
      </c>
    </row>
    <row r="160" spans="1:21" x14ac:dyDescent="0.25">
      <c r="A160" s="50" t="s">
        <v>23</v>
      </c>
      <c r="B160" s="59">
        <v>0.92</v>
      </c>
      <c r="C160" s="56">
        <v>0.94499999999999995</v>
      </c>
      <c r="D160" s="56">
        <v>5.444</v>
      </c>
      <c r="F160" s="35">
        <v>80</v>
      </c>
      <c r="G160" s="35">
        <v>4.8000000000000001E-2</v>
      </c>
      <c r="H160" s="57">
        <v>0.21199999999999999</v>
      </c>
      <c r="I160" s="58">
        <f>H160*B$157</f>
        <v>2.7559999999999998E-4</v>
      </c>
    </row>
    <row r="161" spans="1:9" x14ac:dyDescent="0.25">
      <c r="A161" s="50" t="s">
        <v>86</v>
      </c>
      <c r="B161" s="59">
        <v>1</v>
      </c>
      <c r="C161" s="56">
        <v>1</v>
      </c>
      <c r="D161" s="56">
        <v>7.4169999999999998</v>
      </c>
      <c r="F161" s="35">
        <v>70</v>
      </c>
      <c r="G161" s="35">
        <v>0.02</v>
      </c>
      <c r="H161" s="57">
        <v>0.75</v>
      </c>
      <c r="I161" s="58">
        <f>H161*B$157</f>
        <v>9.7499999999999996E-4</v>
      </c>
    </row>
    <row r="162" spans="1:9" x14ac:dyDescent="0.25">
      <c r="A162" s="50" t="s">
        <v>87</v>
      </c>
      <c r="B162" s="59">
        <v>1.03</v>
      </c>
      <c r="C162" s="56">
        <v>0.998</v>
      </c>
      <c r="D162" s="56">
        <v>5.6950000000000003</v>
      </c>
      <c r="F162" s="72" t="s">
        <v>2</v>
      </c>
      <c r="G162" s="72"/>
      <c r="H162" s="72"/>
      <c r="I162" s="60"/>
    </row>
    <row r="163" spans="1:9" x14ac:dyDescent="0.25">
      <c r="A163" s="50" t="s">
        <v>18</v>
      </c>
      <c r="B163" s="59">
        <v>1.18</v>
      </c>
      <c r="C163" s="56">
        <v>1.147</v>
      </c>
      <c r="D163" s="56">
        <v>6.4669999999999996</v>
      </c>
      <c r="F163" s="35">
        <v>140</v>
      </c>
      <c r="G163" s="35">
        <v>8.4000000000000005E-2</v>
      </c>
      <c r="H163" s="57">
        <v>0.16800000000000001</v>
      </c>
      <c r="I163" s="58">
        <f>H163*B$158</f>
        <v>3.1920000000000004E-2</v>
      </c>
    </row>
    <row r="164" spans="1:9" x14ac:dyDescent="0.25">
      <c r="A164" s="50" t="s">
        <v>88</v>
      </c>
      <c r="B164" s="59">
        <v>1.1399999999999999</v>
      </c>
      <c r="C164" s="56">
        <v>1.0840000000000001</v>
      </c>
      <c r="D164" s="56">
        <v>9.0890000000000004</v>
      </c>
      <c r="F164" s="35">
        <v>120</v>
      </c>
      <c r="G164" s="35">
        <v>7.1999999999999995E-2</v>
      </c>
      <c r="H164" s="57">
        <v>0.17599999999999999</v>
      </c>
      <c r="I164" s="58">
        <f>H164*B$158</f>
        <v>3.3439999999999998E-2</v>
      </c>
    </row>
    <row r="165" spans="1:9" x14ac:dyDescent="0.25">
      <c r="A165" s="50" t="s">
        <v>29</v>
      </c>
      <c r="B165" s="59">
        <v>1.42</v>
      </c>
      <c r="C165" s="56">
        <v>1.363</v>
      </c>
      <c r="D165" s="56">
        <v>6.95</v>
      </c>
      <c r="F165" s="35">
        <v>100</v>
      </c>
      <c r="G165" s="35">
        <v>0.06</v>
      </c>
      <c r="H165" s="57">
        <v>0.187</v>
      </c>
      <c r="I165" s="58">
        <f>H165*B$158</f>
        <v>3.5529999999999999E-2</v>
      </c>
    </row>
    <row r="166" spans="1:9" x14ac:dyDescent="0.25">
      <c r="A166" s="50" t="s">
        <v>89</v>
      </c>
      <c r="B166" s="59">
        <v>1.4</v>
      </c>
      <c r="C166" s="56">
        <v>1.3120000000000001</v>
      </c>
      <c r="D166" s="56">
        <v>11.455</v>
      </c>
      <c r="F166" s="35">
        <v>80</v>
      </c>
      <c r="G166" s="35">
        <v>4.8000000000000001E-2</v>
      </c>
      <c r="H166" s="57">
        <v>0.20699999999999999</v>
      </c>
      <c r="I166" s="58">
        <f>H166*B$158</f>
        <v>3.9329999999999997E-2</v>
      </c>
    </row>
    <row r="167" spans="1:9" x14ac:dyDescent="0.25">
      <c r="A167" s="50" t="s">
        <v>33</v>
      </c>
      <c r="B167" s="59">
        <v>2.16</v>
      </c>
      <c r="C167" s="56">
        <v>1.8680000000000001</v>
      </c>
      <c r="D167" s="56">
        <v>8.4329999999999998</v>
      </c>
      <c r="F167" s="35">
        <v>70</v>
      </c>
      <c r="G167" s="35">
        <v>0.02</v>
      </c>
      <c r="H167" s="57">
        <v>0.58199999999999996</v>
      </c>
      <c r="I167" s="58">
        <f>H167*B$158</f>
        <v>0.11058</v>
      </c>
    </row>
    <row r="168" spans="1:9" x14ac:dyDescent="0.25">
      <c r="F168" s="72" t="s">
        <v>20</v>
      </c>
      <c r="G168" s="72"/>
      <c r="H168" s="72"/>
      <c r="I168" s="49"/>
    </row>
    <row r="169" spans="1:9" x14ac:dyDescent="0.25">
      <c r="F169" s="35">
        <v>140</v>
      </c>
      <c r="G169" s="35">
        <v>8.4000000000000005E-2</v>
      </c>
      <c r="H169" s="57">
        <v>0.18</v>
      </c>
      <c r="I169" s="58">
        <f>H169*B$159</f>
        <v>0.14939999999999998</v>
      </c>
    </row>
    <row r="170" spans="1:9" x14ac:dyDescent="0.25">
      <c r="F170" s="35">
        <v>120</v>
      </c>
      <c r="G170" s="35">
        <v>7.1999999999999995E-2</v>
      </c>
      <c r="H170" s="57">
        <v>0.187</v>
      </c>
      <c r="I170" s="58">
        <f>H170*B$159</f>
        <v>0.15520999999999999</v>
      </c>
    </row>
    <row r="171" spans="1:9" x14ac:dyDescent="0.25">
      <c r="F171" s="35">
        <v>100</v>
      </c>
      <c r="G171" s="35">
        <v>0.06</v>
      </c>
      <c r="H171" s="57">
        <v>0.19700000000000001</v>
      </c>
      <c r="I171" s="58">
        <f>H171*B$159</f>
        <v>0.16350999999999999</v>
      </c>
    </row>
    <row r="172" spans="1:9" x14ac:dyDescent="0.25">
      <c r="F172" s="35">
        <v>80</v>
      </c>
      <c r="G172" s="35">
        <v>4.8000000000000001E-2</v>
      </c>
      <c r="H172" s="57">
        <v>0.21099999999999999</v>
      </c>
      <c r="I172" s="58">
        <f>H172*B$159</f>
        <v>0.17512999999999998</v>
      </c>
    </row>
    <row r="173" spans="1:9" x14ac:dyDescent="0.25">
      <c r="F173" s="35">
        <v>70</v>
      </c>
      <c r="G173" s="35">
        <v>0.02</v>
      </c>
      <c r="H173" s="57">
        <v>0.432</v>
      </c>
      <c r="I173" s="58">
        <f>H173*B$159</f>
        <v>0.35855999999999999</v>
      </c>
    </row>
    <row r="175" spans="1:9" x14ac:dyDescent="0.25">
      <c r="F175" s="35">
        <v>140</v>
      </c>
      <c r="G175" s="35">
        <v>8.4000000000000005E-2</v>
      </c>
      <c r="H175" s="57">
        <v>0.18</v>
      </c>
      <c r="I175" s="58">
        <f>H175*B$160</f>
        <v>0.1656</v>
      </c>
    </row>
    <row r="176" spans="1:9" ht="15.75" x14ac:dyDescent="0.25">
      <c r="A176" s="61"/>
      <c r="B176" s="61"/>
      <c r="C176" s="61"/>
      <c r="D176" s="61"/>
      <c r="E176" s="61"/>
      <c r="F176" s="35">
        <v>120</v>
      </c>
      <c r="G176" s="35">
        <v>7.1999999999999995E-2</v>
      </c>
      <c r="H176" s="57">
        <v>0.187</v>
      </c>
      <c r="I176" s="58">
        <f>H176*B$160</f>
        <v>0.17204</v>
      </c>
    </row>
    <row r="177" spans="1:9" ht="15.75" x14ac:dyDescent="0.25">
      <c r="A177" s="61"/>
      <c r="B177" s="61"/>
      <c r="C177" s="61"/>
      <c r="D177" s="61"/>
      <c r="E177" s="61"/>
      <c r="F177" s="35">
        <v>100</v>
      </c>
      <c r="G177" s="35">
        <v>0.06</v>
      </c>
      <c r="H177" s="57">
        <v>0.19700000000000001</v>
      </c>
      <c r="I177" s="58">
        <f>H177*B$160</f>
        <v>0.18124000000000001</v>
      </c>
    </row>
    <row r="178" spans="1:9" ht="15.75" x14ac:dyDescent="0.25">
      <c r="A178" s="61"/>
      <c r="B178" s="61"/>
      <c r="C178" s="61"/>
      <c r="D178" s="61"/>
      <c r="E178" s="61"/>
      <c r="F178" s="35">
        <v>80</v>
      </c>
      <c r="G178" s="35">
        <v>4.8000000000000001E-2</v>
      </c>
      <c r="H178" s="57">
        <v>0.21099999999999999</v>
      </c>
      <c r="I178" s="58">
        <f>H178*B$160</f>
        <v>0.19412000000000001</v>
      </c>
    </row>
    <row r="179" spans="1:9" ht="15.75" x14ac:dyDescent="0.25">
      <c r="A179" s="61"/>
      <c r="B179" s="61"/>
      <c r="C179" s="61"/>
      <c r="D179" s="61"/>
      <c r="E179" s="61"/>
      <c r="F179" s="35">
        <v>70</v>
      </c>
      <c r="G179" s="35">
        <v>0.02</v>
      </c>
      <c r="H179" s="57">
        <v>0.432</v>
      </c>
      <c r="I179" s="58">
        <f>H179*B$160</f>
        <v>0.39744000000000002</v>
      </c>
    </row>
    <row r="180" spans="1:9" ht="15.75" x14ac:dyDescent="0.25">
      <c r="A180" s="61"/>
      <c r="B180" s="61"/>
      <c r="C180" s="61"/>
      <c r="D180" s="61"/>
      <c r="E180" s="61"/>
      <c r="F180" s="72" t="s">
        <v>21</v>
      </c>
      <c r="G180" s="72"/>
      <c r="H180" s="72"/>
      <c r="I180" s="60"/>
    </row>
    <row r="181" spans="1:9" ht="15.75" x14ac:dyDescent="0.25">
      <c r="A181" s="61"/>
      <c r="B181" s="61"/>
      <c r="C181" s="61"/>
      <c r="D181" s="61"/>
      <c r="E181" s="61"/>
      <c r="F181" s="35">
        <v>140</v>
      </c>
      <c r="G181" s="35">
        <v>8.4000000000000005E-2</v>
      </c>
      <c r="H181" s="57">
        <v>0.81</v>
      </c>
      <c r="I181" s="58">
        <f>H181*B$161</f>
        <v>0.81</v>
      </c>
    </row>
    <row r="182" spans="1:9" ht="15.75" x14ac:dyDescent="0.25">
      <c r="A182" s="61"/>
      <c r="B182" s="61"/>
      <c r="C182" s="61"/>
      <c r="D182" s="61"/>
      <c r="E182" s="61"/>
      <c r="F182" s="35">
        <v>120</v>
      </c>
      <c r="G182" s="35">
        <v>7.1999999999999995E-2</v>
      </c>
      <c r="H182" s="57">
        <v>0.191</v>
      </c>
      <c r="I182" s="58">
        <f>H182*B$161</f>
        <v>0.191</v>
      </c>
    </row>
    <row r="183" spans="1:9" ht="15.75" x14ac:dyDescent="0.25">
      <c r="A183" s="61"/>
      <c r="B183" s="61"/>
      <c r="C183" s="61"/>
      <c r="D183" s="61"/>
      <c r="E183" s="61"/>
      <c r="F183" s="35">
        <v>100</v>
      </c>
      <c r="G183" s="35">
        <v>0.06</v>
      </c>
      <c r="H183" s="57">
        <v>0.20599999999999999</v>
      </c>
      <c r="I183" s="58">
        <f>H183*B$161</f>
        <v>0.20599999999999999</v>
      </c>
    </row>
    <row r="184" spans="1:9" ht="15.75" x14ac:dyDescent="0.25">
      <c r="A184" s="61"/>
      <c r="B184" s="61"/>
      <c r="C184" s="61"/>
      <c r="D184" s="61"/>
      <c r="E184" s="61"/>
      <c r="F184" s="35">
        <v>80</v>
      </c>
      <c r="G184" s="35">
        <v>4.8000000000000001E-2</v>
      </c>
      <c r="H184" s="57">
        <v>0.23300000000000001</v>
      </c>
      <c r="I184" s="58">
        <f>H184*B$161</f>
        <v>0.23300000000000001</v>
      </c>
    </row>
    <row r="185" spans="1:9" ht="15.75" x14ac:dyDescent="0.25">
      <c r="A185" s="61"/>
      <c r="B185" s="61"/>
      <c r="C185" s="61"/>
      <c r="D185" s="61"/>
      <c r="E185" s="61"/>
      <c r="F185" s="35">
        <v>70</v>
      </c>
      <c r="G185" s="35">
        <v>0.02</v>
      </c>
      <c r="H185" s="57">
        <v>0.81</v>
      </c>
      <c r="I185" s="58">
        <f>H185*B$161</f>
        <v>0.81</v>
      </c>
    </row>
    <row r="186" spans="1:9" ht="15.75" x14ac:dyDescent="0.25">
      <c r="A186" s="61"/>
      <c r="B186" s="61"/>
      <c r="C186" s="61"/>
      <c r="D186" s="61"/>
      <c r="E186" s="61"/>
      <c r="F186" s="72" t="s">
        <v>24</v>
      </c>
      <c r="G186" s="72"/>
      <c r="H186" s="72"/>
      <c r="I186" s="49"/>
    </row>
    <row r="187" spans="1:9" ht="15.75" x14ac:dyDescent="0.25">
      <c r="A187" s="61"/>
      <c r="B187" s="61"/>
      <c r="C187" s="61"/>
      <c r="D187" s="61"/>
      <c r="E187" s="61"/>
      <c r="F187" s="35">
        <v>140</v>
      </c>
      <c r="G187" s="35">
        <v>8.4000000000000005E-2</v>
      </c>
      <c r="H187" s="57">
        <v>0.17</v>
      </c>
      <c r="I187" s="58">
        <f>H187*B$162</f>
        <v>0.17510000000000001</v>
      </c>
    </row>
    <row r="188" spans="1:9" ht="15.75" x14ac:dyDescent="0.25">
      <c r="A188" s="61"/>
      <c r="B188" s="61"/>
      <c r="C188" s="61"/>
      <c r="D188" s="61"/>
      <c r="E188" s="61"/>
      <c r="F188" s="35">
        <v>120</v>
      </c>
      <c r="G188" s="35">
        <v>7.1999999999999995E-2</v>
      </c>
      <c r="H188" s="57">
        <v>0.17799999999999999</v>
      </c>
      <c r="I188" s="58">
        <f>H188*B$162</f>
        <v>0.18334</v>
      </c>
    </row>
    <row r="189" spans="1:9" ht="15.75" x14ac:dyDescent="0.25">
      <c r="A189" s="61"/>
      <c r="B189" s="61"/>
      <c r="C189" s="61"/>
      <c r="D189" s="61"/>
      <c r="E189" s="61"/>
      <c r="F189" s="35">
        <v>100</v>
      </c>
      <c r="G189" s="35">
        <v>0.06</v>
      </c>
      <c r="H189" s="57">
        <v>0.187</v>
      </c>
      <c r="I189" s="58">
        <f>H189*B$162</f>
        <v>0.19261</v>
      </c>
    </row>
    <row r="190" spans="1:9" ht="15.75" x14ac:dyDescent="0.25">
      <c r="A190" s="61"/>
      <c r="B190" s="61"/>
      <c r="C190" s="61"/>
      <c r="D190" s="61"/>
      <c r="E190" s="61"/>
      <c r="F190" s="35">
        <v>80</v>
      </c>
      <c r="G190" s="35">
        <v>4.8000000000000001E-2</v>
      </c>
      <c r="H190" s="57">
        <v>0.20200000000000001</v>
      </c>
      <c r="I190" s="58">
        <f>H190*B$162</f>
        <v>0.20806000000000002</v>
      </c>
    </row>
    <row r="191" spans="1:9" ht="15.75" x14ac:dyDescent="0.25">
      <c r="A191" s="61"/>
      <c r="B191" s="61"/>
      <c r="C191" s="61"/>
      <c r="D191" s="61"/>
      <c r="E191" s="61"/>
      <c r="F191" s="35">
        <v>70</v>
      </c>
      <c r="G191" s="35">
        <v>0.02</v>
      </c>
      <c r="H191" s="57">
        <v>0.436</v>
      </c>
      <c r="I191" s="58">
        <f>H191*B$162</f>
        <v>0.44908000000000003</v>
      </c>
    </row>
    <row r="192" spans="1:9" ht="15.75" x14ac:dyDescent="0.25">
      <c r="A192" s="61"/>
      <c r="B192" s="61"/>
      <c r="C192" s="61"/>
      <c r="D192" s="61"/>
      <c r="E192" s="61"/>
      <c r="F192" s="61"/>
      <c r="G192" s="61"/>
      <c r="H192" s="61"/>
    </row>
    <row r="193" spans="1:9" ht="15.75" x14ac:dyDescent="0.25">
      <c r="A193" s="61"/>
      <c r="B193" s="61"/>
      <c r="C193" s="61"/>
      <c r="D193" s="61"/>
      <c r="E193" s="61"/>
      <c r="F193" s="35">
        <v>140</v>
      </c>
      <c r="G193" s="35">
        <v>8.4000000000000005E-2</v>
      </c>
      <c r="H193" s="57">
        <v>0.17299999999999999</v>
      </c>
      <c r="I193" s="58">
        <f>H193*B$163</f>
        <v>0.20413999999999996</v>
      </c>
    </row>
    <row r="194" spans="1:9" ht="15.75" x14ac:dyDescent="0.25">
      <c r="A194" s="61"/>
      <c r="B194" s="61"/>
      <c r="C194" s="61"/>
      <c r="D194" s="61"/>
      <c r="E194" s="61"/>
      <c r="F194" s="35">
        <v>120</v>
      </c>
      <c r="G194" s="35">
        <v>7.1999999999999995E-2</v>
      </c>
      <c r="H194" s="57">
        <v>0.18099999999999999</v>
      </c>
      <c r="I194" s="58">
        <f>H194*B$163</f>
        <v>0.21357999999999999</v>
      </c>
    </row>
    <row r="195" spans="1:9" ht="15.75" x14ac:dyDescent="0.25">
      <c r="A195" s="61"/>
      <c r="B195" s="61"/>
      <c r="C195" s="61"/>
      <c r="D195" s="61"/>
      <c r="E195" s="61"/>
      <c r="F195" s="35">
        <v>100</v>
      </c>
      <c r="G195" s="35">
        <v>0.06</v>
      </c>
      <c r="H195" s="57">
        <v>0.192</v>
      </c>
      <c r="I195" s="58">
        <f>H195*B$163</f>
        <v>0.22655999999999998</v>
      </c>
    </row>
    <row r="196" spans="1:9" ht="15.75" x14ac:dyDescent="0.25">
      <c r="A196" s="61"/>
      <c r="B196" s="61"/>
      <c r="C196" s="61"/>
      <c r="D196" s="61"/>
      <c r="E196" s="61"/>
      <c r="F196" s="35">
        <v>80</v>
      </c>
      <c r="G196" s="35">
        <v>4.8000000000000001E-2</v>
      </c>
      <c r="H196" s="57">
        <v>0.21199999999999999</v>
      </c>
      <c r="I196" s="58">
        <f>H196*B$163</f>
        <v>0.25015999999999999</v>
      </c>
    </row>
    <row r="197" spans="1:9" ht="15.75" x14ac:dyDescent="0.25">
      <c r="A197" s="61"/>
      <c r="B197" s="61"/>
      <c r="C197" s="61"/>
      <c r="D197" s="61"/>
      <c r="E197" s="61"/>
      <c r="F197" s="35">
        <v>70</v>
      </c>
      <c r="G197" s="35">
        <v>0.02</v>
      </c>
      <c r="H197" s="57">
        <v>0.57099999999999995</v>
      </c>
      <c r="I197" s="58">
        <f>H197*B$163</f>
        <v>0.67377999999999993</v>
      </c>
    </row>
    <row r="198" spans="1:9" ht="15.75" x14ac:dyDescent="0.25">
      <c r="A198" s="61"/>
      <c r="B198" s="61"/>
      <c r="C198" s="61"/>
      <c r="D198" s="61"/>
      <c r="E198" s="61"/>
      <c r="F198" s="72" t="s">
        <v>90</v>
      </c>
      <c r="G198" s="72"/>
      <c r="H198" s="72"/>
      <c r="I198" s="60"/>
    </row>
    <row r="199" spans="1:9" ht="15.75" x14ac:dyDescent="0.25">
      <c r="A199" s="61"/>
      <c r="B199" s="61"/>
      <c r="C199" s="61"/>
      <c r="D199" s="61"/>
      <c r="E199" s="61"/>
      <c r="F199" s="35">
        <v>140</v>
      </c>
      <c r="G199" s="35">
        <v>8.4000000000000005E-2</v>
      </c>
      <c r="H199" s="57">
        <v>0.18099999999999999</v>
      </c>
      <c r="I199" s="58">
        <f>H199*B$164</f>
        <v>0.20633999999999997</v>
      </c>
    </row>
    <row r="200" spans="1:9" ht="15.75" x14ac:dyDescent="0.25">
      <c r="A200" s="61"/>
      <c r="B200" s="61"/>
      <c r="C200" s="61"/>
      <c r="D200" s="61"/>
      <c r="E200" s="61"/>
      <c r="F200" s="35">
        <v>120</v>
      </c>
      <c r="G200" s="35">
        <v>7.1999999999999995E-2</v>
      </c>
      <c r="H200" s="57">
        <v>0.19600000000000001</v>
      </c>
      <c r="I200" s="58">
        <f>H200*B$164</f>
        <v>0.22344</v>
      </c>
    </row>
    <row r="201" spans="1:9" ht="15.75" x14ac:dyDescent="0.25">
      <c r="A201" s="61"/>
      <c r="B201" s="61"/>
      <c r="C201" s="61"/>
      <c r="D201" s="61"/>
      <c r="E201" s="61"/>
      <c r="F201" s="35">
        <v>100</v>
      </c>
      <c r="G201" s="35">
        <v>0.06</v>
      </c>
      <c r="H201" s="57">
        <v>0.22</v>
      </c>
      <c r="I201" s="58">
        <f>H201*B$164</f>
        <v>0.25079999999999997</v>
      </c>
    </row>
    <row r="202" spans="1:9" ht="15.75" x14ac:dyDescent="0.25">
      <c r="A202" s="61"/>
      <c r="B202" s="61"/>
      <c r="C202" s="61"/>
      <c r="D202" s="61"/>
      <c r="E202" s="61"/>
      <c r="F202" s="35">
        <v>80</v>
      </c>
      <c r="G202" s="35">
        <v>4.8000000000000001E-2</v>
      </c>
      <c r="H202" s="57">
        <v>0.27</v>
      </c>
      <c r="I202" s="58">
        <f>H202*B$164</f>
        <v>0.30780000000000002</v>
      </c>
    </row>
    <row r="203" spans="1:9" ht="15.75" x14ac:dyDescent="0.25">
      <c r="A203" s="61"/>
      <c r="B203" s="61"/>
      <c r="C203" s="61"/>
      <c r="D203" s="61"/>
      <c r="E203" s="61"/>
      <c r="F203" s="35">
        <v>70</v>
      </c>
      <c r="G203" s="35">
        <v>0.02</v>
      </c>
      <c r="H203" s="57">
        <v>1.41</v>
      </c>
      <c r="I203" s="58">
        <f>H203*B$164</f>
        <v>1.6073999999999997</v>
      </c>
    </row>
    <row r="204" spans="1:9" ht="15.75" x14ac:dyDescent="0.25">
      <c r="A204" s="61"/>
      <c r="B204" s="61"/>
      <c r="C204" s="61"/>
      <c r="D204" s="61"/>
      <c r="E204" s="61"/>
      <c r="F204" s="72" t="s">
        <v>29</v>
      </c>
      <c r="G204" s="72"/>
      <c r="H204" s="72"/>
    </row>
    <row r="205" spans="1:9" ht="15.75" x14ac:dyDescent="0.25">
      <c r="A205" s="61"/>
      <c r="B205" s="61"/>
      <c r="C205" s="61"/>
      <c r="D205" s="61"/>
      <c r="E205" s="61"/>
      <c r="F205" s="35">
        <v>140</v>
      </c>
      <c r="G205" s="35">
        <v>8.4000000000000005E-2</v>
      </c>
      <c r="H205" s="57">
        <v>0.17199999999999999</v>
      </c>
      <c r="I205" s="58">
        <f>H205*B$165</f>
        <v>0.24423999999999996</v>
      </c>
    </row>
    <row r="206" spans="1:9" ht="15.75" x14ac:dyDescent="0.25">
      <c r="A206" s="61"/>
      <c r="B206" s="61"/>
      <c r="C206" s="61"/>
      <c r="D206" s="61"/>
      <c r="E206" s="61"/>
      <c r="F206" s="35">
        <v>120</v>
      </c>
      <c r="G206" s="35">
        <v>7.1999999999999995E-2</v>
      </c>
      <c r="H206" s="57">
        <v>0.18099999999999999</v>
      </c>
      <c r="I206" s="58">
        <f>H206*B$165</f>
        <v>0.25701999999999997</v>
      </c>
    </row>
    <row r="207" spans="1:9" ht="15.75" x14ac:dyDescent="0.25">
      <c r="A207" s="61"/>
      <c r="B207" s="61"/>
      <c r="C207" s="61"/>
      <c r="D207" s="61"/>
      <c r="E207" s="61"/>
      <c r="F207" s="35">
        <v>100</v>
      </c>
      <c r="G207" s="35">
        <v>0.06</v>
      </c>
      <c r="H207" s="57">
        <v>0.19400000000000001</v>
      </c>
      <c r="I207" s="58">
        <f>H207*B$165</f>
        <v>0.27548</v>
      </c>
    </row>
    <row r="208" spans="1:9" ht="15.75" x14ac:dyDescent="0.25">
      <c r="A208" s="61"/>
      <c r="B208" s="61"/>
      <c r="C208" s="61"/>
      <c r="D208" s="61"/>
      <c r="E208" s="61"/>
      <c r="F208" s="35">
        <v>80</v>
      </c>
      <c r="G208" s="35">
        <v>4.8000000000000001E-2</v>
      </c>
      <c r="H208" s="57">
        <v>0.216</v>
      </c>
      <c r="I208" s="58">
        <f>H208*B$165</f>
        <v>0.30671999999999999</v>
      </c>
    </row>
    <row r="209" spans="1:9" ht="15.75" x14ac:dyDescent="0.25">
      <c r="A209" s="61"/>
      <c r="B209" s="61"/>
      <c r="C209" s="61"/>
      <c r="D209" s="61"/>
      <c r="E209" s="61"/>
      <c r="F209" s="35">
        <v>70</v>
      </c>
      <c r="G209" s="35">
        <v>0.02</v>
      </c>
      <c r="H209" s="57">
        <v>0.66300000000000003</v>
      </c>
      <c r="I209" s="58">
        <f>H209*B$165</f>
        <v>0.94145999999999996</v>
      </c>
    </row>
    <row r="210" spans="1:9" ht="15.75" x14ac:dyDescent="0.25">
      <c r="A210" s="61"/>
      <c r="B210" s="61"/>
      <c r="C210" s="61"/>
      <c r="D210" s="61"/>
      <c r="E210" s="61"/>
      <c r="F210" s="61"/>
      <c r="G210" s="61"/>
      <c r="H210" s="61"/>
    </row>
    <row r="211" spans="1:9" ht="15.75" x14ac:dyDescent="0.25">
      <c r="A211" s="61"/>
      <c r="B211" s="61"/>
      <c r="C211" s="61"/>
      <c r="D211" s="61"/>
      <c r="E211" s="61"/>
      <c r="F211" s="35">
        <v>140</v>
      </c>
      <c r="G211" s="35">
        <v>8.4000000000000005E-2</v>
      </c>
      <c r="H211" s="57">
        <v>0.19600000000000001</v>
      </c>
      <c r="I211" s="58">
        <f>H211*B$166</f>
        <v>0.27439999999999998</v>
      </c>
    </row>
    <row r="212" spans="1:9" ht="15.75" x14ac:dyDescent="0.25">
      <c r="A212" s="61"/>
      <c r="B212" s="61"/>
      <c r="C212" s="61"/>
      <c r="D212" s="61"/>
      <c r="E212" s="61"/>
      <c r="F212" s="35">
        <v>120</v>
      </c>
      <c r="G212" s="35">
        <v>7.1999999999999995E-2</v>
      </c>
      <c r="H212" s="57">
        <v>0.221</v>
      </c>
      <c r="I212" s="58">
        <f>H212*B$166</f>
        <v>0.30940000000000001</v>
      </c>
    </row>
    <row r="213" spans="1:9" ht="15.75" x14ac:dyDescent="0.25">
      <c r="A213" s="61"/>
      <c r="B213" s="61"/>
      <c r="C213" s="61"/>
      <c r="D213" s="61"/>
      <c r="E213" s="61"/>
      <c r="F213" s="35">
        <v>100</v>
      </c>
      <c r="G213" s="35">
        <v>0.06</v>
      </c>
      <c r="H213" s="57">
        <v>0.26600000000000001</v>
      </c>
      <c r="I213" s="58">
        <f>H213*B$166</f>
        <v>0.37240000000000001</v>
      </c>
    </row>
    <row r="214" spans="1:9" ht="15.75" x14ac:dyDescent="0.25">
      <c r="A214" s="61"/>
      <c r="B214" s="61"/>
      <c r="C214" s="61"/>
      <c r="D214" s="61"/>
      <c r="E214" s="61"/>
      <c r="F214" s="35">
        <v>80</v>
      </c>
      <c r="G214" s="35">
        <v>4.8000000000000001E-2</v>
      </c>
      <c r="H214" s="57">
        <v>0.36099999999999999</v>
      </c>
      <c r="I214" s="58">
        <f>H214*B$166</f>
        <v>0.50539999999999996</v>
      </c>
    </row>
    <row r="215" spans="1:9" ht="15.75" x14ac:dyDescent="0.25">
      <c r="A215" s="61"/>
      <c r="B215" s="61"/>
      <c r="C215" s="61"/>
      <c r="D215" s="61"/>
      <c r="E215" s="61"/>
      <c r="F215" s="35">
        <v>70</v>
      </c>
      <c r="G215" s="35">
        <v>0.02</v>
      </c>
      <c r="H215" s="57">
        <v>2.67</v>
      </c>
      <c r="I215" s="58">
        <f>H215*B$166</f>
        <v>3.7379999999999995</v>
      </c>
    </row>
    <row r="216" spans="1:9" ht="15.75" x14ac:dyDescent="0.25">
      <c r="A216" s="61"/>
      <c r="B216" s="61"/>
      <c r="C216" s="61"/>
      <c r="D216" s="61"/>
      <c r="E216" s="61"/>
      <c r="F216" s="72" t="s">
        <v>33</v>
      </c>
      <c r="G216" s="72"/>
      <c r="H216" s="72"/>
      <c r="I216" s="58"/>
    </row>
    <row r="217" spans="1:9" ht="15.75" x14ac:dyDescent="0.25">
      <c r="A217" s="61"/>
      <c r="B217" s="61"/>
      <c r="C217" s="61"/>
      <c r="D217" s="61"/>
      <c r="E217" s="61"/>
      <c r="F217" s="35">
        <v>140</v>
      </c>
      <c r="G217" s="35">
        <v>8.4000000000000005E-2</v>
      </c>
      <c r="H217" s="24">
        <v>0.16</v>
      </c>
      <c r="I217" s="24">
        <f>H217*B$167</f>
        <v>0.34560000000000002</v>
      </c>
    </row>
    <row r="218" spans="1:9" ht="15.75" x14ac:dyDescent="0.25">
      <c r="A218" s="61"/>
      <c r="B218" s="61"/>
      <c r="C218" s="61"/>
      <c r="D218" s="61"/>
      <c r="E218" s="61"/>
      <c r="F218" s="35">
        <v>120</v>
      </c>
      <c r="G218" s="35">
        <v>7.1999999999999995E-2</v>
      </c>
      <c r="H218" s="24">
        <v>0.17100000000000001</v>
      </c>
      <c r="I218" s="24">
        <f>H218*B$167</f>
        <v>0.36936000000000008</v>
      </c>
    </row>
    <row r="219" spans="1:9" ht="15.75" x14ac:dyDescent="0.25">
      <c r="A219" s="61"/>
      <c r="B219" s="61"/>
      <c r="C219" s="61"/>
      <c r="D219" s="61"/>
      <c r="E219" s="61"/>
      <c r="F219" s="35">
        <v>100</v>
      </c>
      <c r="G219" s="35">
        <v>0.06</v>
      </c>
      <c r="H219" s="24">
        <v>0.188</v>
      </c>
      <c r="I219" s="24">
        <f>H219*B$167</f>
        <v>0.40608000000000005</v>
      </c>
    </row>
    <row r="220" spans="1:9" ht="15.75" x14ac:dyDescent="0.25">
      <c r="A220" s="61"/>
      <c r="B220" s="61"/>
      <c r="C220" s="61"/>
      <c r="D220" s="61"/>
      <c r="E220" s="61"/>
      <c r="F220" s="35">
        <v>80</v>
      </c>
      <c r="G220" s="35">
        <v>4.8000000000000001E-2</v>
      </c>
      <c r="H220" s="24">
        <v>0.221</v>
      </c>
      <c r="I220" s="24">
        <f>H220*B$167</f>
        <v>0.47736000000000006</v>
      </c>
    </row>
    <row r="221" spans="1:9" ht="15.75" x14ac:dyDescent="0.25">
      <c r="A221" s="61"/>
      <c r="B221" s="61"/>
      <c r="C221" s="61"/>
      <c r="D221" s="61"/>
      <c r="E221" s="61"/>
      <c r="F221" s="35">
        <v>70</v>
      </c>
      <c r="G221" s="35">
        <v>0.02</v>
      </c>
      <c r="H221" s="24">
        <v>0.96699999999999997</v>
      </c>
      <c r="I221" s="24">
        <f>H221*B$167</f>
        <v>2.0887199999999999</v>
      </c>
    </row>
    <row r="222" spans="1:9" ht="15.75" x14ac:dyDescent="0.25">
      <c r="A222" s="61"/>
      <c r="B222" s="61"/>
      <c r="C222" s="61"/>
      <c r="D222" s="61"/>
      <c r="E222" s="61"/>
      <c r="F222" s="61"/>
      <c r="G222" s="61"/>
      <c r="H222" s="61"/>
    </row>
    <row r="223" spans="1:9" ht="15.75" x14ac:dyDescent="0.25">
      <c r="A223" s="61"/>
      <c r="B223" s="61"/>
      <c r="C223" s="61"/>
      <c r="D223" s="61"/>
      <c r="E223" s="61"/>
      <c r="F223" s="61"/>
      <c r="G223" s="61"/>
      <c r="H223" s="61"/>
    </row>
    <row r="224" spans="1:9" ht="15.75" x14ac:dyDescent="0.25">
      <c r="A224" s="61"/>
      <c r="B224" s="61"/>
      <c r="C224" s="61"/>
      <c r="D224" s="61"/>
      <c r="E224" s="61"/>
      <c r="F224" s="61"/>
      <c r="G224" s="61"/>
      <c r="H224" s="61"/>
    </row>
    <row r="225" spans="1:8" ht="15.75" x14ac:dyDescent="0.25">
      <c r="A225" s="61"/>
      <c r="B225" s="61"/>
      <c r="C225" s="61"/>
      <c r="D225" s="61"/>
      <c r="E225" s="61"/>
      <c r="F225" s="61"/>
      <c r="G225" s="61"/>
      <c r="H225" s="61"/>
    </row>
    <row r="226" spans="1:8" ht="15.75" x14ac:dyDescent="0.25">
      <c r="A226" s="61"/>
      <c r="B226" s="61"/>
      <c r="C226" s="61"/>
      <c r="D226" s="61"/>
      <c r="E226" s="61"/>
      <c r="F226" s="61"/>
      <c r="G226" s="61"/>
      <c r="H226" s="61"/>
    </row>
    <row r="227" spans="1:8" ht="15.75" x14ac:dyDescent="0.25">
      <c r="A227" s="61"/>
      <c r="B227" s="61"/>
      <c r="C227" s="61"/>
      <c r="D227" s="61"/>
      <c r="E227" s="61"/>
      <c r="F227" s="61"/>
      <c r="G227" s="61"/>
      <c r="H227" s="61"/>
    </row>
    <row r="228" spans="1:8" ht="15.75" x14ac:dyDescent="0.25">
      <c r="A228" s="61"/>
      <c r="B228" s="61"/>
      <c r="C228" s="61"/>
      <c r="D228" s="61"/>
      <c r="E228" s="61"/>
      <c r="F228" s="61"/>
      <c r="G228" s="61"/>
      <c r="H228" s="61"/>
    </row>
    <row r="229" spans="1:8" ht="15.75" x14ac:dyDescent="0.25">
      <c r="A229" s="61"/>
      <c r="B229" s="61"/>
      <c r="C229" s="61"/>
      <c r="D229" s="61"/>
      <c r="E229" s="61"/>
      <c r="F229" s="61"/>
      <c r="G229" s="61"/>
      <c r="H229" s="61"/>
    </row>
    <row r="230" spans="1:8" ht="15.75" x14ac:dyDescent="0.25">
      <c r="A230" s="61"/>
      <c r="B230" s="61"/>
      <c r="C230" s="61"/>
      <c r="D230" s="61"/>
      <c r="E230" s="61"/>
      <c r="F230" s="61"/>
      <c r="G230" s="61"/>
      <c r="H230" s="61"/>
    </row>
    <row r="231" spans="1:8" ht="15.75" x14ac:dyDescent="0.25">
      <c r="A231" s="61"/>
      <c r="B231" s="61"/>
      <c r="C231" s="61"/>
      <c r="D231" s="61"/>
      <c r="E231" s="61"/>
      <c r="F231" s="61"/>
      <c r="G231" s="61"/>
      <c r="H231" s="61"/>
    </row>
    <row r="232" spans="1:8" ht="15.75" x14ac:dyDescent="0.25">
      <c r="A232" s="61"/>
      <c r="B232" s="61"/>
      <c r="C232" s="61"/>
      <c r="D232" s="61"/>
      <c r="E232" s="61"/>
      <c r="F232" s="61"/>
      <c r="G232" s="61"/>
      <c r="H232" s="61"/>
    </row>
    <row r="233" spans="1:8" ht="15.75" x14ac:dyDescent="0.25">
      <c r="A233" s="61"/>
      <c r="B233" s="61"/>
      <c r="C233" s="61"/>
      <c r="D233" s="61"/>
      <c r="E233" s="61"/>
      <c r="F233" s="61"/>
      <c r="G233" s="61"/>
      <c r="H233" s="61"/>
    </row>
    <row r="234" spans="1:8" ht="15.75" x14ac:dyDescent="0.25">
      <c r="A234" s="61"/>
      <c r="B234" s="61"/>
      <c r="C234" s="61"/>
      <c r="D234" s="61"/>
      <c r="E234" s="61"/>
      <c r="F234" s="61"/>
      <c r="G234" s="61"/>
      <c r="H234" s="61"/>
    </row>
    <row r="235" spans="1:8" ht="15.75" x14ac:dyDescent="0.25">
      <c r="A235" s="61"/>
      <c r="B235" s="61"/>
      <c r="C235" s="61"/>
      <c r="D235" s="61"/>
      <c r="E235" s="61"/>
      <c r="F235" s="61"/>
      <c r="G235" s="61"/>
      <c r="H235" s="61"/>
    </row>
    <row r="236" spans="1:8" ht="15.75" x14ac:dyDescent="0.25">
      <c r="A236" s="61"/>
      <c r="B236" s="61"/>
      <c r="C236" s="61"/>
      <c r="D236" s="61"/>
      <c r="E236" s="61"/>
      <c r="F236" s="61"/>
      <c r="G236" s="61"/>
      <c r="H236" s="61"/>
    </row>
    <row r="237" spans="1:8" ht="15.75" x14ac:dyDescent="0.25">
      <c r="A237" s="61"/>
      <c r="B237" s="61"/>
      <c r="C237" s="61"/>
      <c r="D237" s="61"/>
      <c r="E237" s="61"/>
      <c r="F237" s="61"/>
      <c r="G237" s="61"/>
      <c r="H237" s="61"/>
    </row>
    <row r="238" spans="1:8" ht="15.75" x14ac:dyDescent="0.25">
      <c r="A238" s="61"/>
      <c r="B238" s="61"/>
      <c r="C238" s="61"/>
      <c r="D238" s="61"/>
      <c r="E238" s="61"/>
      <c r="F238" s="61"/>
      <c r="G238" s="61"/>
      <c r="H238" s="61"/>
    </row>
    <row r="239" spans="1:8" ht="15.75" x14ac:dyDescent="0.25">
      <c r="A239" s="61"/>
      <c r="B239" s="61"/>
      <c r="C239" s="61"/>
      <c r="D239" s="61"/>
      <c r="E239" s="61"/>
      <c r="F239" s="61"/>
      <c r="G239" s="61"/>
      <c r="H239" s="61"/>
    </row>
    <row r="240" spans="1:8" ht="15.75" x14ac:dyDescent="0.25">
      <c r="A240" s="61"/>
      <c r="B240" s="61"/>
      <c r="C240" s="61"/>
      <c r="D240" s="61"/>
      <c r="E240" s="61"/>
      <c r="F240" s="61"/>
      <c r="G240" s="61"/>
      <c r="H240" s="61"/>
    </row>
  </sheetData>
  <mergeCells count="230">
    <mergeCell ref="F204:H204"/>
    <mergeCell ref="F216:H216"/>
    <mergeCell ref="R155:T155"/>
    <mergeCell ref="F162:H162"/>
    <mergeCell ref="F168:H168"/>
    <mergeCell ref="F180:H180"/>
    <mergeCell ref="F186:H186"/>
    <mergeCell ref="F198:H198"/>
    <mergeCell ref="A71:B71"/>
    <mergeCell ref="K71:L71"/>
    <mergeCell ref="A72:B72"/>
    <mergeCell ref="F155:H155"/>
    <mergeCell ref="J155:L155"/>
    <mergeCell ref="N155:P155"/>
    <mergeCell ref="A68:B68"/>
    <mergeCell ref="K68:L68"/>
    <mergeCell ref="A69:B69"/>
    <mergeCell ref="K69:L69"/>
    <mergeCell ref="A70:B70"/>
    <mergeCell ref="K70:L70"/>
    <mergeCell ref="A65:B65"/>
    <mergeCell ref="K65:L65"/>
    <mergeCell ref="U65:V65"/>
    <mergeCell ref="A66:B66"/>
    <mergeCell ref="K66:L66"/>
    <mergeCell ref="A67:B67"/>
    <mergeCell ref="K67:L67"/>
    <mergeCell ref="A63:B63"/>
    <mergeCell ref="K63:L63"/>
    <mergeCell ref="U63:V63"/>
    <mergeCell ref="A64:B64"/>
    <mergeCell ref="K64:L64"/>
    <mergeCell ref="U64:V64"/>
    <mergeCell ref="X59:AA59"/>
    <mergeCell ref="AB59:AB60"/>
    <mergeCell ref="AC59:AC60"/>
    <mergeCell ref="A61:B61"/>
    <mergeCell ref="K61:L61"/>
    <mergeCell ref="U61:V61"/>
    <mergeCell ref="AC61:AC65"/>
    <mergeCell ref="A62:B62"/>
    <mergeCell ref="K62:L62"/>
    <mergeCell ref="U62:V62"/>
    <mergeCell ref="M59:M60"/>
    <mergeCell ref="N59:Q59"/>
    <mergeCell ref="R59:R60"/>
    <mergeCell ref="S59:S60"/>
    <mergeCell ref="U59:V60"/>
    <mergeCell ref="W59:W60"/>
    <mergeCell ref="A57:B57"/>
    <mergeCell ref="K57:L57"/>
    <mergeCell ref="A58:B58"/>
    <mergeCell ref="A59:B60"/>
    <mergeCell ref="C59:C60"/>
    <mergeCell ref="D59:G59"/>
    <mergeCell ref="H59:H60"/>
    <mergeCell ref="I59:I60"/>
    <mergeCell ref="K59:L60"/>
    <mergeCell ref="A54:B54"/>
    <mergeCell ref="K54:L54"/>
    <mergeCell ref="A55:B55"/>
    <mergeCell ref="K55:L55"/>
    <mergeCell ref="A56:B56"/>
    <mergeCell ref="K56:L56"/>
    <mergeCell ref="A51:B51"/>
    <mergeCell ref="K51:L51"/>
    <mergeCell ref="U51:V51"/>
    <mergeCell ref="A52:B52"/>
    <mergeCell ref="K52:L52"/>
    <mergeCell ref="A53:B53"/>
    <mergeCell ref="K53:L53"/>
    <mergeCell ref="A49:B49"/>
    <mergeCell ref="K49:L49"/>
    <mergeCell ref="U49:V49"/>
    <mergeCell ref="A50:B50"/>
    <mergeCell ref="K50:L50"/>
    <mergeCell ref="U50:V50"/>
    <mergeCell ref="X45:AA45"/>
    <mergeCell ref="AB45:AB46"/>
    <mergeCell ref="AC45:AC46"/>
    <mergeCell ref="A47:B47"/>
    <mergeCell ref="K47:L47"/>
    <mergeCell ref="U47:V47"/>
    <mergeCell ref="AC47:AC51"/>
    <mergeCell ref="A48:B48"/>
    <mergeCell ref="K48:L48"/>
    <mergeCell ref="U48:V48"/>
    <mergeCell ref="M45:M46"/>
    <mergeCell ref="N45:Q45"/>
    <mergeCell ref="R45:R46"/>
    <mergeCell ref="S45:S46"/>
    <mergeCell ref="U45:V46"/>
    <mergeCell ref="W45:W46"/>
    <mergeCell ref="A43:B43"/>
    <mergeCell ref="K43:L43"/>
    <mergeCell ref="A44:B44"/>
    <mergeCell ref="A45:B46"/>
    <mergeCell ref="C45:C46"/>
    <mergeCell ref="D45:G45"/>
    <mergeCell ref="H45:H46"/>
    <mergeCell ref="I45:I46"/>
    <mergeCell ref="K45:L46"/>
    <mergeCell ref="A40:B40"/>
    <mergeCell ref="K40:L40"/>
    <mergeCell ref="A41:B41"/>
    <mergeCell ref="K41:L41"/>
    <mergeCell ref="A42:B42"/>
    <mergeCell ref="K42:L42"/>
    <mergeCell ref="A37:B37"/>
    <mergeCell ref="K37:L37"/>
    <mergeCell ref="U37:V37"/>
    <mergeCell ref="A38:B38"/>
    <mergeCell ref="K38:L38"/>
    <mergeCell ref="A39:B39"/>
    <mergeCell ref="K39:L39"/>
    <mergeCell ref="AB31:AB32"/>
    <mergeCell ref="AC31:AC32"/>
    <mergeCell ref="A33:B33"/>
    <mergeCell ref="K33:L33"/>
    <mergeCell ref="U33:V33"/>
    <mergeCell ref="AC33:AC37"/>
    <mergeCell ref="A34:B34"/>
    <mergeCell ref="K34:L34"/>
    <mergeCell ref="K31:L32"/>
    <mergeCell ref="M31:M32"/>
    <mergeCell ref="N31:Q31"/>
    <mergeCell ref="R31:R32"/>
    <mergeCell ref="S31:S32"/>
    <mergeCell ref="U31:V32"/>
    <mergeCell ref="U34:V34"/>
    <mergeCell ref="A35:B35"/>
    <mergeCell ref="K35:L35"/>
    <mergeCell ref="U35:V35"/>
    <mergeCell ref="A36:B36"/>
    <mergeCell ref="K36:L36"/>
    <mergeCell ref="U36:V36"/>
    <mergeCell ref="W31:W32"/>
    <mergeCell ref="X31:AA31"/>
    <mergeCell ref="A30:B30"/>
    <mergeCell ref="A31:B32"/>
    <mergeCell ref="C31:C32"/>
    <mergeCell ref="D31:G31"/>
    <mergeCell ref="H31:H32"/>
    <mergeCell ref="I31:I32"/>
    <mergeCell ref="A27:B27"/>
    <mergeCell ref="K27:L27"/>
    <mergeCell ref="A28:B28"/>
    <mergeCell ref="K28:L28"/>
    <mergeCell ref="A29:B29"/>
    <mergeCell ref="K29:L29"/>
    <mergeCell ref="A24:B24"/>
    <mergeCell ref="K24:L24"/>
    <mergeCell ref="A25:B25"/>
    <mergeCell ref="K25:L25"/>
    <mergeCell ref="A26:B26"/>
    <mergeCell ref="K26:L26"/>
    <mergeCell ref="A22:B22"/>
    <mergeCell ref="K22:L22"/>
    <mergeCell ref="U22:V22"/>
    <mergeCell ref="A23:B23"/>
    <mergeCell ref="K23:L23"/>
    <mergeCell ref="U23:V23"/>
    <mergeCell ref="A20:B20"/>
    <mergeCell ref="K20:L20"/>
    <mergeCell ref="U20:V20"/>
    <mergeCell ref="A21:B21"/>
    <mergeCell ref="K21:L21"/>
    <mergeCell ref="U21:V21"/>
    <mergeCell ref="X17:AA17"/>
    <mergeCell ref="AB17:AB18"/>
    <mergeCell ref="AC17:AC18"/>
    <mergeCell ref="A19:B19"/>
    <mergeCell ref="K19:L19"/>
    <mergeCell ref="U19:V19"/>
    <mergeCell ref="M17:M18"/>
    <mergeCell ref="N17:Q17"/>
    <mergeCell ref="R17:R18"/>
    <mergeCell ref="S17:S18"/>
    <mergeCell ref="U17:V18"/>
    <mergeCell ref="W17:W18"/>
    <mergeCell ref="A15:B15"/>
    <mergeCell ref="K15:L15"/>
    <mergeCell ref="A16:B16"/>
    <mergeCell ref="A17:B18"/>
    <mergeCell ref="C17:C18"/>
    <mergeCell ref="D17:G17"/>
    <mergeCell ref="H17:H18"/>
    <mergeCell ref="I17:I18"/>
    <mergeCell ref="K17:L18"/>
    <mergeCell ref="A12:B12"/>
    <mergeCell ref="K12:L12"/>
    <mergeCell ref="A13:B13"/>
    <mergeCell ref="K13:L13"/>
    <mergeCell ref="A14:B14"/>
    <mergeCell ref="K14:L14"/>
    <mergeCell ref="A9:B9"/>
    <mergeCell ref="K9:L9"/>
    <mergeCell ref="U9:V9"/>
    <mergeCell ref="A10:B10"/>
    <mergeCell ref="K10:L10"/>
    <mergeCell ref="A11:B11"/>
    <mergeCell ref="K11:L11"/>
    <mergeCell ref="X3:AA3"/>
    <mergeCell ref="AB3:AB4"/>
    <mergeCell ref="AC3:AC4"/>
    <mergeCell ref="A5:B5"/>
    <mergeCell ref="K5:L5"/>
    <mergeCell ref="U5:V5"/>
    <mergeCell ref="AC5:AC9"/>
    <mergeCell ref="A6:B6"/>
    <mergeCell ref="K6:L6"/>
    <mergeCell ref="U6:V6"/>
    <mergeCell ref="M3:M4"/>
    <mergeCell ref="N3:Q3"/>
    <mergeCell ref="R3:R4"/>
    <mergeCell ref="S3:S4"/>
    <mergeCell ref="U3:V4"/>
    <mergeCell ref="W3:W4"/>
    <mergeCell ref="A3:B4"/>
    <mergeCell ref="C3:C4"/>
    <mergeCell ref="D3:G3"/>
    <mergeCell ref="H3:H4"/>
    <mergeCell ref="I3:I4"/>
    <mergeCell ref="K3:L4"/>
    <mergeCell ref="A7:B7"/>
    <mergeCell ref="K7:L7"/>
    <mergeCell ref="U7:V7"/>
    <mergeCell ref="A8:B8"/>
    <mergeCell ref="K8:L8"/>
    <mergeCell ref="U8:V8"/>
  </mergeCells>
  <conditionalFormatting sqref="I5:I16 S5:S15">
    <cfRule type="containsText" dxfId="11" priority="12" stopIfTrue="1" operator="containsText" text="FAIL">
      <formula>NOT(ISERROR(SEARCH("FAIL",I5)))</formula>
    </cfRule>
  </conditionalFormatting>
  <conditionalFormatting sqref="I19:I30">
    <cfRule type="containsText" dxfId="10" priority="11" stopIfTrue="1" operator="containsText" text="FAIL">
      <formula>NOT(ISERROR(SEARCH("FAIL",I19)))</formula>
    </cfRule>
  </conditionalFormatting>
  <conditionalFormatting sqref="I33:I44">
    <cfRule type="containsText" dxfId="9" priority="10" stopIfTrue="1" operator="containsText" text="FAIL">
      <formula>NOT(ISERROR(SEARCH("FAIL",I33)))</formula>
    </cfRule>
  </conditionalFormatting>
  <conditionalFormatting sqref="I47:I58">
    <cfRule type="containsText" dxfId="8" priority="9" stopIfTrue="1" operator="containsText" text="FAIL">
      <formula>NOT(ISERROR(SEARCH("FAIL",I47)))</formula>
    </cfRule>
  </conditionalFormatting>
  <conditionalFormatting sqref="I61:I72">
    <cfRule type="containsText" dxfId="7" priority="8" stopIfTrue="1" operator="containsText" text="FAIL">
      <formula>NOT(ISERROR(SEARCH("FAIL",I61)))</formula>
    </cfRule>
  </conditionalFormatting>
  <conditionalFormatting sqref="AC5">
    <cfRule type="containsText" dxfId="6" priority="7" stopIfTrue="1" operator="containsText" text="FAIL">
      <formula>NOT(ISERROR(SEARCH("FAIL",AC5)))</formula>
    </cfRule>
  </conditionalFormatting>
  <conditionalFormatting sqref="AC19:AC23">
    <cfRule type="containsText" dxfId="5" priority="6" stopIfTrue="1" operator="containsText" text="FAIL">
      <formula>NOT(ISERROR(SEARCH("FAIL",AC19)))</formula>
    </cfRule>
  </conditionalFormatting>
  <conditionalFormatting sqref="AC61 AC47 AC33">
    <cfRule type="containsText" dxfId="4" priority="5" stopIfTrue="1" operator="containsText" text="FAIL">
      <formula>NOT(ISERROR(SEARCH("FAIL",AC33)))</formula>
    </cfRule>
  </conditionalFormatting>
  <conditionalFormatting sqref="S19:S29">
    <cfRule type="containsText" dxfId="3" priority="4" stopIfTrue="1" operator="containsText" text="FAIL">
      <formula>NOT(ISERROR(SEARCH("FAIL",S19)))</formula>
    </cfRule>
  </conditionalFormatting>
  <conditionalFormatting sqref="S33:S43">
    <cfRule type="containsText" dxfId="2" priority="3" stopIfTrue="1" operator="containsText" text="FAIL">
      <formula>NOT(ISERROR(SEARCH("FAIL",S33)))</formula>
    </cfRule>
  </conditionalFormatting>
  <conditionalFormatting sqref="S47:S57">
    <cfRule type="containsText" dxfId="1" priority="2" stopIfTrue="1" operator="containsText" text="FAIL">
      <formula>NOT(ISERROR(SEARCH("FAIL",S47)))</formula>
    </cfRule>
  </conditionalFormatting>
  <conditionalFormatting sqref="S61:S71">
    <cfRule type="containsText" dxfId="0" priority="1" stopIfTrue="1" operator="containsText" text="FAIL">
      <formula>NOT(ISERROR(SEARCH("FAIL",S61)))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T18" sqref="T18"/>
    </sheetView>
  </sheetViews>
  <sheetFormatPr defaultRowHeight="15" x14ac:dyDescent="0.25"/>
  <sheetData>
    <row r="1" spans="1:18" ht="15" customHeight="1" x14ac:dyDescent="0.25">
      <c r="A1" s="65" t="s">
        <v>0</v>
      </c>
      <c r="B1" s="65"/>
      <c r="C1" s="73" t="s">
        <v>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5"/>
    </row>
    <row r="2" spans="1:18" ht="28.5" x14ac:dyDescent="0.25">
      <c r="A2" s="65"/>
      <c r="B2" s="65"/>
      <c r="C2" s="2" t="s">
        <v>10</v>
      </c>
      <c r="D2" s="2" t="s">
        <v>11</v>
      </c>
      <c r="E2" s="62" t="s">
        <v>42</v>
      </c>
      <c r="F2" s="62" t="s">
        <v>43</v>
      </c>
      <c r="G2" s="62" t="s">
        <v>44</v>
      </c>
      <c r="H2" s="62" t="s">
        <v>45</v>
      </c>
      <c r="I2" s="62" t="s">
        <v>46</v>
      </c>
      <c r="J2" s="62" t="s">
        <v>47</v>
      </c>
      <c r="K2" s="62" t="s">
        <v>48</v>
      </c>
      <c r="L2" s="62" t="s">
        <v>49</v>
      </c>
      <c r="M2" s="62" t="s">
        <v>50</v>
      </c>
      <c r="N2" s="62" t="s">
        <v>51</v>
      </c>
      <c r="O2" s="62" t="s">
        <v>52</v>
      </c>
      <c r="P2" s="62" t="s">
        <v>53</v>
      </c>
      <c r="Q2" s="62" t="s">
        <v>54</v>
      </c>
      <c r="R2" s="62" t="s">
        <v>55</v>
      </c>
    </row>
    <row r="3" spans="1:18" x14ac:dyDescent="0.25">
      <c r="A3" s="65" t="s">
        <v>14</v>
      </c>
      <c r="B3" s="65"/>
      <c r="C3" s="6">
        <v>-702.7</v>
      </c>
      <c r="D3" s="2">
        <v>0.28999999999999998</v>
      </c>
      <c r="E3" s="23">
        <v>7.43</v>
      </c>
      <c r="F3" s="23">
        <v>20.71</v>
      </c>
      <c r="G3" s="23">
        <v>57.86</v>
      </c>
      <c r="H3" s="23">
        <v>1.96</v>
      </c>
      <c r="I3" s="23">
        <v>0.08</v>
      </c>
      <c r="J3" s="23"/>
      <c r="K3" s="23"/>
      <c r="L3" s="23"/>
      <c r="M3" s="23">
        <v>11.19</v>
      </c>
      <c r="N3" s="23">
        <v>0.77</v>
      </c>
      <c r="O3" s="23"/>
      <c r="P3" s="23"/>
      <c r="Q3" s="23"/>
      <c r="R3" s="23"/>
    </row>
    <row r="4" spans="1:18" x14ac:dyDescent="0.25">
      <c r="A4" s="65" t="s">
        <v>17</v>
      </c>
      <c r="B4" s="65"/>
      <c r="C4" s="6">
        <v>-533.20299999999997</v>
      </c>
      <c r="D4" s="2">
        <v>0.45</v>
      </c>
      <c r="E4" s="23">
        <v>7.44</v>
      </c>
      <c r="F4" s="23">
        <v>20.69</v>
      </c>
      <c r="G4" s="23">
        <v>58.03</v>
      </c>
      <c r="H4" s="23">
        <v>1.97</v>
      </c>
      <c r="I4" s="23">
        <v>0.08</v>
      </c>
      <c r="J4" s="23"/>
      <c r="K4" s="23"/>
      <c r="L4" s="23"/>
      <c r="M4" s="23">
        <v>11.22</v>
      </c>
      <c r="N4" s="62">
        <v>0.56999999999999995</v>
      </c>
      <c r="O4" s="23"/>
      <c r="P4" s="23"/>
      <c r="Q4" s="23"/>
      <c r="R4" s="23"/>
    </row>
    <row r="5" spans="1:18" x14ac:dyDescent="0.25">
      <c r="A5" s="65" t="s">
        <v>19</v>
      </c>
      <c r="B5" s="65"/>
      <c r="C5" s="6">
        <v>-91.792000000000002</v>
      </c>
      <c r="D5" s="2">
        <v>0.95</v>
      </c>
      <c r="E5" s="23">
        <v>9.44</v>
      </c>
      <c r="F5" s="23">
        <v>14.86</v>
      </c>
      <c r="G5" s="23">
        <v>73.5</v>
      </c>
      <c r="H5" s="23">
        <v>2.0699999999999998</v>
      </c>
      <c r="I5" s="23">
        <v>0.13</v>
      </c>
      <c r="J5" s="23">
        <v>0</v>
      </c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65" t="s">
        <v>22</v>
      </c>
      <c r="B6" s="65"/>
      <c r="C6" s="6">
        <v>-51.16</v>
      </c>
      <c r="D6" s="2">
        <v>0.98</v>
      </c>
      <c r="E6" s="23">
        <v>8.9700000000000006</v>
      </c>
      <c r="F6" s="23">
        <v>16.45</v>
      </c>
      <c r="G6" s="23">
        <v>71.36</v>
      </c>
      <c r="H6" s="23">
        <v>2.14</v>
      </c>
      <c r="I6" s="23">
        <v>0.13</v>
      </c>
      <c r="J6" s="23">
        <v>0.93</v>
      </c>
      <c r="K6" s="23"/>
      <c r="L6" s="23"/>
      <c r="M6" s="23">
        <v>0.01</v>
      </c>
      <c r="N6" s="23"/>
      <c r="O6" s="23"/>
      <c r="P6" s="23"/>
      <c r="Q6" s="23"/>
      <c r="R6" s="23"/>
    </row>
    <row r="7" spans="1:18" x14ac:dyDescent="0.25">
      <c r="A7" s="65" t="s">
        <v>21</v>
      </c>
      <c r="B7" s="65"/>
      <c r="C7" s="6">
        <v>-1</v>
      </c>
      <c r="D7" s="2">
        <v>1.02</v>
      </c>
      <c r="E7" s="23">
        <v>8.39</v>
      </c>
      <c r="F7" s="23">
        <v>18.399999999999999</v>
      </c>
      <c r="G7" s="23">
        <v>68.59</v>
      </c>
      <c r="H7" s="23">
        <v>2.19</v>
      </c>
      <c r="I7" s="23">
        <v>0.14000000000000001</v>
      </c>
      <c r="J7" s="23">
        <v>2.2599999999999998</v>
      </c>
      <c r="K7" s="23"/>
      <c r="L7" s="23"/>
      <c r="M7" s="23">
        <v>0.03</v>
      </c>
      <c r="N7" s="23"/>
      <c r="O7" s="23"/>
      <c r="P7" s="23"/>
      <c r="Q7" s="23"/>
      <c r="R7" s="23"/>
    </row>
    <row r="8" spans="1:18" x14ac:dyDescent="0.25">
      <c r="A8" s="65" t="s">
        <v>25</v>
      </c>
      <c r="B8" s="65"/>
      <c r="C8" s="6">
        <v>20.760999999999999</v>
      </c>
      <c r="D8" s="2">
        <v>1.05</v>
      </c>
      <c r="E8" s="23">
        <v>9.77</v>
      </c>
      <c r="F8" s="23">
        <v>16.34</v>
      </c>
      <c r="G8" s="23">
        <v>72.13</v>
      </c>
      <c r="H8" s="23">
        <v>1.69</v>
      </c>
      <c r="I8" s="23">
        <v>7.0000000000000007E-2</v>
      </c>
      <c r="J8" s="23">
        <v>0</v>
      </c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65" t="s">
        <v>26</v>
      </c>
      <c r="B9" s="65"/>
      <c r="C9" s="6">
        <v>71.558999999999997</v>
      </c>
      <c r="D9" s="2">
        <v>1.0900000000000001</v>
      </c>
      <c r="E9" s="23">
        <v>8.4</v>
      </c>
      <c r="F9" s="23">
        <v>18.5</v>
      </c>
      <c r="G9" s="23">
        <v>68.41</v>
      </c>
      <c r="H9" s="23">
        <v>2.25</v>
      </c>
      <c r="I9" s="23">
        <v>0.14000000000000001</v>
      </c>
      <c r="J9" s="23">
        <v>2.2599999999999998</v>
      </c>
      <c r="K9" s="23"/>
      <c r="L9" s="23"/>
      <c r="M9" s="23">
        <v>0.03</v>
      </c>
      <c r="N9" s="23"/>
      <c r="O9" s="23"/>
      <c r="P9" s="23"/>
      <c r="Q9" s="23"/>
      <c r="R9" s="23"/>
    </row>
    <row r="10" spans="1:18" x14ac:dyDescent="0.25">
      <c r="A10" s="65" t="s">
        <v>27</v>
      </c>
      <c r="B10" s="65"/>
      <c r="C10" s="6">
        <v>228.25</v>
      </c>
      <c r="D10" s="2">
        <v>1.1399999999999999</v>
      </c>
      <c r="E10" s="23">
        <v>6.97</v>
      </c>
      <c r="F10" s="23">
        <v>19.71</v>
      </c>
      <c r="G10" s="23">
        <v>56.73</v>
      </c>
      <c r="H10" s="23">
        <v>1.79</v>
      </c>
      <c r="I10" s="23">
        <v>0.11</v>
      </c>
      <c r="J10" s="23">
        <v>6.38</v>
      </c>
      <c r="K10" s="23">
        <v>8.3000000000000007</v>
      </c>
      <c r="L10" s="23"/>
      <c r="M10" s="23"/>
      <c r="N10" s="23"/>
      <c r="O10" s="23"/>
      <c r="P10" s="23"/>
      <c r="Q10" s="23"/>
      <c r="R10" s="23"/>
    </row>
    <row r="11" spans="1:18" x14ac:dyDescent="0.25">
      <c r="A11" s="65" t="s">
        <v>16</v>
      </c>
      <c r="B11" s="65"/>
      <c r="C11" s="6">
        <v>237.9616</v>
      </c>
      <c r="D11" s="2">
        <v>1.1499999999999999</v>
      </c>
      <c r="E11" s="23">
        <v>6.94</v>
      </c>
      <c r="F11" s="23">
        <v>19.82</v>
      </c>
      <c r="G11" s="23">
        <v>56.62</v>
      </c>
      <c r="H11" s="23">
        <v>1.81</v>
      </c>
      <c r="I11" s="23">
        <v>0.11</v>
      </c>
      <c r="J11" s="23">
        <v>6.39</v>
      </c>
      <c r="K11" s="23">
        <v>8.31</v>
      </c>
      <c r="L11" s="23"/>
      <c r="M11" s="23"/>
      <c r="N11" s="23"/>
      <c r="O11" s="23"/>
      <c r="P11" s="23"/>
      <c r="Q11" s="23"/>
      <c r="R11" s="23"/>
    </row>
    <row r="12" spans="1:18" x14ac:dyDescent="0.25">
      <c r="A12" s="65" t="s">
        <v>30</v>
      </c>
      <c r="B12" s="65"/>
      <c r="C12" s="6">
        <v>481.64400000000001</v>
      </c>
      <c r="D12" s="2">
        <v>1.33</v>
      </c>
      <c r="E12" s="23">
        <v>5.6</v>
      </c>
      <c r="F12" s="23">
        <v>28.47</v>
      </c>
      <c r="G12" s="23">
        <v>51.77</v>
      </c>
      <c r="H12" s="23">
        <v>2.12</v>
      </c>
      <c r="I12" s="23">
        <v>0.09</v>
      </c>
      <c r="J12" s="23">
        <v>11.77</v>
      </c>
      <c r="K12" s="23"/>
      <c r="L12" s="23"/>
      <c r="M12" s="23">
        <v>0.18</v>
      </c>
      <c r="N12" s="23"/>
      <c r="O12" s="23"/>
      <c r="P12" s="23"/>
      <c r="Q12" s="23"/>
      <c r="R12" s="23"/>
    </row>
    <row r="13" spans="1:18" x14ac:dyDescent="0.25">
      <c r="A13" s="65" t="s">
        <v>32</v>
      </c>
      <c r="B13" s="65"/>
      <c r="C13" s="6">
        <v>898.34</v>
      </c>
      <c r="D13" s="2">
        <v>1.56</v>
      </c>
      <c r="E13" s="23">
        <v>4.03</v>
      </c>
      <c r="F13" s="23">
        <v>34.130000000000003</v>
      </c>
      <c r="G13" s="23">
        <v>40.340000000000003</v>
      </c>
      <c r="H13" s="23">
        <v>1.52</v>
      </c>
      <c r="I13" s="23">
        <v>7.0000000000000007E-2</v>
      </c>
      <c r="J13" s="23">
        <v>19.62</v>
      </c>
      <c r="K13" s="23"/>
      <c r="L13" s="23"/>
      <c r="M13" s="23">
        <v>0.3</v>
      </c>
      <c r="N13" s="23"/>
      <c r="O13" s="23"/>
      <c r="P13" s="23"/>
      <c r="Q13" s="23"/>
      <c r="R13" s="23"/>
    </row>
    <row r="14" spans="1:18" x14ac:dyDescent="0.25">
      <c r="A14" s="65" t="s">
        <v>34</v>
      </c>
      <c r="B14" s="65"/>
      <c r="C14" s="6">
        <v>1371.4369999999999</v>
      </c>
      <c r="D14" s="2">
        <v>1.82</v>
      </c>
      <c r="E14" s="23">
        <v>2.66</v>
      </c>
      <c r="F14" s="23">
        <v>39.08</v>
      </c>
      <c r="G14" s="23">
        <v>30.34</v>
      </c>
      <c r="H14" s="23">
        <v>0.99</v>
      </c>
      <c r="I14" s="23">
        <v>0.04</v>
      </c>
      <c r="J14" s="23">
        <v>26.48</v>
      </c>
      <c r="K14" s="23"/>
      <c r="L14" s="23"/>
      <c r="M14" s="23">
        <v>0.41</v>
      </c>
      <c r="N14" s="23"/>
      <c r="O14" s="23"/>
      <c r="P14" s="23"/>
      <c r="Q14" s="23"/>
      <c r="R14" s="23"/>
    </row>
    <row r="19" spans="1:3" x14ac:dyDescent="0.25">
      <c r="A19" s="63"/>
      <c r="B19" s="63" t="s">
        <v>91</v>
      </c>
      <c r="C19" s="63" t="s">
        <v>92</v>
      </c>
    </row>
    <row r="20" spans="1:3" x14ac:dyDescent="0.25">
      <c r="A20" s="63" t="s">
        <v>42</v>
      </c>
      <c r="B20" s="23">
        <v>1.008</v>
      </c>
      <c r="C20" s="23">
        <v>1</v>
      </c>
    </row>
    <row r="21" spans="1:3" x14ac:dyDescent="0.25">
      <c r="A21" s="63" t="s">
        <v>43</v>
      </c>
      <c r="B21" s="23">
        <v>15.999000000000001</v>
      </c>
      <c r="C21" s="23">
        <v>8</v>
      </c>
    </row>
    <row r="22" spans="1:3" x14ac:dyDescent="0.25">
      <c r="A22" s="63" t="s">
        <v>44</v>
      </c>
      <c r="B22" s="23">
        <v>12.010999999999999</v>
      </c>
      <c r="C22" s="23">
        <v>6</v>
      </c>
    </row>
    <row r="23" spans="1:3" x14ac:dyDescent="0.25">
      <c r="A23" s="63" t="s">
        <v>45</v>
      </c>
      <c r="B23" s="23">
        <v>14.007</v>
      </c>
      <c r="C23" s="23">
        <v>7</v>
      </c>
    </row>
    <row r="24" spans="1:3" x14ac:dyDescent="0.25">
      <c r="A24" s="63" t="s">
        <v>46</v>
      </c>
      <c r="B24" s="23">
        <v>35.450000000000003</v>
      </c>
      <c r="C24" s="23">
        <v>17</v>
      </c>
    </row>
    <row r="25" spans="1:3" x14ac:dyDescent="0.25">
      <c r="A25" s="63" t="s">
        <v>47</v>
      </c>
      <c r="B25" s="23">
        <v>40.078000000000003</v>
      </c>
      <c r="C25" s="23">
        <v>20</v>
      </c>
    </row>
    <row r="26" spans="1:3" x14ac:dyDescent="0.25">
      <c r="A26" s="63" t="s">
        <v>48</v>
      </c>
      <c r="B26" s="23">
        <v>30.973800000000001</v>
      </c>
      <c r="C26" s="23">
        <v>15</v>
      </c>
    </row>
    <row r="27" spans="1:3" x14ac:dyDescent="0.25">
      <c r="A27" s="63" t="s">
        <v>49</v>
      </c>
      <c r="B27" s="23">
        <v>22.99</v>
      </c>
      <c r="C27" s="23">
        <v>11</v>
      </c>
    </row>
    <row r="28" spans="1:3" x14ac:dyDescent="0.25">
      <c r="A28" s="63" t="s">
        <v>50</v>
      </c>
      <c r="B28" s="23">
        <v>24.305</v>
      </c>
      <c r="C28" s="23">
        <v>12</v>
      </c>
    </row>
    <row r="29" spans="1:3" x14ac:dyDescent="0.25">
      <c r="A29" s="63" t="s">
        <v>51</v>
      </c>
      <c r="B29" s="23">
        <v>28.085000000000001</v>
      </c>
      <c r="C29" s="23">
        <v>14</v>
      </c>
    </row>
    <row r="30" spans="1:3" x14ac:dyDescent="0.25">
      <c r="A30" s="63" t="s">
        <v>52</v>
      </c>
      <c r="B30" s="23">
        <v>10.81</v>
      </c>
      <c r="C30" s="23">
        <v>5</v>
      </c>
    </row>
    <row r="31" spans="1:3" x14ac:dyDescent="0.25">
      <c r="A31" s="63" t="s">
        <v>53</v>
      </c>
      <c r="B31" s="23">
        <v>32.06</v>
      </c>
      <c r="C31" s="23">
        <v>6</v>
      </c>
    </row>
    <row r="32" spans="1:3" x14ac:dyDescent="0.25">
      <c r="A32" s="63" t="s">
        <v>54</v>
      </c>
      <c r="B32" s="23">
        <v>26.981999999999999</v>
      </c>
      <c r="C32" s="23">
        <v>13</v>
      </c>
    </row>
    <row r="33" spans="1:3" x14ac:dyDescent="0.25">
      <c r="A33" s="63" t="s">
        <v>55</v>
      </c>
      <c r="B33" s="23">
        <v>126.904</v>
      </c>
      <c r="C33" s="23">
        <v>53</v>
      </c>
    </row>
  </sheetData>
  <mergeCells count="14">
    <mergeCell ref="A10:B10"/>
    <mergeCell ref="A11:B11"/>
    <mergeCell ref="A12:B12"/>
    <mergeCell ref="A13:B13"/>
    <mergeCell ref="A14:B14"/>
    <mergeCell ref="A8:B8"/>
    <mergeCell ref="A9:B9"/>
    <mergeCell ref="A1:B2"/>
    <mergeCell ref="A3:B3"/>
    <mergeCell ref="C1:R1"/>
    <mergeCell ref="A4:B4"/>
    <mergeCell ref="A5:B5"/>
    <mergeCell ref="A6:B6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G18"/>
  <sheetViews>
    <sheetView workbookViewId="0">
      <selection activeCell="X24" sqref="X24"/>
    </sheetView>
  </sheetViews>
  <sheetFormatPr defaultRowHeight="15" x14ac:dyDescent="0.25"/>
  <sheetData>
    <row r="9" spans="7:7" x14ac:dyDescent="0.25">
      <c r="G9" t="s">
        <v>93</v>
      </c>
    </row>
    <row r="11" spans="7:7" x14ac:dyDescent="0.25">
      <c r="G11">
        <v>100</v>
      </c>
    </row>
    <row r="12" spans="7:7" x14ac:dyDescent="0.25">
      <c r="G12">
        <f>138*100</f>
        <v>13800</v>
      </c>
    </row>
    <row r="14" spans="7:7" x14ac:dyDescent="0.25">
      <c r="G14">
        <f>100/2</f>
        <v>50</v>
      </c>
    </row>
    <row r="16" spans="7:7" x14ac:dyDescent="0.25">
      <c r="G16">
        <f>50*138</f>
        <v>6900</v>
      </c>
    </row>
    <row r="18" spans="7:7" x14ac:dyDescent="0.25">
      <c r="G18">
        <f>140*50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Sensitometry Meas.</vt:lpstr>
      <vt:lpstr>Gammex Phant. 120KvP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2017-06-12T21:32:57Z</dcterms:modified>
</cp:coreProperties>
</file>