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hf78\Downloads\"/>
    </mc:Choice>
  </mc:AlternateContent>
  <xr:revisionPtr revIDLastSave="0" documentId="13_ncr:1_{82505388-42D9-4108-B54C-0D497C87D3B6}" xr6:coauthVersionLast="47" xr6:coauthVersionMax="47" xr10:uidLastSave="{00000000-0000-0000-0000-000000000000}"/>
  <bookViews>
    <workbookView xWindow="-110" yWindow="-110" windowWidth="38620" windowHeight="21220" tabRatio="736" xr2:uid="{00000000-000D-0000-FFFF-FFFF00000000}"/>
  </bookViews>
  <sheets>
    <sheet name="Solar Farm Financials" sheetId="31" r:id="rId1"/>
    <sheet name="Cost Breakdown" sheetId="32" r:id="rId2"/>
    <sheet name="12) Questions" sheetId="33" r:id="rId3"/>
  </sheets>
  <externalReferences>
    <externalReference r:id="rId4"/>
  </externalReferences>
  <definedNames>
    <definedName name="CapAC">'[1]cleaned data'!$L$2:$L$4995</definedName>
    <definedName name="CapDC">'[1]cleaned data'!$K$2:$K$4995</definedName>
    <definedName name="CDivision">'[1]cleaned data'!$AV$2:$AV$4995</definedName>
    <definedName name="COD">'[1]cleaned data'!$O$2:$O$4995</definedName>
    <definedName name="COD_Date">'[1]cleaned data'!$N$2:$N$4995</definedName>
    <definedName name="ColID">#REF!</definedName>
    <definedName name="Comparison">#REF!</definedName>
    <definedName name="CPIDATE">#REF!</definedName>
    <definedName name="CPIDATE_2">#REF!</definedName>
    <definedName name="CPIDATE_3">#REF!</definedName>
    <definedName name="CPV">'[1]data summary'!$AC$3</definedName>
    <definedName name="CRegion">'[1]cleaned data'!$AU$2:$AU$4995</definedName>
    <definedName name="CSI">'[1]data summary'!$AA$3</definedName>
    <definedName name="CSP">'[1]data summary'!$AB$2</definedName>
    <definedName name="DCAC">'[1]cleaned data'!$M$2:$M$4995</definedName>
    <definedName name="FT">'[1]data summary'!$AA$4</definedName>
    <definedName name="GHI">'[1]cleaned data'!$H$2:$H$4995</definedName>
    <definedName name="Hybrid">'[1]data summary'!$AF$3</definedName>
    <definedName name="infladjfactor">#REF!</definedName>
    <definedName name="infladjfactor_1">#REF!</definedName>
    <definedName name="infladjfactor_3">#REF!</definedName>
    <definedName name="InverterMan">#REF!</definedName>
    <definedName name="Large_PV_CapacityMWac">#REF!</definedName>
    <definedName name="Large_PV_CapacityMWdc">#REF!</definedName>
    <definedName name="Large_PV_CapacityMWunknown">#REF!</definedName>
    <definedName name="Large_PV_DB">#REF!</definedName>
    <definedName name="Large_PV_Developer">#REF!</definedName>
    <definedName name="Large_PV_InstalledPrice">#REF!</definedName>
    <definedName name="Large_PV_ModuleMan">#REF!</definedName>
    <definedName name="Large_PV_Offtaker">#REF!</definedName>
    <definedName name="Large_PV_Owner">#REF!</definedName>
    <definedName name="Large_PV_TrackingType">#REF!</definedName>
    <definedName name="LBNLRegion">'[1]cleaned data'!$AW$2:$AW$4995</definedName>
    <definedName name="ModuleCapacity">#REF!</definedName>
    <definedName name="ModuleNumber">#REF!</definedName>
    <definedName name="ModuleType">#REF!</definedName>
    <definedName name="MountType">#REF!</definedName>
    <definedName name="NCF">'[1]cleaned data'!$AG$2:$AG$4995</definedName>
    <definedName name="NetMetered">#REF!</definedName>
    <definedName name="NREL">#REF!</definedName>
    <definedName name="NREL_CapacityMWac">#REF!</definedName>
    <definedName name="NREL_CapacityMWdc">#REF!</definedName>
    <definedName name="NREL_InstalledPrice">#REF!</definedName>
    <definedName name="NREL_ModuleMan">#REF!</definedName>
    <definedName name="NREL_Offtaker">#REF!</definedName>
    <definedName name="NREL_TrackingType">#REF!</definedName>
    <definedName name="NREL_Year">#REF!</definedName>
    <definedName name="OfftakerType">#REF!</definedName>
    <definedName name="OwnerType">#REF!</definedName>
    <definedName name="PPA">'[1]cleaned data'!$AA$2:$AA$4995</definedName>
    <definedName name="PPA_Date">'[1]cleaned data'!$AB$2:$AB$4995</definedName>
    <definedName name="price">'[1]cleaned data'!$AC$2:$AC$4995</definedName>
    <definedName name="priceAC">'[1]cleaned data'!$AE$2:$AE$4995</definedName>
    <definedName name="priceDC">'[1]cleaned data'!$AD$2:$AD$4995</definedName>
    <definedName name="priceTrust">'[1]cleaned data'!$AF$2:$AF$4995</definedName>
    <definedName name="PV">'[1]data summary'!$AA$2</definedName>
    <definedName name="SEIA">#REF!</definedName>
    <definedName name="SEIA_CapacityMWac">#REF!</definedName>
    <definedName name="SEIA_CapacityMWdc">#REF!</definedName>
    <definedName name="SEIA_CapacityMWunknown">#REF!</definedName>
    <definedName name="SEIA_Developer">#REF!</definedName>
    <definedName name="SEIA_ModuleMan">#REF!</definedName>
    <definedName name="SEIA_Offtaker">#REF!</definedName>
    <definedName name="SEIA_Owner">#REF!</definedName>
    <definedName name="SEIA_Year">#REF!</definedName>
    <definedName name="State">'[1]cleaned data'!$C$2:$C$4995</definedName>
    <definedName name="storage" comment="if storage with project then 1, otherwise 0">'[1]cleaned data'!$AL$2:$AL$5000</definedName>
    <definedName name="storage_MW" comment="capacity in MW terms of battery (not always clear whether AC or DC)">'[1]cleaned data'!$AM$2:$AM$5000</definedName>
    <definedName name="storage_MWh" comment="storage energy amount in MWh">'[1]cleaned data'!$AN$2:$AN$5000</definedName>
    <definedName name="storage_price">'[1]cleaned data'!$AO$2:$AO$5000</definedName>
    <definedName name="Tech_broad">'[1]cleaned data'!$I$2:$I$4995</definedName>
    <definedName name="Tech_spec">'[1]cleaned data'!$J$2:$J$4995</definedName>
    <definedName name="TF">'[1]data summary'!$AB$3</definedName>
    <definedName name="TR">'[1]data summary'!$AB$4</definedName>
    <definedName name="Tracking_broad">'[1]cleaned data'!$Q$2:$Q$4995</definedName>
    <definedName name="Trough">'[1]data summary'!$AD$3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32" l="1"/>
  <c r="B15" i="32" s="1"/>
  <c r="B3" i="32"/>
  <c r="B6" i="32" s="1"/>
  <c r="E52" i="31"/>
  <c r="B36" i="31"/>
  <c r="H18" i="31" s="1"/>
  <c r="B28" i="31"/>
  <c r="B40" i="31" s="1"/>
  <c r="B37" i="31"/>
  <c r="B35" i="31" l="1"/>
  <c r="I18" i="31" l="1"/>
  <c r="F52" i="31"/>
  <c r="A28" i="31"/>
  <c r="B30" i="31" l="1"/>
  <c r="B29" i="31"/>
  <c r="L17" i="31"/>
  <c r="M17" i="31" s="1"/>
  <c r="B32" i="31" l="1"/>
  <c r="H19" i="31"/>
  <c r="G18" i="31"/>
  <c r="E17" i="31" l="1"/>
  <c r="G48" i="31"/>
  <c r="E38" i="31"/>
  <c r="E39" i="31"/>
  <c r="E40" i="31"/>
  <c r="E41" i="31"/>
  <c r="E42" i="31"/>
  <c r="E43" i="31"/>
  <c r="E44" i="31"/>
  <c r="E45" i="31"/>
  <c r="E46" i="31"/>
  <c r="E47" i="31"/>
  <c r="E28" i="31"/>
  <c r="E33" i="31"/>
  <c r="E34" i="31"/>
  <c r="E35" i="31"/>
  <c r="E36" i="31"/>
  <c r="E37" i="31"/>
  <c r="I38" i="31"/>
  <c r="I45" i="31" l="1"/>
  <c r="I41" i="31"/>
  <c r="I40" i="31"/>
  <c r="I39" i="31"/>
  <c r="I47" i="31"/>
  <c r="I46" i="31"/>
  <c r="I42" i="31"/>
  <c r="I44" i="31"/>
  <c r="I43" i="31"/>
  <c r="E31" i="31"/>
  <c r="E30" i="31"/>
  <c r="E29" i="31"/>
  <c r="E32" i="31"/>
  <c r="H20" i="31" l="1"/>
  <c r="I31" i="31"/>
  <c r="I26" i="31"/>
  <c r="I21" i="31"/>
  <c r="I24" i="31"/>
  <c r="I27" i="31"/>
  <c r="I30" i="31"/>
  <c r="I33" i="31"/>
  <c r="I36" i="31"/>
  <c r="I22" i="31"/>
  <c r="I34" i="31"/>
  <c r="I20" i="31"/>
  <c r="I32" i="31"/>
  <c r="I19" i="31"/>
  <c r="L19" i="31" s="1"/>
  <c r="I25" i="31"/>
  <c r="I28" i="31"/>
  <c r="I37" i="31"/>
  <c r="I35" i="31"/>
  <c r="I23" i="31"/>
  <c r="I29" i="31"/>
  <c r="F18" i="31"/>
  <c r="L18" i="31" l="1"/>
  <c r="M18" i="31" s="1"/>
  <c r="F48" i="31"/>
  <c r="H21" i="31"/>
  <c r="L20" i="31"/>
  <c r="I48" i="31"/>
  <c r="B31" i="31"/>
  <c r="E25" i="31"/>
  <c r="E18" i="31"/>
  <c r="J18" i="31" s="1"/>
  <c r="E19" i="31"/>
  <c r="J19" i="31" s="1"/>
  <c r="E24" i="31"/>
  <c r="E22" i="31"/>
  <c r="E27" i="31"/>
  <c r="E20" i="31"/>
  <c r="J20" i="31" s="1"/>
  <c r="E23" i="31"/>
  <c r="E26" i="31"/>
  <c r="E21" i="31"/>
  <c r="J21" i="31" l="1"/>
  <c r="H22" i="31"/>
  <c r="J22" i="31" s="1"/>
  <c r="L21" i="31"/>
  <c r="E48" i="31"/>
  <c r="J17" i="31"/>
  <c r="H23" i="31" l="1"/>
  <c r="L22" i="31"/>
  <c r="K17" i="31"/>
  <c r="K18" i="31" s="1"/>
  <c r="H24" i="31" l="1"/>
  <c r="L23" i="31"/>
  <c r="J23" i="31"/>
  <c r="K19" i="31" l="1"/>
  <c r="K20" i="31" s="1"/>
  <c r="H25" i="31"/>
  <c r="L24" i="31"/>
  <c r="J24" i="31"/>
  <c r="H26" i="31" l="1"/>
  <c r="L25" i="31"/>
  <c r="J25" i="31"/>
  <c r="K21" i="31"/>
  <c r="M19" i="31"/>
  <c r="H27" i="31" l="1"/>
  <c r="L26" i="31"/>
  <c r="J26" i="31"/>
  <c r="M20" i="31"/>
  <c r="K22" i="31"/>
  <c r="H28" i="31" l="1"/>
  <c r="L27" i="31"/>
  <c r="J27" i="31"/>
  <c r="K23" i="31"/>
  <c r="M21" i="31"/>
  <c r="H29" i="31" l="1"/>
  <c r="L28" i="31"/>
  <c r="J28" i="31"/>
  <c r="M22" i="31"/>
  <c r="M23" i="31" s="1"/>
  <c r="K24" i="31"/>
  <c r="H30" i="31" l="1"/>
  <c r="L29" i="31"/>
  <c r="J29" i="31"/>
  <c r="K25" i="31"/>
  <c r="M24" i="31"/>
  <c r="H31" i="31" l="1"/>
  <c r="L30" i="31"/>
  <c r="J30" i="31"/>
  <c r="K26" i="31"/>
  <c r="M25" i="31"/>
  <c r="M26" i="31" s="1"/>
  <c r="H32" i="31" l="1"/>
  <c r="L31" i="31"/>
  <c r="J31" i="31"/>
  <c r="K27" i="31"/>
  <c r="H33" i="31" l="1"/>
  <c r="L32" i="31"/>
  <c r="J32" i="31"/>
  <c r="K28" i="31"/>
  <c r="M27" i="31"/>
  <c r="H34" i="31" l="1"/>
  <c r="L33" i="31"/>
  <c r="J33" i="31"/>
  <c r="K29" i="31"/>
  <c r="M28" i="31"/>
  <c r="H35" i="31" l="1"/>
  <c r="L34" i="31"/>
  <c r="J34" i="31"/>
  <c r="K30" i="31"/>
  <c r="M29" i="31"/>
  <c r="H36" i="31" l="1"/>
  <c r="L35" i="31"/>
  <c r="J35" i="31"/>
  <c r="K31" i="31"/>
  <c r="M30" i="31"/>
  <c r="H37" i="31" l="1"/>
  <c r="L36" i="31"/>
  <c r="J36" i="31"/>
  <c r="K32" i="31"/>
  <c r="M31" i="31"/>
  <c r="H38" i="31" l="1"/>
  <c r="L37" i="31"/>
  <c r="J37" i="31"/>
  <c r="K33" i="31"/>
  <c r="M32" i="31"/>
  <c r="H39" i="31" l="1"/>
  <c r="L38" i="31"/>
  <c r="J38" i="31"/>
  <c r="K34" i="31"/>
  <c r="M33" i="31"/>
  <c r="H40" i="31" l="1"/>
  <c r="L39" i="31"/>
  <c r="J39" i="31"/>
  <c r="K35" i="31"/>
  <c r="M34" i="31"/>
  <c r="H41" i="31" l="1"/>
  <c r="L40" i="31"/>
  <c r="J40" i="31"/>
  <c r="K36" i="31"/>
  <c r="M35" i="31"/>
  <c r="H42" i="31" l="1"/>
  <c r="L41" i="31"/>
  <c r="J41" i="31"/>
  <c r="K37" i="31"/>
  <c r="M36" i="31"/>
  <c r="H43" i="31" l="1"/>
  <c r="L42" i="31"/>
  <c r="J42" i="31"/>
  <c r="K38" i="31"/>
  <c r="M37" i="31"/>
  <c r="H44" i="31" l="1"/>
  <c r="L43" i="31"/>
  <c r="J43" i="31"/>
  <c r="K39" i="31"/>
  <c r="M38" i="31"/>
  <c r="H45" i="31" l="1"/>
  <c r="L44" i="31"/>
  <c r="J44" i="31"/>
  <c r="K40" i="31"/>
  <c r="M39" i="31"/>
  <c r="H46" i="31" l="1"/>
  <c r="L45" i="31"/>
  <c r="J45" i="31"/>
  <c r="K41" i="31"/>
  <c r="M40" i="31"/>
  <c r="H47" i="31" l="1"/>
  <c r="L46" i="31"/>
  <c r="J46" i="31"/>
  <c r="K42" i="31"/>
  <c r="M41" i="31"/>
  <c r="J47" i="31" l="1"/>
  <c r="L47" i="31"/>
  <c r="L48" i="31" s="1"/>
  <c r="H48" i="31"/>
  <c r="K43" i="31"/>
  <c r="M42" i="31"/>
  <c r="J48" i="31" l="1"/>
  <c r="K44" i="31"/>
  <c r="M43" i="31"/>
  <c r="K45" i="31" l="1"/>
  <c r="M44" i="31"/>
  <c r="K46" i="31" l="1"/>
  <c r="M45" i="31"/>
  <c r="K47" i="31" l="1"/>
  <c r="M46" i="31"/>
  <c r="M47" i="31" s="1"/>
</calcChain>
</file>

<file path=xl/sharedStrings.xml><?xml version="1.0" encoding="utf-8"?>
<sst xmlns="http://schemas.openxmlformats.org/spreadsheetml/2006/main" count="99" uniqueCount="67">
  <si>
    <r>
      <rPr>
        <b/>
        <u/>
        <sz val="22"/>
        <color theme="1"/>
        <rFont val="Times New Roman"/>
        <family val="1"/>
      </rPr>
      <t>Instructions</t>
    </r>
    <r>
      <rPr>
        <sz val="22"/>
        <color theme="1"/>
        <rFont val="Times New Roman"/>
        <family val="1"/>
      </rPr>
      <t xml:space="preserve">: Input </t>
    </r>
    <r>
      <rPr>
        <b/>
        <sz val="22"/>
        <color rgb="FF0070C0"/>
        <rFont val="Times New Roman"/>
        <family val="1"/>
      </rPr>
      <t>Bold Blue</t>
    </r>
    <r>
      <rPr>
        <sz val="22"/>
        <color theme="1"/>
        <rFont val="Times New Roman"/>
        <family val="1"/>
      </rPr>
      <t xml:space="preserve"> Values on both the '</t>
    </r>
    <r>
      <rPr>
        <i/>
        <sz val="22"/>
        <color theme="1"/>
        <rFont val="Times New Roman"/>
        <family val="1"/>
      </rPr>
      <t>Solar Farm Financials</t>
    </r>
    <r>
      <rPr>
        <sz val="22"/>
        <color theme="1"/>
        <rFont val="Times New Roman"/>
        <family val="1"/>
      </rPr>
      <t>' and '</t>
    </r>
    <r>
      <rPr>
        <i/>
        <sz val="22"/>
        <color theme="1"/>
        <rFont val="Times New Roman"/>
        <family val="1"/>
      </rPr>
      <t>Cost Breakdown</t>
    </r>
    <r>
      <rPr>
        <sz val="22"/>
        <color theme="1"/>
        <rFont val="Times New Roman"/>
        <family val="1"/>
      </rPr>
      <t>' worksheets</t>
    </r>
  </si>
  <si>
    <t xml:space="preserve">   1) Find the cost of electricity from your electric bill. It is equal to the electricity generation price plus the distribution price. You can also divide your total bill by the energy consumed ($/kWh). If you don't have a bill you can use $0.12/kWh.</t>
  </si>
  <si>
    <r>
      <t xml:space="preserve">   2) Determine your annual electricity production using PVWatts: </t>
    </r>
    <r>
      <rPr>
        <b/>
        <i/>
        <u/>
        <sz val="16"/>
        <color theme="1"/>
        <rFont val="Times New Roman"/>
        <family val="1"/>
      </rPr>
      <t>https://pvwatts.nrel.gov/</t>
    </r>
  </si>
  <si>
    <t xml:space="preserve">   3) Determine your solar array size based on the available roof area, the dimensions of the solar panel and the power rating of the solar panel</t>
  </si>
  <si>
    <r>
      <t xml:space="preserve">   4) Use the '</t>
    </r>
    <r>
      <rPr>
        <b/>
        <i/>
        <sz val="16"/>
        <color theme="1"/>
        <rFont val="Times New Roman"/>
        <family val="1"/>
      </rPr>
      <t>Cost Breakdown</t>
    </r>
    <r>
      <rPr>
        <sz val="16"/>
        <color theme="1"/>
        <rFont val="Times New Roman"/>
        <family val="1"/>
      </rPr>
      <t>' worksheet to calculate the Total Cost of the system. Next divide that Total Cost by the '3) Solar Array Size (W)' to calculate the '4) Solar Array Cost ($/W)'</t>
    </r>
  </si>
  <si>
    <t xml:space="preserve">   5) Electricity prices increase about 1-3% annually (you can assume 2%)</t>
  </si>
  <si>
    <t xml:space="preserve">   6) Input your Loan Interest Rate (typically 4-6%)</t>
  </si>
  <si>
    <t xml:space="preserve">   7) Input your Loan Term in years (typically 10-15 yrs)</t>
  </si>
  <si>
    <t xml:space="preserve">   8) Input your Down Payment (typically 20%)</t>
  </si>
  <si>
    <r>
      <t xml:space="preserve">   9) The PA SREC market information can be found here: </t>
    </r>
    <r>
      <rPr>
        <b/>
        <i/>
        <u/>
        <sz val="16"/>
        <color theme="1"/>
        <rFont val="Times New Roman"/>
        <family val="1"/>
      </rPr>
      <t>https://www.srectrade.com/markets/rps/srec/pennsylvania</t>
    </r>
  </si>
  <si>
    <t xml:space="preserve">   10) Include a snapshot of the Google image including the area of the roof</t>
  </si>
  <si>
    <t xml:space="preserve">   11) Include a snapshot of the PVWatts results below</t>
  </si>
  <si>
    <r>
      <t xml:space="preserve">   12) Answer the questions in the </t>
    </r>
    <r>
      <rPr>
        <b/>
        <i/>
        <sz val="16"/>
        <color theme="1"/>
        <rFont val="Times New Roman"/>
        <family val="1"/>
      </rPr>
      <t>'12) Questions'</t>
    </r>
    <r>
      <rPr>
        <sz val="16"/>
        <color theme="1"/>
        <rFont val="Times New Roman"/>
        <family val="1"/>
      </rPr>
      <t xml:space="preserve"> worksheet</t>
    </r>
  </si>
  <si>
    <t>Solar Array Proforma</t>
  </si>
  <si>
    <t>Inputs</t>
  </si>
  <si>
    <t xml:space="preserve"> </t>
  </si>
  <si>
    <t>Year</t>
  </si>
  <si>
    <t>Loan</t>
  </si>
  <si>
    <t>Federal ITC</t>
  </si>
  <si>
    <t>Increased Equity</t>
  </si>
  <si>
    <t>Electricity</t>
  </si>
  <si>
    <t>PA SREC</t>
  </si>
  <si>
    <t>Loan
Income/Loss</t>
  </si>
  <si>
    <t>Loan
Cumulative</t>
  </si>
  <si>
    <t>Cash Payment
Income/Loss</t>
  </si>
  <si>
    <t>Cash 
Cumulative</t>
  </si>
  <si>
    <t>1) Electricity Price ($/kWh)</t>
  </si>
  <si>
    <t>2) Annual Solar Array Electricity Production (kWh/yr)</t>
  </si>
  <si>
    <t>3) Solar Array Size (W)</t>
  </si>
  <si>
    <t>4) Solar Array Cost ($/W)</t>
  </si>
  <si>
    <t>5) Annual Electricity Price Increase</t>
  </si>
  <si>
    <t>6) Loan Interest Rate</t>
  </si>
  <si>
    <t>7) Loan Term (yrs)</t>
  </si>
  <si>
    <t>8) Down Payment %</t>
  </si>
  <si>
    <t>9) PA SREC Market Price ($/MWh)</t>
  </si>
  <si>
    <t>Cost</t>
  </si>
  <si>
    <t>Cash Down Payment</t>
  </si>
  <si>
    <t>Annual Payment</t>
  </si>
  <si>
    <t>Monthly Payment</t>
  </si>
  <si>
    <t>Total Cost (including interest)</t>
  </si>
  <si>
    <t>Income</t>
  </si>
  <si>
    <t>Federal Tax Credit, 30% (one-time)</t>
  </si>
  <si>
    <t>Value of Electricity Produced (1st year)</t>
  </si>
  <si>
    <t>PA SREC Value (annual)</t>
  </si>
  <si>
    <t>Increased Equity in Home (50% of system value)</t>
  </si>
  <si>
    <t>Price of Solar PV Electricity ($/kWh)</t>
  </si>
  <si>
    <t>TOTAL</t>
  </si>
  <si>
    <t>Annual Greenhouse Gas Reduction</t>
  </si>
  <si>
    <r>
      <t>Pounds CO</t>
    </r>
    <r>
      <rPr>
        <b/>
        <vertAlign val="subscript"/>
        <sz val="14"/>
        <color theme="1"/>
        <rFont val="Times New Roman"/>
        <family val="1"/>
      </rPr>
      <t>2</t>
    </r>
  </si>
  <si>
    <t>Trees</t>
  </si>
  <si>
    <t>10) Snapshot of Google Image with the Area of the Roof</t>
  </si>
  <si>
    <t>11) Snapshot of PVWatts Results Screens</t>
  </si>
  <si>
    <t>Cost Breakdown:</t>
  </si>
  <si>
    <t>Freight (delivery costs)</t>
  </si>
  <si>
    <t>Electrician (Labor)</t>
  </si>
  <si>
    <t>TOTAL COST:</t>
  </si>
  <si>
    <t xml:space="preserve">Over the 30 year lifespan of the panel, what is the total savings?  </t>
  </si>
  <si>
    <t>Are these savings greater than the initial cost and by how much?</t>
  </si>
  <si>
    <t>In what year does the savings pay back the initial cost?</t>
  </si>
  <si>
    <t>Would you install solar panels on your house? Why or Why not?</t>
  </si>
  <si>
    <t>Besides costs, name at least 2 pros and 2 cons of installing a solar array on your house.</t>
  </si>
  <si>
    <t># of panels:</t>
  </si>
  <si>
    <t>price of single panel ($/W):</t>
  </si>
  <si>
    <t>System Cost (includes panels, inverters, installation, and permitting costs*)</t>
  </si>
  <si>
    <t>*system cost is based on EnergySage average cost per Watt for Q-Cell 390W panels and a 26.2 kW system size</t>
  </si>
  <si>
    <t>roof area (m^2):</t>
  </si>
  <si>
    <t>area of single panel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</si>
</sst>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
    <numFmt numFmtId="165" formatCode="_(&quot;$&quot;* #,##0_);_(&quot;$&quot;* \(#,##0\);_(&quot;$&quot;* &quot;-&quot;??_);_(@_)"/>
    <numFmt numFmtId="166" formatCode="_(&quot;$&quot;* #,##0_);_(&quot;$&quot;* \(#,##0\);_(&quot;$&quot;* &quot;-&quot;?_);_(@_)"/>
    <numFmt numFmtId="167" formatCode="_(&quot;$&quot;* #,##0.0_);_(&quot;$&quot;* \(#,##0.0\);_(&quot;$&quot;* &quot;-&quot;??_);_(@_)"/>
    <numFmt numFmtId="168" formatCode="_(&quot;$&quot;* #,##0.000_);_(&quot;$&quot;* \(#,##0.000\);_(&quot;$&quot;* &quot;-&quot;??_);_(@_)"/>
    <numFmt numFmtId="169" formatCode="&quot;$&quot;#,##0"/>
  </numFmts>
  <fonts count="69"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rgb="FFFA7D00"/>
      <name val="Calibri"/>
      <family val="2"/>
      <scheme val="minor"/>
    </font>
    <font>
      <b/>
      <sz val="10"/>
      <color rgb="FFFA7D00"/>
      <name val="Arial"/>
      <family val="2"/>
    </font>
    <font>
      <b/>
      <sz val="11"/>
      <color theme="0"/>
      <name val="Calibri"/>
      <family val="2"/>
      <scheme val="minor"/>
    </font>
    <font>
      <b/>
      <sz val="10"/>
      <color theme="0"/>
      <name val="Arial"/>
      <family val="2"/>
    </font>
    <font>
      <sz val="1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b/>
      <sz val="15"/>
      <color theme="3"/>
      <name val="Calibri"/>
      <family val="2"/>
      <scheme val="minor"/>
    </font>
    <font>
      <b/>
      <sz val="15"/>
      <color theme="3"/>
      <name val="Arial"/>
      <family val="2"/>
    </font>
    <font>
      <b/>
      <sz val="13"/>
      <color theme="3"/>
      <name val="Calibri"/>
      <family val="2"/>
      <scheme val="minor"/>
    </font>
    <font>
      <b/>
      <sz val="13"/>
      <color theme="3"/>
      <name val="Arial"/>
      <family val="2"/>
    </font>
    <font>
      <b/>
      <sz val="11"/>
      <color theme="3"/>
      <name val="Calibri"/>
      <family val="2"/>
      <scheme val="minor"/>
    </font>
    <font>
      <b/>
      <sz val="11"/>
      <color theme="3"/>
      <name val="Arial"/>
      <family val="2"/>
    </font>
    <font>
      <sz val="11"/>
      <color rgb="FF3F3F76"/>
      <name val="Calibri"/>
      <family val="2"/>
      <scheme val="minor"/>
    </font>
    <font>
      <sz val="10"/>
      <color rgb="FF3F3F76"/>
      <name val="Arial"/>
      <family val="2"/>
    </font>
    <font>
      <sz val="11"/>
      <color rgb="FFFA7D00"/>
      <name val="Calibri"/>
      <family val="2"/>
      <scheme val="minor"/>
    </font>
    <font>
      <sz val="10"/>
      <color rgb="FFFA7D00"/>
      <name val="Arial"/>
      <family val="2"/>
    </font>
    <font>
      <sz val="11"/>
      <color rgb="FF9C6500"/>
      <name val="Calibri"/>
      <family val="2"/>
      <scheme val="minor"/>
    </font>
    <font>
      <sz val="10"/>
      <color rgb="FF9C6500"/>
      <name val="Arial"/>
      <family val="2"/>
    </font>
    <font>
      <sz val="10"/>
      <name val="Verdana"/>
      <family val="2"/>
    </font>
    <font>
      <sz val="11"/>
      <color theme="1"/>
      <name val="Arial Narrow"/>
      <family val="2"/>
    </font>
    <font>
      <b/>
      <sz val="11"/>
      <color rgb="FF3F3F3F"/>
      <name val="Calibri"/>
      <family val="2"/>
      <scheme val="minor"/>
    </font>
    <font>
      <b/>
      <sz val="10"/>
      <color rgb="FF3F3F3F"/>
      <name val="Arial"/>
      <family val="2"/>
    </font>
    <font>
      <b/>
      <sz val="10"/>
      <color theme="1"/>
      <name val="Arial"/>
      <family val="2"/>
    </font>
    <font>
      <sz val="11"/>
      <color rgb="FFFF0000"/>
      <name val="Calibri"/>
      <family val="2"/>
      <scheme val="minor"/>
    </font>
    <font>
      <sz val="10"/>
      <color rgb="FFFF0000"/>
      <name val="Arial"/>
      <family val="2"/>
    </font>
    <font>
      <b/>
      <sz val="24"/>
      <color theme="1"/>
      <name val="Times New Roman"/>
      <family val="1"/>
    </font>
    <font>
      <sz val="11"/>
      <color theme="1"/>
      <name val="Times New Roman"/>
      <family val="1"/>
    </font>
    <font>
      <b/>
      <u/>
      <sz val="11"/>
      <color theme="1"/>
      <name val="Times New Roman"/>
      <family val="1"/>
    </font>
    <font>
      <b/>
      <sz val="11"/>
      <color theme="1"/>
      <name val="Times New Roman"/>
      <family val="1"/>
    </font>
    <font>
      <sz val="11"/>
      <color rgb="FF002060"/>
      <name val="Times New Roman"/>
      <family val="1"/>
    </font>
    <font>
      <b/>
      <u/>
      <sz val="11"/>
      <color rgb="FFC00000"/>
      <name val="Times New Roman"/>
      <family val="1"/>
    </font>
    <font>
      <sz val="11"/>
      <color rgb="FFC00000"/>
      <name val="Times New Roman"/>
      <family val="1"/>
    </font>
    <font>
      <sz val="11"/>
      <name val="Times New Roman"/>
      <family val="1"/>
    </font>
    <font>
      <b/>
      <u/>
      <sz val="11"/>
      <color rgb="FF006100"/>
      <name val="Times New Roman"/>
      <family val="1"/>
    </font>
    <font>
      <sz val="11"/>
      <color rgb="FF006100"/>
      <name val="Times New Roman"/>
      <family val="1"/>
    </font>
    <font>
      <b/>
      <sz val="14"/>
      <color theme="1"/>
      <name val="Times New Roman"/>
      <family val="1"/>
    </font>
    <font>
      <b/>
      <vertAlign val="subscript"/>
      <sz val="14"/>
      <color theme="1"/>
      <name val="Times New Roman"/>
      <family val="1"/>
    </font>
    <font>
      <sz val="14"/>
      <color theme="1"/>
      <name val="Times New Roman"/>
      <family val="1"/>
    </font>
    <font>
      <b/>
      <sz val="14"/>
      <color theme="1"/>
      <name val="Calibri"/>
      <family val="2"/>
      <scheme val="minor"/>
    </font>
    <font>
      <b/>
      <sz val="12"/>
      <color rgb="FF000000"/>
      <name val="Times New Roman"/>
      <family val="1"/>
    </font>
    <font>
      <sz val="12"/>
      <color theme="1"/>
      <name val="Times New Roman"/>
      <family val="1"/>
    </font>
    <font>
      <b/>
      <sz val="12"/>
      <color theme="1"/>
      <name val="Times New Roman"/>
      <family val="1"/>
    </font>
    <font>
      <b/>
      <u/>
      <sz val="16"/>
      <color rgb="FF000000"/>
      <name val="Times New Roman"/>
      <family val="1"/>
    </font>
    <font>
      <b/>
      <sz val="11"/>
      <color rgb="FF0070C0"/>
      <name val="Times New Roman"/>
      <family val="1"/>
    </font>
    <font>
      <b/>
      <sz val="12"/>
      <color rgb="FF0070C0"/>
      <name val="Times New Roman"/>
      <family val="1"/>
    </font>
    <font>
      <sz val="16"/>
      <color theme="1"/>
      <name val="Times New Roman"/>
      <family val="1"/>
    </font>
    <font>
      <sz val="16"/>
      <name val="Times New Roman"/>
      <family val="1"/>
    </font>
    <font>
      <b/>
      <i/>
      <sz val="16"/>
      <color theme="1"/>
      <name val="Times New Roman"/>
      <family val="1"/>
    </font>
    <font>
      <b/>
      <i/>
      <u/>
      <sz val="16"/>
      <color theme="1"/>
      <name val="Times New Roman"/>
      <family val="1"/>
    </font>
    <font>
      <b/>
      <u/>
      <sz val="16"/>
      <color theme="1"/>
      <name val="Times New Roman"/>
      <family val="1"/>
    </font>
    <font>
      <b/>
      <u/>
      <sz val="24"/>
      <color theme="1"/>
      <name val="Times New Roman"/>
      <family val="1"/>
    </font>
    <font>
      <sz val="22"/>
      <color theme="1"/>
      <name val="Times New Roman"/>
      <family val="1"/>
    </font>
    <font>
      <b/>
      <u/>
      <sz val="22"/>
      <color theme="1"/>
      <name val="Times New Roman"/>
      <family val="1"/>
    </font>
    <font>
      <b/>
      <sz val="22"/>
      <color rgb="FF0070C0"/>
      <name val="Times New Roman"/>
      <family val="1"/>
    </font>
    <font>
      <i/>
      <sz val="22"/>
      <color theme="1"/>
      <name val="Times New Roman"/>
      <family val="1"/>
    </font>
    <font>
      <sz val="22"/>
      <name val="Times New Roman"/>
      <family val="1"/>
    </font>
    <font>
      <b/>
      <sz val="12"/>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A7E8FF"/>
        <bgColor indexed="64"/>
      </patternFill>
    </fill>
  </fills>
  <borders count="31">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33">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4"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 fillId="31" borderId="0" applyNumberFormat="0" applyBorder="0" applyAlignment="0" applyProtection="0"/>
    <xf numFmtId="0" fontId="1" fillId="31" borderId="0" applyNumberFormat="0" applyBorder="0" applyAlignment="0" applyProtection="0"/>
    <xf numFmtId="0" fontId="5" fillId="12" borderId="0" applyNumberFormat="0" applyBorder="0" applyAlignment="0" applyProtection="0"/>
    <xf numFmtId="0" fontId="6" fillId="12" borderId="0" applyNumberFormat="0" applyBorder="0" applyAlignment="0" applyProtection="0"/>
    <xf numFmtId="0" fontId="5" fillId="16" borderId="0" applyNumberFormat="0" applyBorder="0" applyAlignment="0" applyProtection="0"/>
    <xf numFmtId="0" fontId="6" fillId="16" borderId="0" applyNumberFormat="0" applyBorder="0" applyAlignment="0" applyProtection="0"/>
    <xf numFmtId="0" fontId="5" fillId="20" borderId="0" applyNumberFormat="0" applyBorder="0" applyAlignment="0" applyProtection="0"/>
    <xf numFmtId="0" fontId="6" fillId="20" borderId="0" applyNumberFormat="0" applyBorder="0" applyAlignment="0" applyProtection="0"/>
    <xf numFmtId="0" fontId="5" fillId="24" borderId="0" applyNumberFormat="0" applyBorder="0" applyAlignment="0" applyProtection="0"/>
    <xf numFmtId="0" fontId="6" fillId="24" borderId="0" applyNumberFormat="0" applyBorder="0" applyAlignment="0" applyProtection="0"/>
    <xf numFmtId="0" fontId="5" fillId="28" borderId="0" applyNumberFormat="0" applyBorder="0" applyAlignment="0" applyProtection="0"/>
    <xf numFmtId="0" fontId="6" fillId="28" borderId="0" applyNumberFormat="0" applyBorder="0" applyAlignment="0" applyProtection="0"/>
    <xf numFmtId="0" fontId="5" fillId="32" borderId="0" applyNumberFormat="0" applyBorder="0" applyAlignment="0" applyProtection="0"/>
    <xf numFmtId="0" fontId="6" fillId="32" borderId="0" applyNumberFormat="0" applyBorder="0" applyAlignment="0" applyProtection="0"/>
    <xf numFmtId="0" fontId="5" fillId="9" borderId="0" applyNumberFormat="0" applyBorder="0" applyAlignment="0" applyProtection="0"/>
    <xf numFmtId="0" fontId="6" fillId="9" borderId="0" applyNumberFormat="0" applyBorder="0" applyAlignment="0" applyProtection="0"/>
    <xf numFmtId="0" fontId="5" fillId="13" borderId="0" applyNumberFormat="0" applyBorder="0" applyAlignment="0" applyProtection="0"/>
    <xf numFmtId="0" fontId="6" fillId="13" borderId="0" applyNumberFormat="0" applyBorder="0" applyAlignment="0" applyProtection="0"/>
    <xf numFmtId="0" fontId="5" fillId="17" borderId="0" applyNumberFormat="0" applyBorder="0" applyAlignment="0" applyProtection="0"/>
    <xf numFmtId="0" fontId="6" fillId="17" borderId="0" applyNumberFormat="0" applyBorder="0" applyAlignment="0" applyProtection="0"/>
    <xf numFmtId="0" fontId="5" fillId="21" borderId="0" applyNumberFormat="0" applyBorder="0" applyAlignment="0" applyProtection="0"/>
    <xf numFmtId="0" fontId="6" fillId="21" borderId="0" applyNumberFormat="0" applyBorder="0" applyAlignment="0" applyProtection="0"/>
    <xf numFmtId="0" fontId="5" fillId="25" borderId="0" applyNumberFormat="0" applyBorder="0" applyAlignment="0" applyProtection="0"/>
    <xf numFmtId="0" fontId="6" fillId="25" borderId="0" applyNumberFormat="0" applyBorder="0" applyAlignment="0" applyProtection="0"/>
    <xf numFmtId="0" fontId="5" fillId="29" borderId="0" applyNumberFormat="0" applyBorder="0" applyAlignment="0" applyProtection="0"/>
    <xf numFmtId="0" fontId="6" fillId="29" borderId="0" applyNumberFormat="0" applyBorder="0" applyAlignment="0" applyProtection="0"/>
    <xf numFmtId="0" fontId="7" fillId="3" borderId="0" applyNumberFormat="0" applyBorder="0" applyAlignment="0" applyProtection="0"/>
    <xf numFmtId="0" fontId="8" fillId="3" borderId="0" applyNumberFormat="0" applyBorder="0" applyAlignment="0" applyProtection="0"/>
    <xf numFmtId="0" fontId="9" fillId="6" borderId="7" applyNumberFormat="0" applyAlignment="0" applyProtection="0"/>
    <xf numFmtId="0" fontId="10" fillId="6" borderId="7" applyNumberFormat="0" applyAlignment="0" applyProtection="0"/>
    <xf numFmtId="0" fontId="11" fillId="7" borderId="10" applyNumberFormat="0" applyAlignment="0" applyProtection="0"/>
    <xf numFmtId="0" fontId="12" fillId="7" borderId="10" applyNumberFormat="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2" borderId="0" applyNumberFormat="0" applyBorder="0" applyAlignment="0" applyProtection="0"/>
    <xf numFmtId="0" fontId="18" fillId="0" borderId="4"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3" fillId="0" borderId="6"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applyNumberFormat="0" applyFill="0" applyBorder="0" applyAlignment="0" applyProtection="0"/>
    <xf numFmtId="0" fontId="24" fillId="5" borderId="7" applyNumberFormat="0" applyAlignment="0" applyProtection="0"/>
    <xf numFmtId="0" fontId="25" fillId="5" borderId="7" applyNumberFormat="0" applyAlignment="0" applyProtection="0"/>
    <xf numFmtId="0" fontId="26" fillId="0" borderId="9" applyNumberFormat="0" applyFill="0" applyAlignment="0" applyProtection="0"/>
    <xf numFmtId="0" fontId="27" fillId="0" borderId="9" applyNumberFormat="0" applyFill="0" applyAlignment="0" applyProtection="0"/>
    <xf numFmtId="0" fontId="28" fillId="4" borderId="0" applyNumberFormat="0" applyBorder="0" applyAlignment="0" applyProtection="0"/>
    <xf numFmtId="0" fontId="29" fillId="4" borderId="0" applyNumberFormat="0" applyBorder="0" applyAlignment="0" applyProtection="0"/>
    <xf numFmtId="0" fontId="30" fillId="0" borderId="0"/>
    <xf numFmtId="0" fontId="30"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3" fillId="0" borderId="0"/>
    <xf numFmtId="0" fontId="1" fillId="0" borderId="0"/>
    <xf numFmtId="0" fontId="1" fillId="0" borderId="0"/>
    <xf numFmtId="0" fontId="13" fillId="0" borderId="0"/>
    <xf numFmtId="0" fontId="1" fillId="8" borderId="11" applyNumberFormat="0" applyFont="0" applyAlignment="0" applyProtection="0"/>
    <xf numFmtId="0" fontId="1" fillId="8" borderId="11" applyNumberFormat="0" applyFont="0" applyAlignment="0" applyProtection="0"/>
    <xf numFmtId="0" fontId="4" fillId="8" borderId="11" applyNumberFormat="0" applyFont="0" applyAlignment="0" applyProtection="0"/>
    <xf numFmtId="0" fontId="1" fillId="8" borderId="11" applyNumberFormat="0" applyFont="0" applyAlignment="0" applyProtection="0"/>
    <xf numFmtId="0" fontId="32" fillId="6" borderId="8" applyNumberFormat="0" applyAlignment="0" applyProtection="0"/>
    <xf numFmtId="0" fontId="33" fillId="6"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0" fontId="3" fillId="0" borderId="12" applyNumberFormat="0" applyFill="0" applyAlignment="0" applyProtection="0"/>
    <xf numFmtId="0" fontId="34" fillId="0" borderId="12"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cellStyleXfs>
  <cellXfs count="86">
    <xf numFmtId="0" fontId="0" fillId="0" borderId="0" xfId="0"/>
    <xf numFmtId="0" fontId="37" fillId="0" borderId="0" xfId="0" applyFont="1"/>
    <xf numFmtId="0" fontId="38" fillId="0" borderId="0" xfId="0" applyFont="1"/>
    <xf numFmtId="0" fontId="38" fillId="0" borderId="0" xfId="0" applyFont="1" applyAlignment="1">
      <alignment horizontal="center"/>
    </xf>
    <xf numFmtId="0" fontId="38" fillId="0" borderId="0" xfId="0" applyFont="1" applyAlignment="1">
      <alignment vertical="center"/>
    </xf>
    <xf numFmtId="0" fontId="38" fillId="33" borderId="3" xfId="0" applyFont="1" applyFill="1" applyBorder="1"/>
    <xf numFmtId="165" fontId="38" fillId="0" borderId="16" xfId="1" applyNumberFormat="1" applyFont="1" applyBorder="1" applyAlignment="1">
      <alignment horizontal="center"/>
    </xf>
    <xf numFmtId="0" fontId="38" fillId="33" borderId="14" xfId="0" applyFont="1" applyFill="1" applyBorder="1"/>
    <xf numFmtId="167" fontId="41" fillId="0" borderId="0" xfId="1" applyNumberFormat="1" applyFont="1" applyFill="1" applyBorder="1"/>
    <xf numFmtId="0" fontId="43" fillId="3" borderId="3" xfId="75" applyFont="1" applyBorder="1"/>
    <xf numFmtId="165" fontId="43" fillId="3" borderId="13" xfId="75" applyNumberFormat="1" applyFont="1" applyBorder="1"/>
    <xf numFmtId="44" fontId="43" fillId="3" borderId="13" xfId="75" applyNumberFormat="1" applyFont="1" applyBorder="1"/>
    <xf numFmtId="0" fontId="43" fillId="3" borderId="14" xfId="75" applyFont="1" applyBorder="1"/>
    <xf numFmtId="165" fontId="43" fillId="3" borderId="15" xfId="75" applyNumberFormat="1" applyFont="1" applyBorder="1"/>
    <xf numFmtId="0" fontId="44" fillId="0" borderId="0" xfId="0" applyFont="1"/>
    <xf numFmtId="0" fontId="46" fillId="2" borderId="1" xfId="87" applyFont="1" applyBorder="1"/>
    <xf numFmtId="166" fontId="46" fillId="2" borderId="2" xfId="87" applyNumberFormat="1" applyFont="1" applyBorder="1"/>
    <xf numFmtId="0" fontId="46" fillId="2" borderId="3" xfId="87" applyFont="1" applyBorder="1"/>
    <xf numFmtId="166" fontId="46" fillId="2" borderId="13" xfId="87" applyNumberFormat="1" applyFont="1" applyBorder="1"/>
    <xf numFmtId="165" fontId="46" fillId="2" borderId="13" xfId="87" applyNumberFormat="1" applyFont="1" applyBorder="1"/>
    <xf numFmtId="0" fontId="46" fillId="2" borderId="14" xfId="87" applyFont="1" applyBorder="1"/>
    <xf numFmtId="166" fontId="46" fillId="2" borderId="15" xfId="87" applyNumberFormat="1" applyFont="1" applyBorder="1"/>
    <xf numFmtId="165" fontId="40" fillId="0" borderId="19" xfId="1" applyNumberFormat="1" applyFont="1" applyFill="1" applyBorder="1" applyAlignment="1">
      <alignment horizontal="center" vertical="center"/>
    </xf>
    <xf numFmtId="165" fontId="38" fillId="0" borderId="0" xfId="0" applyNumberFormat="1" applyFont="1"/>
    <xf numFmtId="0" fontId="39" fillId="0" borderId="0" xfId="0" applyFont="1" applyAlignment="1">
      <alignment horizontal="center" vertical="center" wrapText="1"/>
    </xf>
    <xf numFmtId="9" fontId="38" fillId="0" borderId="0" xfId="0" applyNumberFormat="1" applyFont="1" applyAlignment="1">
      <alignment horizontal="center"/>
    </xf>
    <xf numFmtId="0" fontId="47" fillId="36" borderId="23" xfId="0" applyFont="1" applyFill="1" applyBorder="1" applyAlignment="1">
      <alignment horizontal="center"/>
    </xf>
    <xf numFmtId="9" fontId="47" fillId="36" borderId="16" xfId="2" applyFont="1" applyFill="1" applyBorder="1" applyAlignment="1">
      <alignment horizontal="center"/>
    </xf>
    <xf numFmtId="9" fontId="47" fillId="36" borderId="24" xfId="2" applyFont="1" applyFill="1" applyBorder="1" applyAlignment="1">
      <alignment horizontal="center"/>
    </xf>
    <xf numFmtId="0" fontId="47" fillId="36" borderId="25" xfId="0" applyFont="1" applyFill="1" applyBorder="1" applyAlignment="1">
      <alignment horizontal="center"/>
    </xf>
    <xf numFmtId="3" fontId="49" fillId="36" borderId="26" xfId="2" applyNumberFormat="1" applyFont="1" applyFill="1" applyBorder="1" applyAlignment="1">
      <alignment horizontal="center"/>
    </xf>
    <xf numFmtId="3" fontId="49" fillId="36" borderId="27" xfId="2" applyNumberFormat="1" applyFont="1" applyFill="1" applyBorder="1" applyAlignment="1">
      <alignment horizontal="center"/>
    </xf>
    <xf numFmtId="0" fontId="50" fillId="0" borderId="0" xfId="0" applyFont="1"/>
    <xf numFmtId="0" fontId="52" fillId="0" borderId="0" xfId="0" applyFont="1"/>
    <xf numFmtId="165" fontId="40" fillId="0" borderId="28" xfId="1" applyNumberFormat="1" applyFont="1" applyBorder="1" applyAlignment="1">
      <alignment horizontal="center" vertical="center"/>
    </xf>
    <xf numFmtId="165" fontId="39" fillId="34" borderId="20" xfId="1" applyNumberFormat="1" applyFont="1" applyFill="1" applyBorder="1" applyAlignment="1">
      <alignment horizontal="center" vertical="center" wrapText="1"/>
    </xf>
    <xf numFmtId="165" fontId="39" fillId="34" borderId="22" xfId="1" applyNumberFormat="1" applyFont="1" applyFill="1" applyBorder="1" applyAlignment="1">
      <alignment horizontal="center" vertical="center" wrapText="1"/>
    </xf>
    <xf numFmtId="165" fontId="38" fillId="0" borderId="23" xfId="1" applyNumberFormat="1" applyFont="1" applyBorder="1" applyAlignment="1">
      <alignment horizontal="center"/>
    </xf>
    <xf numFmtId="165" fontId="38" fillId="0" borderId="24" xfId="0" applyNumberFormat="1" applyFont="1" applyBorder="1" applyAlignment="1">
      <alignment horizontal="center"/>
    </xf>
    <xf numFmtId="165" fontId="38" fillId="0" borderId="25" xfId="1" applyNumberFormat="1" applyFont="1" applyBorder="1" applyAlignment="1">
      <alignment horizontal="center"/>
    </xf>
    <xf numFmtId="165" fontId="38" fillId="0" borderId="27" xfId="0" applyNumberFormat="1" applyFont="1" applyBorder="1" applyAlignment="1">
      <alignment horizontal="center"/>
    </xf>
    <xf numFmtId="44" fontId="40" fillId="0" borderId="28" xfId="1" applyFont="1" applyBorder="1" applyAlignment="1">
      <alignment horizontal="center" vertical="center"/>
    </xf>
    <xf numFmtId="1" fontId="39" fillId="34" borderId="20" xfId="1" applyNumberFormat="1" applyFont="1" applyFill="1" applyBorder="1" applyAlignment="1">
      <alignment horizontal="center" vertical="center" wrapText="1"/>
    </xf>
    <xf numFmtId="44" fontId="39" fillId="34" borderId="21" xfId="1" applyFont="1" applyFill="1" applyBorder="1" applyAlignment="1">
      <alignment horizontal="center" vertical="center" wrapText="1"/>
    </xf>
    <xf numFmtId="165" fontId="39" fillId="34" borderId="21" xfId="1" applyNumberFormat="1" applyFont="1" applyFill="1" applyBorder="1" applyAlignment="1">
      <alignment horizontal="center" vertical="center" wrapText="1"/>
    </xf>
    <xf numFmtId="1" fontId="40" fillId="34" borderId="23" xfId="1" applyNumberFormat="1" applyFont="1" applyFill="1" applyBorder="1" applyAlignment="1">
      <alignment horizontal="center"/>
    </xf>
    <xf numFmtId="165" fontId="38" fillId="0" borderId="24" xfId="1" applyNumberFormat="1" applyFont="1" applyBorder="1" applyAlignment="1">
      <alignment horizontal="center"/>
    </xf>
    <xf numFmtId="1" fontId="40" fillId="34" borderId="25" xfId="1" applyNumberFormat="1" applyFont="1" applyFill="1" applyBorder="1" applyAlignment="1">
      <alignment horizontal="center"/>
    </xf>
    <xf numFmtId="165" fontId="38" fillId="0" borderId="26" xfId="1" applyNumberFormat="1" applyFont="1" applyBorder="1" applyAlignment="1">
      <alignment horizontal="center"/>
    </xf>
    <xf numFmtId="165" fontId="38" fillId="0" borderId="27" xfId="1" applyNumberFormat="1" applyFont="1" applyBorder="1" applyAlignment="1">
      <alignment horizontal="center"/>
    </xf>
    <xf numFmtId="168" fontId="55" fillId="33" borderId="13" xfId="1" applyNumberFormat="1" applyFont="1" applyFill="1" applyBorder="1" applyProtection="1">
      <protection locked="0"/>
    </xf>
    <xf numFmtId="1" fontId="55" fillId="33" borderId="13" xfId="1" applyNumberFormat="1" applyFont="1" applyFill="1" applyBorder="1" applyProtection="1">
      <protection locked="0"/>
    </xf>
    <xf numFmtId="0" fontId="55" fillId="33" borderId="13" xfId="0" applyFont="1" applyFill="1" applyBorder="1" applyProtection="1">
      <protection locked="0"/>
    </xf>
    <xf numFmtId="44" fontId="55" fillId="33" borderId="13" xfId="1" applyFont="1" applyFill="1" applyBorder="1" applyProtection="1">
      <protection locked="0"/>
    </xf>
    <xf numFmtId="9" fontId="55" fillId="33" borderId="13" xfId="2" applyFont="1" applyFill="1" applyBorder="1" applyProtection="1">
      <protection locked="0"/>
    </xf>
    <xf numFmtId="164" fontId="55" fillId="33" borderId="13" xfId="2" applyNumberFormat="1" applyFont="1" applyFill="1" applyBorder="1" applyProtection="1">
      <protection locked="0"/>
    </xf>
    <xf numFmtId="44" fontId="55" fillId="33" borderId="15" xfId="1" applyFont="1" applyFill="1" applyBorder="1" applyProtection="1">
      <protection locked="0"/>
    </xf>
    <xf numFmtId="169" fontId="56" fillId="0" borderId="22" xfId="0" applyNumberFormat="1" applyFont="1" applyBorder="1" applyAlignment="1" applyProtection="1">
      <alignment horizontal="right" vertical="center" readingOrder="1"/>
      <protection locked="0"/>
    </xf>
    <xf numFmtId="169" fontId="56" fillId="0" borderId="24" xfId="0" applyNumberFormat="1" applyFont="1" applyBorder="1" applyAlignment="1" applyProtection="1">
      <alignment horizontal="right" vertical="center" readingOrder="1"/>
      <protection locked="0"/>
    </xf>
    <xf numFmtId="0" fontId="57" fillId="0" borderId="0" xfId="0" applyFont="1"/>
    <xf numFmtId="0" fontId="58" fillId="0" borderId="0" xfId="0" applyFont="1"/>
    <xf numFmtId="6" fontId="51" fillId="35" borderId="29" xfId="0" applyNumberFormat="1" applyFont="1" applyFill="1" applyBorder="1" applyAlignment="1">
      <alignment horizontal="right" vertical="center" readingOrder="1"/>
    </xf>
    <xf numFmtId="1" fontId="55" fillId="33" borderId="13" xfId="0" applyNumberFormat="1" applyFont="1" applyFill="1" applyBorder="1" applyProtection="1">
      <protection locked="0"/>
    </xf>
    <xf numFmtId="0" fontId="51" fillId="0" borderId="0" xfId="0" applyFont="1" applyAlignment="1">
      <alignment vertical="center"/>
    </xf>
    <xf numFmtId="0" fontId="53" fillId="0" borderId="0" xfId="0" applyFont="1"/>
    <xf numFmtId="0" fontId="61" fillId="0" borderId="0" xfId="0" applyFont="1"/>
    <xf numFmtId="0" fontId="62" fillId="0" borderId="0" xfId="0" applyFont="1"/>
    <xf numFmtId="0" fontId="63" fillId="0" borderId="0" xfId="0" applyFont="1"/>
    <xf numFmtId="0" fontId="67" fillId="0" borderId="0" xfId="0" applyFont="1"/>
    <xf numFmtId="0" fontId="63" fillId="0" borderId="0" xfId="0" applyFont="1" applyAlignment="1">
      <alignment horizontal="center"/>
    </xf>
    <xf numFmtId="0" fontId="68" fillId="35" borderId="0" xfId="0" applyFont="1" applyFill="1"/>
    <xf numFmtId="168" fontId="68" fillId="35" borderId="30" xfId="1" applyNumberFormat="1" applyFont="1" applyFill="1" applyBorder="1"/>
    <xf numFmtId="0" fontId="39" fillId="33" borderId="17" xfId="0" applyFont="1" applyFill="1" applyBorder="1" applyAlignment="1">
      <alignment horizontal="center" vertical="center"/>
    </xf>
    <xf numFmtId="0" fontId="39" fillId="33" borderId="18" xfId="0" applyFont="1" applyFill="1" applyBorder="1" applyAlignment="1">
      <alignment horizontal="center" vertical="center"/>
    </xf>
    <xf numFmtId="0" fontId="42" fillId="3" borderId="17" xfId="75" applyFont="1" applyBorder="1" applyAlignment="1">
      <alignment horizontal="center"/>
    </xf>
    <xf numFmtId="0" fontId="42" fillId="3" borderId="18" xfId="75" applyFont="1" applyBorder="1" applyAlignment="1">
      <alignment horizontal="center"/>
    </xf>
    <xf numFmtId="0" fontId="45" fillId="2" borderId="1" xfId="87" applyFont="1" applyBorder="1" applyAlignment="1">
      <alignment horizontal="center"/>
    </xf>
    <xf numFmtId="0" fontId="45" fillId="2" borderId="2" xfId="87" applyFont="1" applyBorder="1" applyAlignment="1">
      <alignment horizontal="center"/>
    </xf>
    <xf numFmtId="0" fontId="47" fillId="36" borderId="20" xfId="0" applyFont="1" applyFill="1" applyBorder="1" applyAlignment="1">
      <alignment horizontal="center" vertical="center" wrapText="1"/>
    </xf>
    <xf numFmtId="0" fontId="47" fillId="36" borderId="21" xfId="0" applyFont="1" applyFill="1" applyBorder="1" applyAlignment="1">
      <alignment horizontal="center" vertical="center" wrapText="1"/>
    </xf>
    <xf numFmtId="0" fontId="47" fillId="36" borderId="22" xfId="0" applyFont="1" applyFill="1" applyBorder="1" applyAlignment="1">
      <alignment horizontal="center" vertical="center" wrapText="1"/>
    </xf>
    <xf numFmtId="0" fontId="56" fillId="0" borderId="20" xfId="0" applyFont="1" applyBorder="1" applyAlignment="1" applyProtection="1">
      <alignment horizontal="left" vertical="center" wrapText="1" readingOrder="1"/>
      <protection locked="0"/>
    </xf>
    <xf numFmtId="0" fontId="54" fillId="0" borderId="0" xfId="0" applyFont="1" applyAlignment="1">
      <alignment horizontal="left" vertical="center" wrapText="1" readingOrder="1"/>
    </xf>
    <xf numFmtId="0" fontId="56" fillId="0" borderId="23" xfId="0" applyFont="1" applyBorder="1" applyAlignment="1" applyProtection="1">
      <alignment horizontal="left" vertical="center" wrapText="1" readingOrder="1"/>
      <protection locked="0"/>
    </xf>
    <xf numFmtId="0" fontId="53" fillId="0" borderId="14" xfId="0" applyFont="1" applyBorder="1" applyAlignment="1">
      <alignment horizontal="right" wrapText="1"/>
    </xf>
    <xf numFmtId="0" fontId="52" fillId="0" borderId="0" xfId="0" applyFont="1" applyAlignment="1">
      <alignment wrapText="1"/>
    </xf>
  </cellXfs>
  <cellStyles count="133">
    <cellStyle name="20% - Accent1 2" xfId="3" xr:uid="{00000000-0005-0000-0000-000000000000}"/>
    <cellStyle name="20% - Accent1 2 2" xfId="4" xr:uid="{00000000-0005-0000-0000-000001000000}"/>
    <cellStyle name="20% - Accent1 3" xfId="5" xr:uid="{00000000-0005-0000-0000-000002000000}"/>
    <cellStyle name="20% - Accent1 4" xfId="6" xr:uid="{00000000-0005-0000-0000-000003000000}"/>
    <cellStyle name="20% - Accent2 2" xfId="7" xr:uid="{00000000-0005-0000-0000-000004000000}"/>
    <cellStyle name="20% - Accent2 2 2" xfId="8" xr:uid="{00000000-0005-0000-0000-000005000000}"/>
    <cellStyle name="20% - Accent2 3" xfId="9" xr:uid="{00000000-0005-0000-0000-000006000000}"/>
    <cellStyle name="20% - Accent2 4" xfId="10" xr:uid="{00000000-0005-0000-0000-000007000000}"/>
    <cellStyle name="20% - Accent3 2" xfId="11" xr:uid="{00000000-0005-0000-0000-000008000000}"/>
    <cellStyle name="20% - Accent3 2 2" xfId="12" xr:uid="{00000000-0005-0000-0000-000009000000}"/>
    <cellStyle name="20% - Accent3 3" xfId="13" xr:uid="{00000000-0005-0000-0000-00000A000000}"/>
    <cellStyle name="20% - Accent3 4" xfId="14" xr:uid="{00000000-0005-0000-0000-00000B000000}"/>
    <cellStyle name="20% - Accent4 2" xfId="15" xr:uid="{00000000-0005-0000-0000-00000C000000}"/>
    <cellStyle name="20% - Accent4 2 2" xfId="16" xr:uid="{00000000-0005-0000-0000-00000D000000}"/>
    <cellStyle name="20% - Accent4 3" xfId="17" xr:uid="{00000000-0005-0000-0000-00000E000000}"/>
    <cellStyle name="20% - Accent4 4" xfId="18" xr:uid="{00000000-0005-0000-0000-00000F000000}"/>
    <cellStyle name="20% - Accent5 2" xfId="19" xr:uid="{00000000-0005-0000-0000-000010000000}"/>
    <cellStyle name="20% - Accent5 2 2" xfId="20" xr:uid="{00000000-0005-0000-0000-000011000000}"/>
    <cellStyle name="20% - Accent5 3" xfId="21" xr:uid="{00000000-0005-0000-0000-000012000000}"/>
    <cellStyle name="20% - Accent5 4" xfId="22" xr:uid="{00000000-0005-0000-0000-000013000000}"/>
    <cellStyle name="20% - Accent6 2" xfId="23" xr:uid="{00000000-0005-0000-0000-000014000000}"/>
    <cellStyle name="20% - Accent6 2 2" xfId="24" xr:uid="{00000000-0005-0000-0000-000015000000}"/>
    <cellStyle name="20% - Accent6 3" xfId="25" xr:uid="{00000000-0005-0000-0000-000016000000}"/>
    <cellStyle name="20% - Accent6 4" xfId="26" xr:uid="{00000000-0005-0000-0000-000017000000}"/>
    <cellStyle name="40% - Accent1 2" xfId="27" xr:uid="{00000000-0005-0000-0000-000018000000}"/>
    <cellStyle name="40% - Accent1 2 2" xfId="28" xr:uid="{00000000-0005-0000-0000-000019000000}"/>
    <cellStyle name="40% - Accent1 3" xfId="29" xr:uid="{00000000-0005-0000-0000-00001A000000}"/>
    <cellStyle name="40% - Accent1 4" xfId="30" xr:uid="{00000000-0005-0000-0000-00001B000000}"/>
    <cellStyle name="40% - Accent2 2" xfId="31" xr:uid="{00000000-0005-0000-0000-00001C000000}"/>
    <cellStyle name="40% - Accent2 2 2" xfId="32" xr:uid="{00000000-0005-0000-0000-00001D000000}"/>
    <cellStyle name="40% - Accent2 3" xfId="33" xr:uid="{00000000-0005-0000-0000-00001E000000}"/>
    <cellStyle name="40% - Accent2 4" xfId="34" xr:uid="{00000000-0005-0000-0000-00001F000000}"/>
    <cellStyle name="40% - Accent3 2" xfId="35" xr:uid="{00000000-0005-0000-0000-000020000000}"/>
    <cellStyle name="40% - Accent3 2 2" xfId="36" xr:uid="{00000000-0005-0000-0000-000021000000}"/>
    <cellStyle name="40% - Accent3 3" xfId="37" xr:uid="{00000000-0005-0000-0000-000022000000}"/>
    <cellStyle name="40% - Accent3 4" xfId="38" xr:uid="{00000000-0005-0000-0000-000023000000}"/>
    <cellStyle name="40% - Accent4 2" xfId="39" xr:uid="{00000000-0005-0000-0000-000024000000}"/>
    <cellStyle name="40% - Accent4 2 2" xfId="40" xr:uid="{00000000-0005-0000-0000-000025000000}"/>
    <cellStyle name="40% - Accent4 3" xfId="41" xr:uid="{00000000-0005-0000-0000-000026000000}"/>
    <cellStyle name="40% - Accent4 4" xfId="42" xr:uid="{00000000-0005-0000-0000-000027000000}"/>
    <cellStyle name="40% - Accent5 2" xfId="43" xr:uid="{00000000-0005-0000-0000-000028000000}"/>
    <cellStyle name="40% - Accent5 2 2" xfId="44" xr:uid="{00000000-0005-0000-0000-000029000000}"/>
    <cellStyle name="40% - Accent5 3" xfId="45" xr:uid="{00000000-0005-0000-0000-00002A000000}"/>
    <cellStyle name="40% - Accent5 4" xfId="46" xr:uid="{00000000-0005-0000-0000-00002B000000}"/>
    <cellStyle name="40% - Accent6 2" xfId="47" xr:uid="{00000000-0005-0000-0000-00002C000000}"/>
    <cellStyle name="40% - Accent6 2 2" xfId="48" xr:uid="{00000000-0005-0000-0000-00002D000000}"/>
    <cellStyle name="40% - Accent6 3" xfId="49" xr:uid="{00000000-0005-0000-0000-00002E000000}"/>
    <cellStyle name="40% - Accent6 4" xfId="50" xr:uid="{00000000-0005-0000-0000-00002F000000}"/>
    <cellStyle name="60% - Accent1 2" xfId="51" xr:uid="{00000000-0005-0000-0000-000030000000}"/>
    <cellStyle name="60% - Accent1 3" xfId="52" xr:uid="{00000000-0005-0000-0000-000031000000}"/>
    <cellStyle name="60% - Accent2 2" xfId="53" xr:uid="{00000000-0005-0000-0000-000032000000}"/>
    <cellStyle name="60% - Accent2 3" xfId="54" xr:uid="{00000000-0005-0000-0000-000033000000}"/>
    <cellStyle name="60% - Accent3 2" xfId="55" xr:uid="{00000000-0005-0000-0000-000034000000}"/>
    <cellStyle name="60% - Accent3 3" xfId="56" xr:uid="{00000000-0005-0000-0000-000035000000}"/>
    <cellStyle name="60% - Accent4 2" xfId="57" xr:uid="{00000000-0005-0000-0000-000036000000}"/>
    <cellStyle name="60% - Accent4 3" xfId="58" xr:uid="{00000000-0005-0000-0000-000037000000}"/>
    <cellStyle name="60% - Accent5 2" xfId="59" xr:uid="{00000000-0005-0000-0000-000038000000}"/>
    <cellStyle name="60% - Accent5 3" xfId="60" xr:uid="{00000000-0005-0000-0000-000039000000}"/>
    <cellStyle name="60% - Accent6 2" xfId="61" xr:uid="{00000000-0005-0000-0000-00003A000000}"/>
    <cellStyle name="60% - Accent6 3" xfId="62" xr:uid="{00000000-0005-0000-0000-00003B000000}"/>
    <cellStyle name="Accent1 2" xfId="63" xr:uid="{00000000-0005-0000-0000-00003C000000}"/>
    <cellStyle name="Accent1 3" xfId="64" xr:uid="{00000000-0005-0000-0000-00003D000000}"/>
    <cellStyle name="Accent2 2" xfId="65" xr:uid="{00000000-0005-0000-0000-00003E000000}"/>
    <cellStyle name="Accent2 3" xfId="66" xr:uid="{00000000-0005-0000-0000-00003F000000}"/>
    <cellStyle name="Accent3 2" xfId="67" xr:uid="{00000000-0005-0000-0000-000040000000}"/>
    <cellStyle name="Accent3 3" xfId="68" xr:uid="{00000000-0005-0000-0000-000041000000}"/>
    <cellStyle name="Accent4 2" xfId="69" xr:uid="{00000000-0005-0000-0000-000042000000}"/>
    <cellStyle name="Accent4 3" xfId="70" xr:uid="{00000000-0005-0000-0000-000043000000}"/>
    <cellStyle name="Accent5 2" xfId="71" xr:uid="{00000000-0005-0000-0000-000044000000}"/>
    <cellStyle name="Accent5 3" xfId="72" xr:uid="{00000000-0005-0000-0000-000045000000}"/>
    <cellStyle name="Accent6 2" xfId="73" xr:uid="{00000000-0005-0000-0000-000046000000}"/>
    <cellStyle name="Accent6 3" xfId="74" xr:uid="{00000000-0005-0000-0000-000047000000}"/>
    <cellStyle name="Bad 2" xfId="75" xr:uid="{00000000-0005-0000-0000-000048000000}"/>
    <cellStyle name="Bad 3" xfId="76" xr:uid="{00000000-0005-0000-0000-000049000000}"/>
    <cellStyle name="Calculation 2" xfId="77" xr:uid="{00000000-0005-0000-0000-00004A000000}"/>
    <cellStyle name="Calculation 3" xfId="78" xr:uid="{00000000-0005-0000-0000-00004B000000}"/>
    <cellStyle name="Check Cell 2" xfId="79" xr:uid="{00000000-0005-0000-0000-00004C000000}"/>
    <cellStyle name="Check Cell 3" xfId="80" xr:uid="{00000000-0005-0000-0000-00004D000000}"/>
    <cellStyle name="Comma 2" xfId="81" xr:uid="{00000000-0005-0000-0000-00004E000000}"/>
    <cellStyle name="Comma 2 2" xfId="82" xr:uid="{00000000-0005-0000-0000-00004F000000}"/>
    <cellStyle name="Comma 2 3" xfId="83" xr:uid="{00000000-0005-0000-0000-000050000000}"/>
    <cellStyle name="Comma 3" xfId="84" xr:uid="{00000000-0005-0000-0000-000051000000}"/>
    <cellStyle name="Currency" xfId="1" builtinId="4"/>
    <cellStyle name="Explanatory Text 2" xfId="85" xr:uid="{00000000-0005-0000-0000-000053000000}"/>
    <cellStyle name="Explanatory Text 3" xfId="86" xr:uid="{00000000-0005-0000-0000-000054000000}"/>
    <cellStyle name="Good 2" xfId="87" xr:uid="{00000000-0005-0000-0000-000055000000}"/>
    <cellStyle name="Good 3" xfId="88" xr:uid="{00000000-0005-0000-0000-000056000000}"/>
    <cellStyle name="Heading 1 2" xfId="89" xr:uid="{00000000-0005-0000-0000-000057000000}"/>
    <cellStyle name="Heading 1 3" xfId="90" xr:uid="{00000000-0005-0000-0000-000058000000}"/>
    <cellStyle name="Heading 2 2" xfId="91" xr:uid="{00000000-0005-0000-0000-000059000000}"/>
    <cellStyle name="Heading 2 3" xfId="92" xr:uid="{00000000-0005-0000-0000-00005A000000}"/>
    <cellStyle name="Heading 3 2" xfId="93" xr:uid="{00000000-0005-0000-0000-00005B000000}"/>
    <cellStyle name="Heading 3 3" xfId="94" xr:uid="{00000000-0005-0000-0000-00005C000000}"/>
    <cellStyle name="Heading 4 2" xfId="95" xr:uid="{00000000-0005-0000-0000-00005D000000}"/>
    <cellStyle name="Heading 4 3" xfId="96" xr:uid="{00000000-0005-0000-0000-00005E000000}"/>
    <cellStyle name="Hyperlink 2" xfId="97" xr:uid="{00000000-0005-0000-0000-000060000000}"/>
    <cellStyle name="Input 2" xfId="98" xr:uid="{00000000-0005-0000-0000-000061000000}"/>
    <cellStyle name="Input 3" xfId="99" xr:uid="{00000000-0005-0000-0000-000062000000}"/>
    <cellStyle name="Linked Cell 2" xfId="100" xr:uid="{00000000-0005-0000-0000-000063000000}"/>
    <cellStyle name="Linked Cell 3" xfId="101" xr:uid="{00000000-0005-0000-0000-000064000000}"/>
    <cellStyle name="Neutral 2" xfId="102" xr:uid="{00000000-0005-0000-0000-000065000000}"/>
    <cellStyle name="Neutral 3" xfId="103" xr:uid="{00000000-0005-0000-0000-000066000000}"/>
    <cellStyle name="Normal" xfId="0" builtinId="0"/>
    <cellStyle name="Normal 2" xfId="104" xr:uid="{00000000-0005-0000-0000-000068000000}"/>
    <cellStyle name="Normal 2 2" xfId="105" xr:uid="{00000000-0005-0000-0000-000069000000}"/>
    <cellStyle name="Normal 2 5" xfId="106" xr:uid="{00000000-0005-0000-0000-00006A000000}"/>
    <cellStyle name="Normal 3" xfId="107" xr:uid="{00000000-0005-0000-0000-00006B000000}"/>
    <cellStyle name="Normal 3 2" xfId="108" xr:uid="{00000000-0005-0000-0000-00006C000000}"/>
    <cellStyle name="Normal 3 3" xfId="109" xr:uid="{00000000-0005-0000-0000-00006D000000}"/>
    <cellStyle name="Normal 4" xfId="110" xr:uid="{00000000-0005-0000-0000-00006E000000}"/>
    <cellStyle name="Normal 4 2" xfId="111" xr:uid="{00000000-0005-0000-0000-00006F000000}"/>
    <cellStyle name="Normal 4 3" xfId="112" xr:uid="{00000000-0005-0000-0000-000070000000}"/>
    <cellStyle name="Normal 4 3 2" xfId="113" xr:uid="{00000000-0005-0000-0000-000071000000}"/>
    <cellStyle name="Normal 4 4" xfId="114" xr:uid="{00000000-0005-0000-0000-000072000000}"/>
    <cellStyle name="Normal 5" xfId="115" xr:uid="{00000000-0005-0000-0000-000073000000}"/>
    <cellStyle name="Normal 5 2" xfId="116" xr:uid="{00000000-0005-0000-0000-000074000000}"/>
    <cellStyle name="Normal 6" xfId="117" xr:uid="{00000000-0005-0000-0000-000075000000}"/>
    <cellStyle name="Normal 7" xfId="118" xr:uid="{00000000-0005-0000-0000-000076000000}"/>
    <cellStyle name="Note 2" xfId="119" xr:uid="{00000000-0005-0000-0000-000077000000}"/>
    <cellStyle name="Note 2 2" xfId="120" xr:uid="{00000000-0005-0000-0000-000078000000}"/>
    <cellStyle name="Note 3" xfId="121" xr:uid="{00000000-0005-0000-0000-000079000000}"/>
    <cellStyle name="Note 4" xfId="122" xr:uid="{00000000-0005-0000-0000-00007A000000}"/>
    <cellStyle name="Output 2" xfId="123" xr:uid="{00000000-0005-0000-0000-00007B000000}"/>
    <cellStyle name="Output 3" xfId="124" xr:uid="{00000000-0005-0000-0000-00007C000000}"/>
    <cellStyle name="Percent" xfId="2" builtinId="5"/>
    <cellStyle name="Percent 2" xfId="125" xr:uid="{00000000-0005-0000-0000-00007E000000}"/>
    <cellStyle name="Percent 2 2" xfId="126" xr:uid="{00000000-0005-0000-0000-00007F000000}"/>
    <cellStyle name="Percent 3" xfId="127" xr:uid="{00000000-0005-0000-0000-000080000000}"/>
    <cellStyle name="Style 1" xfId="128" xr:uid="{00000000-0005-0000-0000-000081000000}"/>
    <cellStyle name="Total 2" xfId="129" xr:uid="{00000000-0005-0000-0000-000082000000}"/>
    <cellStyle name="Total 3" xfId="130" xr:uid="{00000000-0005-0000-0000-000083000000}"/>
    <cellStyle name="Warning Text 2" xfId="131" xr:uid="{00000000-0005-0000-0000-000084000000}"/>
    <cellStyle name="Warning Text 3" xfId="132" xr:uid="{00000000-0005-0000-0000-000085000000}"/>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LOAN Breakeven Analysis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cked"/>
        <c:varyColors val="0"/>
        <c:ser>
          <c:idx val="0"/>
          <c:order val="0"/>
          <c:spPr>
            <a:solidFill>
              <a:schemeClr val="accent1"/>
            </a:solidFill>
            <a:ln>
              <a:noFill/>
            </a:ln>
            <a:effectLst/>
          </c:spPr>
          <c:cat>
            <c:numRef>
              <c:f>'Solar Farm Financials'!$D$18:$D$47</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'Solar Farm Financials'!$K$17:$K$47</c:f>
              <c:numCache>
                <c:formatCode>_("$"* #,##0_);_("$"* \(#,##0\);_("$"* "-"??_);_(@_)</c:formatCode>
                <c:ptCount val="31"/>
                <c:pt idx="0">
                  <c:v>-14462.400000000001</c:v>
                </c:pt>
                <c:pt idx="1">
                  <c:v>5571.0051062602433</c:v>
                </c:pt>
                <c:pt idx="2">
                  <c:v>3990.3390125204883</c:v>
                </c:pt>
                <c:pt idx="3">
                  <c:v>2490.7922947807333</c:v>
                </c:pt>
                <c:pt idx="4">
                  <c:v>1073.9873405609783</c:v>
                </c:pt>
                <c:pt idx="5">
                  <c:v>-258.42101486837646</c:v>
                </c:pt>
                <c:pt idx="6">
                  <c:v>-1504.7448395315228</c:v>
                </c:pt>
                <c:pt idx="7">
                  <c:v>-2663.2624428131371</c:v>
                </c:pt>
                <c:pt idx="8">
                  <c:v>-3732.2177002855883</c:v>
                </c:pt>
                <c:pt idx="9">
                  <c:v>-4709.8193650326939</c:v>
                </c:pt>
                <c:pt idx="10">
                  <c:v>-5594.2403651999457</c:v>
                </c:pt>
                <c:pt idx="11">
                  <c:v>644.77180624400808</c:v>
                </c:pt>
                <c:pt idx="12">
                  <c:v>6980.7291411168408</c:v>
                </c:pt>
                <c:pt idx="13">
                  <c:v>13415.57054268713</c:v>
                </c:pt>
                <c:pt idx="14">
                  <c:v>19951.273692288825</c:v>
                </c:pt>
                <c:pt idx="15">
                  <c:v>26589.855824882554</c:v>
                </c:pt>
                <c:pt idx="16">
                  <c:v>33333.374520128156</c:v>
                </c:pt>
                <c:pt idx="17">
                  <c:v>40183.928509278674</c:v>
                </c:pt>
                <c:pt idx="18">
                  <c:v>47143.6584982122</c:v>
                </c:pt>
                <c:pt idx="19">
                  <c:v>54214.748006924397</c:v>
                </c:pt>
                <c:pt idx="20">
                  <c:v>61399.424225810842</c:v>
                </c:pt>
                <c:pt idx="21">
                  <c:v>68699.958889075016</c:v>
                </c:pt>
                <c:pt idx="22">
                  <c:v>76118.669165604471</c:v>
                </c:pt>
                <c:pt idx="23">
                  <c:v>83657.918567664514</c:v>
                </c:pt>
                <c:pt idx="24">
                  <c:v>91320.117877765762</c:v>
                </c:pt>
                <c:pt idx="25">
                  <c:v>99107.726094069032</c:v>
                </c:pt>
                <c:pt idx="26">
                  <c:v>107023.25139469837</c:v>
                </c:pt>
                <c:pt idx="27">
                  <c:v>115069.25212134029</c:v>
                </c:pt>
                <c:pt idx="28">
                  <c:v>123248.33778251505</c:v>
                </c:pt>
                <c:pt idx="29">
                  <c:v>131563.17007691332</c:v>
                </c:pt>
                <c:pt idx="30">
                  <c:v>140016.46393719953</c:v>
                </c:pt>
              </c:numCache>
            </c:numRef>
          </c:val>
          <c:extLst>
            <c:ext xmlns:c16="http://schemas.microsoft.com/office/drawing/2014/chart" uri="{C3380CC4-5D6E-409C-BE32-E72D297353CC}">
              <c16:uniqueId val="{00000000-BBFC-49BE-AB8A-84CBF28CF8B3}"/>
            </c:ext>
          </c:extLst>
        </c:ser>
        <c:dLbls>
          <c:showLegendKey val="0"/>
          <c:showVal val="0"/>
          <c:showCatName val="0"/>
          <c:showSerName val="0"/>
          <c:showPercent val="0"/>
          <c:showBubbleSize val="0"/>
        </c:dLbls>
        <c:axId val="400087432"/>
        <c:axId val="400087760"/>
      </c:areaChart>
      <c:catAx>
        <c:axId val="40008743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Years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0087760"/>
        <c:crosses val="autoZero"/>
        <c:auto val="1"/>
        <c:lblAlgn val="ctr"/>
        <c:lblOffset val="100"/>
        <c:tickMarkSkip val="2"/>
        <c:noMultiLvlLbl val="0"/>
      </c:catAx>
      <c:valAx>
        <c:axId val="400087760"/>
        <c:scaling>
          <c:orientation val="minMax"/>
          <c:max val="60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Total Savings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0087432"/>
        <c:crossesAt val="1"/>
        <c:crossBetween val="midCat"/>
        <c:majorUnit val="5000"/>
      </c:valAx>
      <c:spPr>
        <a:pattFill prst="ltDnDiag">
          <a:fgClr>
            <a:schemeClr val="dk1">
              <a:lumMod val="15000"/>
              <a:lumOff val="85000"/>
            </a:schemeClr>
          </a:fgClr>
          <a:bgClr>
            <a:schemeClr val="lt1"/>
          </a:bgClr>
        </a:pattFill>
        <a:ln>
          <a:noFill/>
        </a:ln>
        <a:effectLst/>
      </c:spPr>
    </c:plotArea>
    <c:plotVisOnly val="1"/>
    <c:dispBlanksAs val="zero"/>
    <c:showDLblsOverMax val="0"/>
  </c:chart>
  <c:spPr>
    <a:solidFill>
      <a:schemeClr val="lt1"/>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CASH Breakeven Analysis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areaChart>
        <c:grouping val="stacked"/>
        <c:varyColors val="0"/>
        <c:ser>
          <c:idx val="0"/>
          <c:order val="0"/>
          <c:spPr>
            <a:solidFill>
              <a:schemeClr val="accent1"/>
            </a:solidFill>
            <a:ln w="25400">
              <a:noFill/>
            </a:ln>
            <a:effectLst/>
          </c:spPr>
          <c:cat>
            <c:numRef>
              <c:f>'Solar Farm Financials'!$D$18:$D$47</c:f>
              <c:numCache>
                <c:formatCode>0</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'Solar Farm Financials'!$M$17:$M$47</c:f>
              <c:numCache>
                <c:formatCode>_("$"* #,##0_);_("$"* \(#,##0\);_("$"* "-"??_);_(@_)</c:formatCode>
                <c:ptCount val="31"/>
                <c:pt idx="0">
                  <c:v>-72312</c:v>
                </c:pt>
                <c:pt idx="1">
                  <c:v>-45250.206000000006</c:v>
                </c:pt>
                <c:pt idx="2">
                  <c:v>-39802.483200000002</c:v>
                </c:pt>
                <c:pt idx="3">
                  <c:v>-34273.641024000004</c:v>
                </c:pt>
                <c:pt idx="4">
                  <c:v>-28662.057084480002</c:v>
                </c:pt>
                <c:pt idx="5">
                  <c:v>-22966.076546169603</c:v>
                </c:pt>
                <c:pt idx="6">
                  <c:v>-17184.011477092994</c:v>
                </c:pt>
                <c:pt idx="7">
                  <c:v>-11314.140186634853</c:v>
                </c:pt>
                <c:pt idx="8">
                  <c:v>-5354.7065503675494</c:v>
                </c:pt>
                <c:pt idx="9">
                  <c:v>696.08067862510052</c:v>
                </c:pt>
                <c:pt idx="10">
                  <c:v>6840.0485721976038</c:v>
                </c:pt>
                <c:pt idx="11">
                  <c:v>13079.060743641558</c:v>
                </c:pt>
                <c:pt idx="12">
                  <c:v>19415.018078514389</c:v>
                </c:pt>
                <c:pt idx="13">
                  <c:v>25849.859480084677</c:v>
                </c:pt>
                <c:pt idx="14">
                  <c:v>32385.56262968637</c:v>
                </c:pt>
                <c:pt idx="15">
                  <c:v>39024.144762280099</c:v>
                </c:pt>
                <c:pt idx="16">
                  <c:v>45767.663457525705</c:v>
                </c:pt>
                <c:pt idx="17">
                  <c:v>52618.217446676223</c:v>
                </c:pt>
                <c:pt idx="18">
                  <c:v>59577.947435609749</c:v>
                </c:pt>
                <c:pt idx="19">
                  <c:v>66649.036944321939</c:v>
                </c:pt>
                <c:pt idx="20">
                  <c:v>73833.713163208376</c:v>
                </c:pt>
                <c:pt idx="21">
                  <c:v>81134.247826472551</c:v>
                </c:pt>
                <c:pt idx="22">
                  <c:v>88552.958103002005</c:v>
                </c:pt>
                <c:pt idx="23">
                  <c:v>96092.207505062048</c:v>
                </c:pt>
                <c:pt idx="24">
                  <c:v>103754.4068151633</c:v>
                </c:pt>
                <c:pt idx="25">
                  <c:v>111542.01503146657</c:v>
                </c:pt>
                <c:pt idx="26">
                  <c:v>119457.5403320959</c:v>
                </c:pt>
                <c:pt idx="27">
                  <c:v>127503.54105873783</c:v>
                </c:pt>
                <c:pt idx="28">
                  <c:v>135682.6267199126</c:v>
                </c:pt>
                <c:pt idx="29">
                  <c:v>143997.45901431085</c:v>
                </c:pt>
                <c:pt idx="30">
                  <c:v>152450.75287459706</c:v>
                </c:pt>
              </c:numCache>
            </c:numRef>
          </c:val>
          <c:extLst>
            <c:ext xmlns:c16="http://schemas.microsoft.com/office/drawing/2014/chart" uri="{C3380CC4-5D6E-409C-BE32-E72D297353CC}">
              <c16:uniqueId val="{00000000-466F-4900-8286-A3F7115C4EAD}"/>
            </c:ext>
          </c:extLst>
        </c:ser>
        <c:dLbls>
          <c:showLegendKey val="0"/>
          <c:showVal val="0"/>
          <c:showCatName val="0"/>
          <c:showSerName val="0"/>
          <c:showPercent val="0"/>
          <c:showBubbleSize val="0"/>
        </c:dLbls>
        <c:axId val="400087432"/>
        <c:axId val="400087760"/>
      </c:areaChart>
      <c:catAx>
        <c:axId val="40008743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Years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00087760"/>
        <c:crosses val="autoZero"/>
        <c:auto val="1"/>
        <c:lblAlgn val="ctr"/>
        <c:lblOffset val="100"/>
        <c:tickMarkSkip val="2"/>
        <c:noMultiLvlLbl val="0"/>
      </c:catAx>
      <c:valAx>
        <c:axId val="400087760"/>
        <c:scaling>
          <c:orientation val="minMax"/>
          <c:max val="60000"/>
          <c:min val="-15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Total Savings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0087432"/>
        <c:crossesAt val="1"/>
        <c:crossBetween val="midCat"/>
        <c:majorUnit val="5000"/>
      </c:valAx>
      <c:spPr>
        <a:pattFill prst="ltDnDiag">
          <a:fgClr>
            <a:schemeClr val="dk1">
              <a:lumMod val="15000"/>
              <a:lumOff val="85000"/>
            </a:schemeClr>
          </a:fgClr>
          <a:bgClr>
            <a:schemeClr val="lt1"/>
          </a:bgClr>
        </a:pattFill>
        <a:ln>
          <a:noFill/>
        </a:ln>
        <a:effectLst/>
      </c:spPr>
    </c:plotArea>
    <c:plotVisOnly val="1"/>
    <c:dispBlanksAs val="zero"/>
    <c:showDLblsOverMax val="0"/>
  </c:chart>
  <c:spPr>
    <a:solidFill>
      <a:schemeClr val="lt1"/>
    </a:solidFill>
    <a:ln w="38100"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564354</xdr:colOff>
      <xdr:row>14</xdr:row>
      <xdr:rowOff>28573</xdr:rowOff>
    </xdr:from>
    <xdr:to>
      <xdr:col>24</xdr:col>
      <xdr:colOff>595313</xdr:colOff>
      <xdr:row>30</xdr:row>
      <xdr:rowOff>71436</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547687</xdr:colOff>
      <xdr:row>30</xdr:row>
      <xdr:rowOff>178594</xdr:rowOff>
    </xdr:from>
    <xdr:to>
      <xdr:col>24</xdr:col>
      <xdr:colOff>578647</xdr:colOff>
      <xdr:row>50</xdr:row>
      <xdr:rowOff>66677</xdr:rowOff>
    </xdr:to>
    <xdr:graphicFrame macro="">
      <xdr:nvGraphicFramePr>
        <xdr:cNvPr id="3" name="Chart 2">
          <a:extLst>
            <a:ext uri="{FF2B5EF4-FFF2-40B4-BE49-F238E27FC236}">
              <a16:creationId xmlns:a16="http://schemas.microsoft.com/office/drawing/2014/main" id="{5494FC59-232D-40AA-B60B-A07A87158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199571</xdr:colOff>
      <xdr:row>56</xdr:row>
      <xdr:rowOff>145143</xdr:rowOff>
    </xdr:from>
    <xdr:to>
      <xdr:col>4</xdr:col>
      <xdr:colOff>391566</xdr:colOff>
      <xdr:row>88</xdr:row>
      <xdr:rowOff>114609</xdr:rowOff>
    </xdr:to>
    <xdr:pic>
      <xdr:nvPicPr>
        <xdr:cNvPr id="5" name="Picture 4">
          <a:extLst>
            <a:ext uri="{FF2B5EF4-FFF2-40B4-BE49-F238E27FC236}">
              <a16:creationId xmlns:a16="http://schemas.microsoft.com/office/drawing/2014/main" id="{2399E14C-1266-48CC-B912-DBC59B46D6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571" y="12273643"/>
          <a:ext cx="5190352" cy="5775180"/>
        </a:xfrm>
        <a:prstGeom prst="rect">
          <a:avLst/>
        </a:prstGeom>
      </xdr:spPr>
    </xdr:pic>
    <xdr:clientData/>
  </xdr:twoCellAnchor>
  <xdr:twoCellAnchor editAs="oneCell">
    <xdr:from>
      <xdr:col>5</xdr:col>
      <xdr:colOff>0</xdr:colOff>
      <xdr:row>58</xdr:row>
      <xdr:rowOff>1</xdr:rowOff>
    </xdr:from>
    <xdr:to>
      <xdr:col>10</xdr:col>
      <xdr:colOff>350699</xdr:colOff>
      <xdr:row>85</xdr:row>
      <xdr:rowOff>90715</xdr:rowOff>
    </xdr:to>
    <xdr:pic>
      <xdr:nvPicPr>
        <xdr:cNvPr id="16" name="Picture 15">
          <a:extLst>
            <a:ext uri="{FF2B5EF4-FFF2-40B4-BE49-F238E27FC236}">
              <a16:creationId xmlns:a16="http://schemas.microsoft.com/office/drawing/2014/main" id="{D1C78FFD-2293-42C5-86E0-409162E6B44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05071" y="12491358"/>
          <a:ext cx="5884271" cy="4989286"/>
        </a:xfrm>
        <a:prstGeom prst="rect">
          <a:avLst/>
        </a:prstGeom>
      </xdr:spPr>
    </xdr:pic>
    <xdr:clientData/>
  </xdr:twoCellAnchor>
  <xdr:twoCellAnchor editAs="oneCell">
    <xdr:from>
      <xdr:col>5</xdr:col>
      <xdr:colOff>0</xdr:colOff>
      <xdr:row>87</xdr:row>
      <xdr:rowOff>0</xdr:rowOff>
    </xdr:from>
    <xdr:to>
      <xdr:col>10</xdr:col>
      <xdr:colOff>317500</xdr:colOff>
      <xdr:row>110</xdr:row>
      <xdr:rowOff>93657</xdr:rowOff>
    </xdr:to>
    <xdr:pic>
      <xdr:nvPicPr>
        <xdr:cNvPr id="18" name="Picture 17">
          <a:extLst>
            <a:ext uri="{FF2B5EF4-FFF2-40B4-BE49-F238E27FC236}">
              <a16:creationId xmlns:a16="http://schemas.microsoft.com/office/drawing/2014/main" id="{D4DF72BF-CB21-41F3-819B-C24CDBCE053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05071" y="17752786"/>
          <a:ext cx="5851072" cy="42665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Solar\USS%202017\USS_2017_Capacity,GHI,ILR,Price,CSP_%20EIA%202016_2018.08.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ed data"/>
      <sheetName val="data summary"/>
      <sheetName val="Capacity Additions"/>
      <sheetName val="PV Tech GHI"/>
      <sheetName val="PV Tech ILR"/>
      <sheetName val="PV Tech Price"/>
      <sheetName val="PV+S"/>
      <sheetName val="TTS Price Comp"/>
      <sheetName val="CSP Tech Price "/>
      <sheetName val="graph guide"/>
      <sheetName val="lookup values"/>
      <sheetName val="PV PPA"/>
      <sheetName val="PV Performance"/>
      <sheetName val="PV Price Learning Rate"/>
      <sheetName val="DoE Brief Data from LBNL USS"/>
      <sheetName val="Fig 1"/>
      <sheetName val="Fig 4"/>
      <sheetName val="Fig 5"/>
      <sheetName val="Fig 6"/>
      <sheetName val="Fig 7"/>
      <sheetName val="Fig 8"/>
      <sheetName val="Fig 9"/>
      <sheetName val="Fig 10"/>
      <sheetName val="Fig 11"/>
      <sheetName val="Fig 12"/>
      <sheetName val="Fig 13"/>
      <sheetName val="Fig 25"/>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8"/>
  <sheetViews>
    <sheetView tabSelected="1" zoomScale="70" zoomScaleNormal="70" workbookViewId="0">
      <selection activeCell="L48" sqref="L48"/>
    </sheetView>
  </sheetViews>
  <sheetFormatPr defaultColWidth="9.1796875" defaultRowHeight="14" x14ac:dyDescent="0.3"/>
  <cols>
    <col min="1" max="1" width="46.81640625" style="2" customWidth="1"/>
    <col min="2" max="2" width="13.1796875" style="14" customWidth="1"/>
    <col min="3" max="3" width="1.453125" style="2" bestFit="1" customWidth="1"/>
    <col min="4" max="4" width="10" style="2" bestFit="1" customWidth="1"/>
    <col min="5" max="5" width="15.81640625" style="3" bestFit="1" customWidth="1"/>
    <col min="6" max="7" width="15.81640625" style="3" customWidth="1"/>
    <col min="8" max="13" width="15.81640625" style="2" customWidth="1"/>
    <col min="14" max="16384" width="9.1796875" style="2"/>
  </cols>
  <sheetData>
    <row r="1" spans="1:13" s="67" customFormat="1" ht="28" x14ac:dyDescent="0.6">
      <c r="A1" s="67" t="s">
        <v>0</v>
      </c>
      <c r="B1" s="68"/>
      <c r="E1" s="69"/>
      <c r="F1" s="69"/>
      <c r="G1" s="69"/>
    </row>
    <row r="2" spans="1:13" ht="20.5" x14ac:dyDescent="0.45">
      <c r="A2" s="59" t="s">
        <v>1</v>
      </c>
      <c r="B2" s="60"/>
    </row>
    <row r="3" spans="1:13" ht="20.5" x14ac:dyDescent="0.45">
      <c r="A3" s="59" t="s">
        <v>2</v>
      </c>
      <c r="B3" s="60"/>
    </row>
    <row r="4" spans="1:13" ht="20.5" x14ac:dyDescent="0.45">
      <c r="A4" s="59" t="s">
        <v>3</v>
      </c>
      <c r="B4" s="60"/>
    </row>
    <row r="5" spans="1:13" ht="20.5" x14ac:dyDescent="0.45">
      <c r="A5" s="59" t="s">
        <v>4</v>
      </c>
      <c r="B5" s="60"/>
    </row>
    <row r="6" spans="1:13" ht="20.5" x14ac:dyDescent="0.45">
      <c r="A6" s="59" t="s">
        <v>5</v>
      </c>
      <c r="B6" s="60"/>
    </row>
    <row r="7" spans="1:13" ht="20.5" x14ac:dyDescent="0.45">
      <c r="A7" s="59" t="s">
        <v>6</v>
      </c>
      <c r="B7" s="60"/>
    </row>
    <row r="8" spans="1:13" ht="20.5" x14ac:dyDescent="0.45">
      <c r="A8" s="59" t="s">
        <v>7</v>
      </c>
      <c r="B8" s="60"/>
    </row>
    <row r="9" spans="1:13" ht="20.5" x14ac:dyDescent="0.45">
      <c r="A9" s="59" t="s">
        <v>8</v>
      </c>
      <c r="B9" s="60"/>
    </row>
    <row r="10" spans="1:13" ht="20.5" x14ac:dyDescent="0.45">
      <c r="A10" s="59" t="s">
        <v>9</v>
      </c>
      <c r="B10" s="60"/>
    </row>
    <row r="11" spans="1:13" ht="20.5" x14ac:dyDescent="0.45">
      <c r="A11" s="59" t="s">
        <v>10</v>
      </c>
      <c r="B11" s="60"/>
    </row>
    <row r="12" spans="1:13" ht="20.5" x14ac:dyDescent="0.45">
      <c r="A12" s="59" t="s">
        <v>11</v>
      </c>
      <c r="B12" s="60"/>
    </row>
    <row r="13" spans="1:13" ht="20.5" x14ac:dyDescent="0.45">
      <c r="A13" s="59" t="s">
        <v>12</v>
      </c>
      <c r="B13" s="60"/>
    </row>
    <row r="15" spans="1:13" ht="30.5" thickBot="1" x14ac:dyDescent="0.65">
      <c r="A15" s="66" t="s">
        <v>13</v>
      </c>
      <c r="B15" s="1"/>
    </row>
    <row r="16" spans="1:13" s="4" customFormat="1" ht="28.5" thickBot="1" x14ac:dyDescent="0.4">
      <c r="A16" s="72" t="s">
        <v>14</v>
      </c>
      <c r="B16" s="73"/>
      <c r="C16" s="4" t="s">
        <v>15</v>
      </c>
      <c r="D16" s="42" t="s">
        <v>16</v>
      </c>
      <c r="E16" s="43" t="s">
        <v>17</v>
      </c>
      <c r="F16" s="43" t="s">
        <v>18</v>
      </c>
      <c r="G16" s="43" t="s">
        <v>19</v>
      </c>
      <c r="H16" s="44" t="s">
        <v>20</v>
      </c>
      <c r="I16" s="36" t="s">
        <v>21</v>
      </c>
      <c r="J16" s="35" t="s">
        <v>22</v>
      </c>
      <c r="K16" s="36" t="s">
        <v>23</v>
      </c>
      <c r="L16" s="35" t="s">
        <v>24</v>
      </c>
      <c r="M16" s="36" t="s">
        <v>25</v>
      </c>
    </row>
    <row r="17" spans="1:13" x14ac:dyDescent="0.3">
      <c r="A17" s="5" t="s">
        <v>26</v>
      </c>
      <c r="B17" s="50">
        <v>0.12</v>
      </c>
      <c r="C17" s="2" t="s">
        <v>15</v>
      </c>
      <c r="D17" s="45">
        <v>0</v>
      </c>
      <c r="E17" s="6">
        <f>IF('Solar Farm Financials'!B23&gt;0,-'Solar Farm Financials'!B29,-'Solar Farm Financials'!B28)</f>
        <v>-14462.400000000001</v>
      </c>
      <c r="F17" s="6">
        <v>0</v>
      </c>
      <c r="G17" s="6">
        <v>0</v>
      </c>
      <c r="H17" s="6">
        <v>0</v>
      </c>
      <c r="I17" s="46">
        <v>0</v>
      </c>
      <c r="J17" s="37">
        <f>SUM(E17:I17)</f>
        <v>-14462.400000000001</v>
      </c>
      <c r="K17" s="38">
        <f>'Solar Farm Financials'!J17</f>
        <v>-14462.400000000001</v>
      </c>
      <c r="L17" s="37">
        <f>-B28</f>
        <v>-72312</v>
      </c>
      <c r="M17" s="38">
        <f>'Solar Farm Financials'!L17</f>
        <v>-72312</v>
      </c>
    </row>
    <row r="18" spans="1:13" x14ac:dyDescent="0.3">
      <c r="A18" s="5" t="s">
        <v>27</v>
      </c>
      <c r="B18" s="51">
        <v>33137</v>
      </c>
      <c r="C18" s="2" t="s">
        <v>15</v>
      </c>
      <c r="D18" s="45">
        <v>1</v>
      </c>
      <c r="E18" s="6">
        <f>IF(D18&lt;='Solar Farm Financials'!$B$23, -'Solar Farm Financials'!$B$30, 0)</f>
        <v>-7028.3888937397551</v>
      </c>
      <c r="F18" s="6">
        <f>'Solar Farm Financials'!B35</f>
        <v>21693.599999999999</v>
      </c>
      <c r="G18" s="6">
        <f>B38</f>
        <v>0</v>
      </c>
      <c r="H18" s="6">
        <f>B36</f>
        <v>3976.44</v>
      </c>
      <c r="I18" s="46">
        <f>'Solar Farm Financials'!$B$37</f>
        <v>1391.7539999999999</v>
      </c>
      <c r="J18" s="37">
        <f>SUM(E18:I18)</f>
        <v>20033.405106260245</v>
      </c>
      <c r="K18" s="38">
        <f>K17+'Solar Farm Financials'!J18</f>
        <v>5571.0051062602433</v>
      </c>
      <c r="L18" s="37">
        <f>SUM(F18:I18)</f>
        <v>27061.793999999998</v>
      </c>
      <c r="M18" s="38">
        <f>M17+'Solar Farm Financials'!L18</f>
        <v>-45250.206000000006</v>
      </c>
    </row>
    <row r="19" spans="1:13" x14ac:dyDescent="0.3">
      <c r="A19" s="5" t="s">
        <v>28</v>
      </c>
      <c r="B19" s="62">
        <v>26200</v>
      </c>
      <c r="C19" s="2" t="s">
        <v>15</v>
      </c>
      <c r="D19" s="45">
        <v>2</v>
      </c>
      <c r="E19" s="6">
        <f>IF(D19&lt;='Solar Farm Financials'!$B$23, -'Solar Farm Financials'!$B$30, 0)</f>
        <v>-7028.3888937397551</v>
      </c>
      <c r="F19" s="6">
        <v>0</v>
      </c>
      <c r="G19" s="6">
        <v>0</v>
      </c>
      <c r="H19" s="6">
        <f t="shared" ref="H19:H47" si="0">H18+($B$21*H18)</f>
        <v>4055.9688000000001</v>
      </c>
      <c r="I19" s="46">
        <f>'Solar Farm Financials'!$B$37</f>
        <v>1391.7539999999999</v>
      </c>
      <c r="J19" s="37">
        <f>SUM(E19:I19)</f>
        <v>-1580.6660937397551</v>
      </c>
      <c r="K19" s="38">
        <f>K18+'Solar Farm Financials'!J19</f>
        <v>3990.3390125204883</v>
      </c>
      <c r="L19" s="37">
        <f>SUM(F19:I19)</f>
        <v>5447.7227999999996</v>
      </c>
      <c r="M19" s="38">
        <f>M18+'Solar Farm Financials'!L19</f>
        <v>-39802.483200000002</v>
      </c>
    </row>
    <row r="20" spans="1:13" x14ac:dyDescent="0.3">
      <c r="A20" s="5" t="s">
        <v>29</v>
      </c>
      <c r="B20" s="53">
        <v>2.76</v>
      </c>
      <c r="C20" s="2" t="s">
        <v>15</v>
      </c>
      <c r="D20" s="45">
        <v>3</v>
      </c>
      <c r="E20" s="6">
        <f>IF(D20&lt;='Solar Farm Financials'!$B$23, -'Solar Farm Financials'!$B$30, 0)</f>
        <v>-7028.3888937397551</v>
      </c>
      <c r="F20" s="6">
        <v>0</v>
      </c>
      <c r="G20" s="6">
        <v>0</v>
      </c>
      <c r="H20" s="6">
        <f t="shared" si="0"/>
        <v>4137.0881760000002</v>
      </c>
      <c r="I20" s="46">
        <f>'Solar Farm Financials'!$B$37</f>
        <v>1391.7539999999999</v>
      </c>
      <c r="J20" s="37">
        <f t="shared" ref="J20:J46" si="1">SUM(E20:I20)</f>
        <v>-1499.546717739755</v>
      </c>
      <c r="K20" s="38">
        <f>K19+'Solar Farm Financials'!J20</f>
        <v>2490.7922947807333</v>
      </c>
      <c r="L20" s="37">
        <f t="shared" ref="L20:L47" si="2">SUM(F20:I20)</f>
        <v>5528.8421760000001</v>
      </c>
      <c r="M20" s="38">
        <f>M19+'Solar Farm Financials'!L20</f>
        <v>-34273.641024000004</v>
      </c>
    </row>
    <row r="21" spans="1:13" x14ac:dyDescent="0.3">
      <c r="A21" s="5" t="s">
        <v>30</v>
      </c>
      <c r="B21" s="54">
        <v>0.02</v>
      </c>
      <c r="C21" s="2" t="s">
        <v>15</v>
      </c>
      <c r="D21" s="45">
        <v>4</v>
      </c>
      <c r="E21" s="6">
        <f>IF(D21&lt;='Solar Farm Financials'!$B$23, -'Solar Farm Financials'!$B$30, 0)</f>
        <v>-7028.3888937397551</v>
      </c>
      <c r="F21" s="6">
        <v>0</v>
      </c>
      <c r="G21" s="6">
        <v>0</v>
      </c>
      <c r="H21" s="6">
        <f t="shared" si="0"/>
        <v>4219.8299395200002</v>
      </c>
      <c r="I21" s="46">
        <f>'Solar Farm Financials'!$B$37</f>
        <v>1391.7539999999999</v>
      </c>
      <c r="J21" s="37">
        <f t="shared" si="1"/>
        <v>-1416.804954219755</v>
      </c>
      <c r="K21" s="38">
        <f>K20+'Solar Farm Financials'!J21</f>
        <v>1073.9873405609783</v>
      </c>
      <c r="L21" s="37">
        <f t="shared" si="2"/>
        <v>5611.5839395200001</v>
      </c>
      <c r="M21" s="38">
        <f>M20+'Solar Farm Financials'!L21</f>
        <v>-28662.057084480002</v>
      </c>
    </row>
    <row r="22" spans="1:13" x14ac:dyDescent="0.3">
      <c r="A22" s="5" t="s">
        <v>31</v>
      </c>
      <c r="B22" s="55">
        <v>0.04</v>
      </c>
      <c r="C22" s="2" t="s">
        <v>15</v>
      </c>
      <c r="D22" s="45">
        <v>5</v>
      </c>
      <c r="E22" s="6">
        <f>IF(D22&lt;='Solar Farm Financials'!$B$23, -'Solar Farm Financials'!$B$30, 0)</f>
        <v>-7028.3888937397551</v>
      </c>
      <c r="F22" s="6">
        <v>0</v>
      </c>
      <c r="G22" s="6">
        <v>0</v>
      </c>
      <c r="H22" s="6">
        <f t="shared" si="0"/>
        <v>4304.2265383104004</v>
      </c>
      <c r="I22" s="46">
        <f>'Solar Farm Financials'!$B$37</f>
        <v>1391.7539999999999</v>
      </c>
      <c r="J22" s="37">
        <f t="shared" si="1"/>
        <v>-1332.4083554293547</v>
      </c>
      <c r="K22" s="38">
        <f>K21+'Solar Farm Financials'!J22</f>
        <v>-258.42101486837646</v>
      </c>
      <c r="L22" s="37">
        <f t="shared" si="2"/>
        <v>5695.9805383104003</v>
      </c>
      <c r="M22" s="38">
        <f>M21+'Solar Farm Financials'!L22</f>
        <v>-22966.076546169603</v>
      </c>
    </row>
    <row r="23" spans="1:13" x14ac:dyDescent="0.3">
      <c r="A23" s="5" t="s">
        <v>32</v>
      </c>
      <c r="B23" s="52">
        <v>10</v>
      </c>
      <c r="C23" s="2" t="s">
        <v>15</v>
      </c>
      <c r="D23" s="45">
        <v>6</v>
      </c>
      <c r="E23" s="6">
        <f>IF(D23&lt;='Solar Farm Financials'!$B$23, -'Solar Farm Financials'!$B$30, 0)</f>
        <v>-7028.3888937397551</v>
      </c>
      <c r="F23" s="6">
        <v>0</v>
      </c>
      <c r="G23" s="6">
        <v>0</v>
      </c>
      <c r="H23" s="6">
        <f t="shared" si="0"/>
        <v>4390.3110690766089</v>
      </c>
      <c r="I23" s="46">
        <f>'Solar Farm Financials'!$B$37</f>
        <v>1391.7539999999999</v>
      </c>
      <c r="J23" s="37">
        <f t="shared" si="1"/>
        <v>-1246.3238246631463</v>
      </c>
      <c r="K23" s="38">
        <f>K22+'Solar Farm Financials'!J23</f>
        <v>-1504.7448395315228</v>
      </c>
      <c r="L23" s="37">
        <f t="shared" si="2"/>
        <v>5782.0650690766088</v>
      </c>
      <c r="M23" s="38">
        <f>M22+'Solar Farm Financials'!L23</f>
        <v>-17184.011477092994</v>
      </c>
    </row>
    <row r="24" spans="1:13" x14ac:dyDescent="0.3">
      <c r="A24" s="5" t="s">
        <v>33</v>
      </c>
      <c r="B24" s="54">
        <v>0.2</v>
      </c>
      <c r="C24" s="2" t="s">
        <v>15</v>
      </c>
      <c r="D24" s="45">
        <v>7</v>
      </c>
      <c r="E24" s="6">
        <f>IF(D24&lt;='Solar Farm Financials'!$B$23, -'Solar Farm Financials'!$B$30, 0)</f>
        <v>-7028.3888937397551</v>
      </c>
      <c r="F24" s="6">
        <v>0</v>
      </c>
      <c r="G24" s="6">
        <v>0</v>
      </c>
      <c r="H24" s="6">
        <f t="shared" si="0"/>
        <v>4478.1172904581408</v>
      </c>
      <c r="I24" s="46">
        <f>'Solar Farm Financials'!$B$37</f>
        <v>1391.7539999999999</v>
      </c>
      <c r="J24" s="37">
        <f t="shared" si="1"/>
        <v>-1158.5176032816144</v>
      </c>
      <c r="K24" s="38">
        <f>K23+'Solar Farm Financials'!J24</f>
        <v>-2663.2624428131371</v>
      </c>
      <c r="L24" s="37">
        <f t="shared" si="2"/>
        <v>5869.8712904581407</v>
      </c>
      <c r="M24" s="38">
        <f>M23+'Solar Farm Financials'!L24</f>
        <v>-11314.140186634853</v>
      </c>
    </row>
    <row r="25" spans="1:13" ht="14.5" thickBot="1" x14ac:dyDescent="0.35">
      <c r="A25" s="7" t="s">
        <v>34</v>
      </c>
      <c r="B25" s="56">
        <v>42</v>
      </c>
      <c r="C25" s="2" t="s">
        <v>15</v>
      </c>
      <c r="D25" s="45">
        <v>8</v>
      </c>
      <c r="E25" s="6">
        <f>IF(D25&lt;='Solar Farm Financials'!$B$23, -'Solar Farm Financials'!$B$30, 0)</f>
        <v>-7028.3888937397551</v>
      </c>
      <c r="F25" s="6">
        <v>0</v>
      </c>
      <c r="G25" s="6">
        <v>0</v>
      </c>
      <c r="H25" s="6">
        <f t="shared" si="0"/>
        <v>4567.679636267304</v>
      </c>
      <c r="I25" s="46">
        <f>'Solar Farm Financials'!$B$37</f>
        <v>1391.7539999999999</v>
      </c>
      <c r="J25" s="37">
        <f t="shared" si="1"/>
        <v>-1068.9552574724512</v>
      </c>
      <c r="K25" s="38">
        <f>K24+'Solar Farm Financials'!J25</f>
        <v>-3732.2177002855883</v>
      </c>
      <c r="L25" s="37">
        <f t="shared" si="2"/>
        <v>5959.4336362673039</v>
      </c>
      <c r="M25" s="38">
        <f>M24+'Solar Farm Financials'!L25</f>
        <v>-5354.7065503675494</v>
      </c>
    </row>
    <row r="26" spans="1:13" ht="14.5" thickBot="1" x14ac:dyDescent="0.35">
      <c r="B26" s="8"/>
      <c r="C26" s="2" t="s">
        <v>15</v>
      </c>
      <c r="D26" s="45">
        <v>9</v>
      </c>
      <c r="E26" s="6">
        <f>IF(D26&lt;='Solar Farm Financials'!$B$23, -'Solar Farm Financials'!$B$30, 0)</f>
        <v>-7028.3888937397551</v>
      </c>
      <c r="F26" s="6">
        <v>0</v>
      </c>
      <c r="G26" s="6">
        <v>0</v>
      </c>
      <c r="H26" s="6">
        <f t="shared" si="0"/>
        <v>4659.03322899265</v>
      </c>
      <c r="I26" s="46">
        <f>'Solar Farm Financials'!$B$37</f>
        <v>1391.7539999999999</v>
      </c>
      <c r="J26" s="37">
        <f t="shared" si="1"/>
        <v>-977.60166474710513</v>
      </c>
      <c r="K26" s="38">
        <f>K25+'Solar Farm Financials'!J26</f>
        <v>-4709.8193650326939</v>
      </c>
      <c r="L26" s="37">
        <f t="shared" si="2"/>
        <v>6050.7872289926499</v>
      </c>
      <c r="M26" s="38">
        <f>M25+'Solar Farm Financials'!L26</f>
        <v>696.08067862510052</v>
      </c>
    </row>
    <row r="27" spans="1:13" ht="14.5" thickBot="1" x14ac:dyDescent="0.35">
      <c r="A27" s="74" t="s">
        <v>35</v>
      </c>
      <c r="B27" s="75"/>
      <c r="C27" s="2" t="s">
        <v>15</v>
      </c>
      <c r="D27" s="45">
        <v>10</v>
      </c>
      <c r="E27" s="6">
        <f>IF(D27&lt;='Solar Farm Financials'!$B$23, -'Solar Farm Financials'!$B$30, 0)</f>
        <v>-7028.3888937397551</v>
      </c>
      <c r="F27" s="6">
        <v>0</v>
      </c>
      <c r="G27" s="6">
        <v>0</v>
      </c>
      <c r="H27" s="6">
        <f t="shared" si="0"/>
        <v>4752.2138935725034</v>
      </c>
      <c r="I27" s="46">
        <f>'Solar Farm Financials'!$B$37</f>
        <v>1391.7539999999999</v>
      </c>
      <c r="J27" s="37">
        <f t="shared" si="1"/>
        <v>-884.4210001672518</v>
      </c>
      <c r="K27" s="38">
        <f>K26+'Solar Farm Financials'!J27</f>
        <v>-5594.2403651999457</v>
      </c>
      <c r="L27" s="37">
        <f t="shared" si="2"/>
        <v>6143.9678935725033</v>
      </c>
      <c r="M27" s="38">
        <f>M26+'Solar Farm Financials'!L27</f>
        <v>6840.0485721976038</v>
      </c>
    </row>
    <row r="28" spans="1:13" x14ac:dyDescent="0.3">
      <c r="A28" s="9" t="str">
        <f xml:space="preserve"> "System Price for a " &amp; B19 &amp; " kW system"</f>
        <v>System Price for a 26200 kW system</v>
      </c>
      <c r="B28" s="10">
        <f>B19*B20</f>
        <v>72312</v>
      </c>
      <c r="C28" s="2" t="s">
        <v>15</v>
      </c>
      <c r="D28" s="45">
        <v>11</v>
      </c>
      <c r="E28" s="6">
        <f>IF(D28&lt;='Solar Farm Financials'!$B$23, -'Solar Farm Financials'!$B$30, 0)</f>
        <v>0</v>
      </c>
      <c r="F28" s="6">
        <v>0</v>
      </c>
      <c r="G28" s="6">
        <v>0</v>
      </c>
      <c r="H28" s="6">
        <f t="shared" si="0"/>
        <v>4847.2581714439539</v>
      </c>
      <c r="I28" s="46">
        <f>'Solar Farm Financials'!$B$37</f>
        <v>1391.7539999999999</v>
      </c>
      <c r="J28" s="37">
        <f t="shared" si="1"/>
        <v>6239.0121714439538</v>
      </c>
      <c r="K28" s="38">
        <f>K27+'Solar Farm Financials'!J28</f>
        <v>644.77180624400808</v>
      </c>
      <c r="L28" s="37">
        <f t="shared" si="2"/>
        <v>6239.0121714439538</v>
      </c>
      <c r="M28" s="38">
        <f>M27+'Solar Farm Financials'!L28</f>
        <v>13079.060743641558</v>
      </c>
    </row>
    <row r="29" spans="1:13" x14ac:dyDescent="0.3">
      <c r="A29" s="9" t="s">
        <v>36</v>
      </c>
      <c r="B29" s="10">
        <f>B24*B28</f>
        <v>14462.400000000001</v>
      </c>
      <c r="C29" s="2" t="s">
        <v>15</v>
      </c>
      <c r="D29" s="45">
        <v>12</v>
      </c>
      <c r="E29" s="6">
        <f>IF(D29&lt;='Solar Farm Financials'!$B$23, -'Solar Farm Financials'!$B$30, 0)</f>
        <v>0</v>
      </c>
      <c r="F29" s="6">
        <v>0</v>
      </c>
      <c r="G29" s="6">
        <v>0</v>
      </c>
      <c r="H29" s="6">
        <f t="shared" si="0"/>
        <v>4944.2033348728328</v>
      </c>
      <c r="I29" s="46">
        <f>'Solar Farm Financials'!$B$37</f>
        <v>1391.7539999999999</v>
      </c>
      <c r="J29" s="37">
        <f t="shared" si="1"/>
        <v>6335.9573348728327</v>
      </c>
      <c r="K29" s="38">
        <f>K28+'Solar Farm Financials'!J29</f>
        <v>6980.7291411168408</v>
      </c>
      <c r="L29" s="37">
        <f t="shared" si="2"/>
        <v>6335.9573348728327</v>
      </c>
      <c r="M29" s="38">
        <f>M28+'Solar Farm Financials'!L29</f>
        <v>19415.018078514389</v>
      </c>
    </row>
    <row r="30" spans="1:13" x14ac:dyDescent="0.3">
      <c r="A30" s="9" t="s">
        <v>37</v>
      </c>
      <c r="B30" s="10">
        <f>IFERROR(PMT(B22/12,B23*12,(-B28*(1-B24))), 0)*12</f>
        <v>7028.3888937397551</v>
      </c>
      <c r="C30" s="2" t="s">
        <v>15</v>
      </c>
      <c r="D30" s="45">
        <v>13</v>
      </c>
      <c r="E30" s="6">
        <f>IF(D30&lt;='Solar Farm Financials'!$B$23, -'Solar Farm Financials'!$B$30, 0)</f>
        <v>0</v>
      </c>
      <c r="F30" s="6">
        <v>0</v>
      </c>
      <c r="G30" s="6">
        <v>0</v>
      </c>
      <c r="H30" s="6">
        <f t="shared" si="0"/>
        <v>5043.0874015702893</v>
      </c>
      <c r="I30" s="46">
        <f>'Solar Farm Financials'!$B$37</f>
        <v>1391.7539999999999</v>
      </c>
      <c r="J30" s="37">
        <f t="shared" si="1"/>
        <v>6434.8414015702892</v>
      </c>
      <c r="K30" s="38">
        <f>K29+'Solar Farm Financials'!J30</f>
        <v>13415.57054268713</v>
      </c>
      <c r="L30" s="37">
        <f t="shared" si="2"/>
        <v>6434.8414015702892</v>
      </c>
      <c r="M30" s="38">
        <f>M29+'Solar Farm Financials'!L30</f>
        <v>25849.859480084677</v>
      </c>
    </row>
    <row r="31" spans="1:13" x14ac:dyDescent="0.3">
      <c r="A31" s="9" t="s">
        <v>38</v>
      </c>
      <c r="B31" s="11">
        <f>B30/12</f>
        <v>585.69907447831292</v>
      </c>
      <c r="C31" s="2" t="s">
        <v>15</v>
      </c>
      <c r="D31" s="45">
        <v>14</v>
      </c>
      <c r="E31" s="6">
        <f>IF(D31&lt;='Solar Farm Financials'!$B$23, -'Solar Farm Financials'!$B$30, 0)</f>
        <v>0</v>
      </c>
      <c r="F31" s="6">
        <v>0</v>
      </c>
      <c r="G31" s="6">
        <v>0</v>
      </c>
      <c r="H31" s="6">
        <f t="shared" si="0"/>
        <v>5143.9491496016954</v>
      </c>
      <c r="I31" s="46">
        <f>'Solar Farm Financials'!$B$37</f>
        <v>1391.7539999999999</v>
      </c>
      <c r="J31" s="37">
        <f t="shared" si="1"/>
        <v>6535.7031496016953</v>
      </c>
      <c r="K31" s="38">
        <f>K30+'Solar Farm Financials'!J31</f>
        <v>19951.273692288825</v>
      </c>
      <c r="L31" s="37">
        <f t="shared" si="2"/>
        <v>6535.7031496016953</v>
      </c>
      <c r="M31" s="38">
        <f>M30+'Solar Farm Financials'!L31</f>
        <v>32385.56262968637</v>
      </c>
    </row>
    <row r="32" spans="1:13" ht="14.5" thickBot="1" x14ac:dyDescent="0.35">
      <c r="A32" s="12" t="s">
        <v>39</v>
      </c>
      <c r="B32" s="13">
        <f>IF(B23&gt;1,(B30*B23)+B29, B28)</f>
        <v>84746.288937397563</v>
      </c>
      <c r="C32" s="2" t="s">
        <v>15</v>
      </c>
      <c r="D32" s="45">
        <v>15</v>
      </c>
      <c r="E32" s="6">
        <f>IF(D32&lt;='Solar Farm Financials'!$B$23, -'Solar Farm Financials'!$B$30, 0)</f>
        <v>0</v>
      </c>
      <c r="F32" s="6">
        <v>0</v>
      </c>
      <c r="G32" s="6">
        <v>0</v>
      </c>
      <c r="H32" s="6">
        <f t="shared" si="0"/>
        <v>5246.8281325937296</v>
      </c>
      <c r="I32" s="46">
        <f>'Solar Farm Financials'!$B$37</f>
        <v>1391.7539999999999</v>
      </c>
      <c r="J32" s="37">
        <f t="shared" si="1"/>
        <v>6638.5821325937295</v>
      </c>
      <c r="K32" s="38">
        <f>K31+'Solar Farm Financials'!J32</f>
        <v>26589.855824882554</v>
      </c>
      <c r="L32" s="37">
        <f t="shared" si="2"/>
        <v>6638.5821325937295</v>
      </c>
      <c r="M32" s="38">
        <f>M31+'Solar Farm Financials'!L32</f>
        <v>39024.144762280099</v>
      </c>
    </row>
    <row r="33" spans="1:13" ht="14.5" thickBot="1" x14ac:dyDescent="0.35">
      <c r="C33" s="2" t="s">
        <v>15</v>
      </c>
      <c r="D33" s="45">
        <v>16</v>
      </c>
      <c r="E33" s="6">
        <f>IF(D33&lt;='Solar Farm Financials'!$B$23, -'Solar Farm Financials'!$B$30, 0)</f>
        <v>0</v>
      </c>
      <c r="F33" s="6">
        <v>0</v>
      </c>
      <c r="G33" s="6">
        <v>0</v>
      </c>
      <c r="H33" s="6">
        <f t="shared" si="0"/>
        <v>5351.7646952456043</v>
      </c>
      <c r="I33" s="46">
        <f>'Solar Farm Financials'!$B$37</f>
        <v>1391.7539999999999</v>
      </c>
      <c r="J33" s="37">
        <f t="shared" si="1"/>
        <v>6743.5186952456042</v>
      </c>
      <c r="K33" s="38">
        <f>K32+'Solar Farm Financials'!J33</f>
        <v>33333.374520128156</v>
      </c>
      <c r="L33" s="37">
        <f t="shared" si="2"/>
        <v>6743.5186952456042</v>
      </c>
      <c r="M33" s="38">
        <f>M32+'Solar Farm Financials'!L33</f>
        <v>45767.663457525705</v>
      </c>
    </row>
    <row r="34" spans="1:13" ht="14.5" thickBot="1" x14ac:dyDescent="0.35">
      <c r="A34" s="76" t="s">
        <v>40</v>
      </c>
      <c r="B34" s="77"/>
      <c r="C34" s="2" t="s">
        <v>15</v>
      </c>
      <c r="D34" s="45">
        <v>17</v>
      </c>
      <c r="E34" s="6">
        <f>IF(D34&lt;='Solar Farm Financials'!$B$23, -'Solar Farm Financials'!$B$30, 0)</f>
        <v>0</v>
      </c>
      <c r="F34" s="6">
        <v>0</v>
      </c>
      <c r="G34" s="6">
        <v>0</v>
      </c>
      <c r="H34" s="6">
        <f t="shared" si="0"/>
        <v>5458.799989150516</v>
      </c>
      <c r="I34" s="46">
        <f>'Solar Farm Financials'!$B$37</f>
        <v>1391.7539999999999</v>
      </c>
      <c r="J34" s="37">
        <f t="shared" si="1"/>
        <v>6850.5539891505159</v>
      </c>
      <c r="K34" s="38">
        <f>K33+'Solar Farm Financials'!J34</f>
        <v>40183.928509278674</v>
      </c>
      <c r="L34" s="37">
        <f t="shared" si="2"/>
        <v>6850.5539891505159</v>
      </c>
      <c r="M34" s="38">
        <f>M33+'Solar Farm Financials'!L34</f>
        <v>52618.217446676223</v>
      </c>
    </row>
    <row r="35" spans="1:13" x14ac:dyDescent="0.3">
      <c r="A35" s="15" t="s">
        <v>41</v>
      </c>
      <c r="B35" s="16">
        <f>B28*0.3</f>
        <v>21693.599999999999</v>
      </c>
      <c r="C35" s="2" t="s">
        <v>15</v>
      </c>
      <c r="D35" s="45">
        <v>18</v>
      </c>
      <c r="E35" s="6">
        <f>IF(D35&lt;='Solar Farm Financials'!$B$23, -'Solar Farm Financials'!$B$30, 0)</f>
        <v>0</v>
      </c>
      <c r="F35" s="6">
        <v>0</v>
      </c>
      <c r="G35" s="6">
        <v>0</v>
      </c>
      <c r="H35" s="6">
        <f t="shared" si="0"/>
        <v>5567.9759889335264</v>
      </c>
      <c r="I35" s="46">
        <f>'Solar Farm Financials'!$B$37</f>
        <v>1391.7539999999999</v>
      </c>
      <c r="J35" s="37">
        <f t="shared" si="1"/>
        <v>6959.7299889335263</v>
      </c>
      <c r="K35" s="38">
        <f>K34+'Solar Farm Financials'!J35</f>
        <v>47143.6584982122</v>
      </c>
      <c r="L35" s="37">
        <f t="shared" si="2"/>
        <v>6959.7299889335263</v>
      </c>
      <c r="M35" s="38">
        <f>M34+'Solar Farm Financials'!L35</f>
        <v>59577.947435609749</v>
      </c>
    </row>
    <row r="36" spans="1:13" x14ac:dyDescent="0.3">
      <c r="A36" s="17" t="s">
        <v>42</v>
      </c>
      <c r="B36" s="18">
        <f>B17*B18</f>
        <v>3976.44</v>
      </c>
      <c r="C36" s="2" t="s">
        <v>15</v>
      </c>
      <c r="D36" s="45">
        <v>19</v>
      </c>
      <c r="E36" s="6">
        <f>IF(D36&lt;='Solar Farm Financials'!$B$23, -'Solar Farm Financials'!$B$30, 0)</f>
        <v>0</v>
      </c>
      <c r="F36" s="6">
        <v>0</v>
      </c>
      <c r="G36" s="6">
        <v>0</v>
      </c>
      <c r="H36" s="6">
        <f t="shared" si="0"/>
        <v>5679.3355087121972</v>
      </c>
      <c r="I36" s="46">
        <f>'Solar Farm Financials'!$B$37</f>
        <v>1391.7539999999999</v>
      </c>
      <c r="J36" s="37">
        <f t="shared" si="1"/>
        <v>7071.0895087121971</v>
      </c>
      <c r="K36" s="38">
        <f>K35+'Solar Farm Financials'!J36</f>
        <v>54214.748006924397</v>
      </c>
      <c r="L36" s="37">
        <f t="shared" si="2"/>
        <v>7071.0895087121971</v>
      </c>
      <c r="M36" s="38">
        <f>M35+'Solar Farm Financials'!L36</f>
        <v>66649.036944321939</v>
      </c>
    </row>
    <row r="37" spans="1:13" x14ac:dyDescent="0.3">
      <c r="A37" s="17" t="s">
        <v>43</v>
      </c>
      <c r="B37" s="19">
        <f xml:space="preserve"> B18/1000*B25</f>
        <v>1391.7539999999999</v>
      </c>
      <c r="C37" s="2" t="s">
        <v>15</v>
      </c>
      <c r="D37" s="45">
        <v>20</v>
      </c>
      <c r="E37" s="6">
        <f>IF(D37&lt;='Solar Farm Financials'!$B$23, -'Solar Farm Financials'!$B$30, 0)</f>
        <v>0</v>
      </c>
      <c r="F37" s="6">
        <v>0</v>
      </c>
      <c r="G37" s="6">
        <v>0</v>
      </c>
      <c r="H37" s="6">
        <f t="shared" si="0"/>
        <v>5792.9222188864414</v>
      </c>
      <c r="I37" s="46">
        <f>'Solar Farm Financials'!$B$37</f>
        <v>1391.7539999999999</v>
      </c>
      <c r="J37" s="37">
        <f t="shared" si="1"/>
        <v>7184.6762188864413</v>
      </c>
      <c r="K37" s="38">
        <f>K36+'Solar Farm Financials'!J37</f>
        <v>61399.424225810842</v>
      </c>
      <c r="L37" s="37">
        <f t="shared" si="2"/>
        <v>7184.6762188864413</v>
      </c>
      <c r="M37" s="38">
        <f>M36+'Solar Farm Financials'!L37</f>
        <v>73833.713163208376</v>
      </c>
    </row>
    <row r="38" spans="1:13" ht="14.5" thickBot="1" x14ac:dyDescent="0.35">
      <c r="A38" s="20" t="s">
        <v>44</v>
      </c>
      <c r="B38" s="21">
        <v>0</v>
      </c>
      <c r="D38" s="45">
        <v>21</v>
      </c>
      <c r="E38" s="6">
        <f>IF(D38&lt;='Solar Farm Financials'!$B$23, -'Solar Farm Financials'!$B$30, 0)</f>
        <v>0</v>
      </c>
      <c r="F38" s="6">
        <v>0</v>
      </c>
      <c r="G38" s="6">
        <v>0</v>
      </c>
      <c r="H38" s="6">
        <f t="shared" si="0"/>
        <v>5908.7806632641705</v>
      </c>
      <c r="I38" s="46">
        <f>'Solar Farm Financials'!$B$37</f>
        <v>1391.7539999999999</v>
      </c>
      <c r="J38" s="37">
        <f t="shared" si="1"/>
        <v>7300.5346632641704</v>
      </c>
      <c r="K38" s="38">
        <f>K37+'Solar Farm Financials'!J38</f>
        <v>68699.958889075016</v>
      </c>
      <c r="L38" s="37">
        <f t="shared" si="2"/>
        <v>7300.5346632641704</v>
      </c>
      <c r="M38" s="38">
        <f>M37+'Solar Farm Financials'!L38</f>
        <v>81134.247826472551</v>
      </c>
    </row>
    <row r="39" spans="1:13" ht="14.5" thickBot="1" x14ac:dyDescent="0.35">
      <c r="D39" s="45">
        <v>22</v>
      </c>
      <c r="E39" s="6">
        <f>IF(D39&lt;='Solar Farm Financials'!$B$23, -'Solar Farm Financials'!$B$30, 0)</f>
        <v>0</v>
      </c>
      <c r="F39" s="6">
        <v>0</v>
      </c>
      <c r="G39" s="6">
        <v>0</v>
      </c>
      <c r="H39" s="6">
        <f t="shared" si="0"/>
        <v>6026.956276529454</v>
      </c>
      <c r="I39" s="46">
        <f>'Solar Farm Financials'!$B$37</f>
        <v>1391.7539999999999</v>
      </c>
      <c r="J39" s="37">
        <f t="shared" si="1"/>
        <v>7418.7102765294539</v>
      </c>
      <c r="K39" s="38">
        <f>K38+'Solar Farm Financials'!J39</f>
        <v>76118.669165604471</v>
      </c>
      <c r="L39" s="37">
        <f t="shared" si="2"/>
        <v>7418.7102765294539</v>
      </c>
      <c r="M39" s="38">
        <f>M38+'Solar Farm Financials'!L39</f>
        <v>88552.958103002005</v>
      </c>
    </row>
    <row r="40" spans="1:13" ht="15.5" thickBot="1" x14ac:dyDescent="0.35">
      <c r="A40" s="70" t="s">
        <v>45</v>
      </c>
      <c r="B40" s="71">
        <f>B28/B18/30</f>
        <v>7.2740441198660105E-2</v>
      </c>
      <c r="C40" s="2" t="s">
        <v>15</v>
      </c>
      <c r="D40" s="45">
        <v>23</v>
      </c>
      <c r="E40" s="6">
        <f>IF(D40&lt;='Solar Farm Financials'!$B$23, -'Solar Farm Financials'!$B$30, 0)</f>
        <v>0</v>
      </c>
      <c r="F40" s="6">
        <v>0</v>
      </c>
      <c r="G40" s="6">
        <v>0</v>
      </c>
      <c r="H40" s="6">
        <f t="shared" si="0"/>
        <v>6147.4954020600435</v>
      </c>
      <c r="I40" s="46">
        <f>'Solar Farm Financials'!$B$37</f>
        <v>1391.7539999999999</v>
      </c>
      <c r="J40" s="37">
        <f t="shared" si="1"/>
        <v>7539.2494020600434</v>
      </c>
      <c r="K40" s="38">
        <f>K39+'Solar Farm Financials'!J40</f>
        <v>83657.918567664514</v>
      </c>
      <c r="L40" s="37">
        <f t="shared" si="2"/>
        <v>7539.2494020600434</v>
      </c>
      <c r="M40" s="38">
        <f>M39+'Solar Farm Financials'!L40</f>
        <v>96092.207505062048</v>
      </c>
    </row>
    <row r="41" spans="1:13" x14ac:dyDescent="0.3">
      <c r="C41" s="2" t="s">
        <v>15</v>
      </c>
      <c r="D41" s="45">
        <v>24</v>
      </c>
      <c r="E41" s="6">
        <f>IF(D41&lt;='Solar Farm Financials'!$B$23, -'Solar Farm Financials'!$B$30, 0)</f>
        <v>0</v>
      </c>
      <c r="F41" s="6">
        <v>0</v>
      </c>
      <c r="G41" s="6">
        <v>0</v>
      </c>
      <c r="H41" s="6">
        <f t="shared" si="0"/>
        <v>6270.4453101012441</v>
      </c>
      <c r="I41" s="46">
        <f>'Solar Farm Financials'!$B$37</f>
        <v>1391.7539999999999</v>
      </c>
      <c r="J41" s="37">
        <f t="shared" si="1"/>
        <v>7662.199310101244</v>
      </c>
      <c r="K41" s="38">
        <f>K40+'Solar Farm Financials'!J41</f>
        <v>91320.117877765762</v>
      </c>
      <c r="L41" s="37">
        <f t="shared" si="2"/>
        <v>7662.199310101244</v>
      </c>
      <c r="M41" s="38">
        <f>M40+'Solar Farm Financials'!L41</f>
        <v>103754.4068151633</v>
      </c>
    </row>
    <row r="42" spans="1:13" x14ac:dyDescent="0.3">
      <c r="C42" s="2" t="s">
        <v>15</v>
      </c>
      <c r="D42" s="45">
        <v>25</v>
      </c>
      <c r="E42" s="6">
        <f>IF(D42&lt;='Solar Farm Financials'!$B$23, -'Solar Farm Financials'!$B$30, 0)</f>
        <v>0</v>
      </c>
      <c r="F42" s="6">
        <v>0</v>
      </c>
      <c r="G42" s="6">
        <v>0</v>
      </c>
      <c r="H42" s="6">
        <f t="shared" si="0"/>
        <v>6395.8542163032689</v>
      </c>
      <c r="I42" s="46">
        <f>'Solar Farm Financials'!$B$37</f>
        <v>1391.7539999999999</v>
      </c>
      <c r="J42" s="37">
        <f t="shared" si="1"/>
        <v>7787.6082163032688</v>
      </c>
      <c r="K42" s="38">
        <f>K41+'Solar Farm Financials'!J42</f>
        <v>99107.726094069032</v>
      </c>
      <c r="L42" s="37">
        <f t="shared" si="2"/>
        <v>7787.6082163032688</v>
      </c>
      <c r="M42" s="38">
        <f>M41+'Solar Farm Financials'!L42</f>
        <v>111542.01503146657</v>
      </c>
    </row>
    <row r="43" spans="1:13" x14ac:dyDescent="0.3">
      <c r="C43" s="2" t="s">
        <v>15</v>
      </c>
      <c r="D43" s="45">
        <v>26</v>
      </c>
      <c r="E43" s="6">
        <f>IF(D43&lt;='Solar Farm Financials'!$B$23, -'Solar Farm Financials'!$B$30, 0)</f>
        <v>0</v>
      </c>
      <c r="F43" s="6">
        <v>0</v>
      </c>
      <c r="G43" s="6">
        <v>0</v>
      </c>
      <c r="H43" s="6">
        <f t="shared" si="0"/>
        <v>6523.7713006293343</v>
      </c>
      <c r="I43" s="46">
        <f>'Solar Farm Financials'!$B$37</f>
        <v>1391.7539999999999</v>
      </c>
      <c r="J43" s="37">
        <f t="shared" si="1"/>
        <v>7915.5253006293342</v>
      </c>
      <c r="K43" s="38">
        <f>K42+'Solar Farm Financials'!J43</f>
        <v>107023.25139469837</v>
      </c>
      <c r="L43" s="37">
        <f t="shared" si="2"/>
        <v>7915.5253006293342</v>
      </c>
      <c r="M43" s="38">
        <f>M42+'Solar Farm Financials'!L43</f>
        <v>119457.5403320959</v>
      </c>
    </row>
    <row r="44" spans="1:13" x14ac:dyDescent="0.3">
      <c r="C44" s="2" t="s">
        <v>15</v>
      </c>
      <c r="D44" s="45">
        <v>27</v>
      </c>
      <c r="E44" s="6">
        <f>IF(D44&lt;='Solar Farm Financials'!$B$23, -'Solar Farm Financials'!$B$30, 0)</f>
        <v>0</v>
      </c>
      <c r="F44" s="6">
        <v>0</v>
      </c>
      <c r="G44" s="6">
        <v>0</v>
      </c>
      <c r="H44" s="6">
        <f t="shared" si="0"/>
        <v>6654.2467266419208</v>
      </c>
      <c r="I44" s="46">
        <f>'Solar Farm Financials'!$B$37</f>
        <v>1391.7539999999999</v>
      </c>
      <c r="J44" s="37">
        <f t="shared" si="1"/>
        <v>8046.0007266419207</v>
      </c>
      <c r="K44" s="38">
        <f>K43+'Solar Farm Financials'!J44</f>
        <v>115069.25212134029</v>
      </c>
      <c r="L44" s="37">
        <f t="shared" si="2"/>
        <v>8046.0007266419207</v>
      </c>
      <c r="M44" s="38">
        <f>M43+'Solar Farm Financials'!L44</f>
        <v>127503.54105873783</v>
      </c>
    </row>
    <row r="45" spans="1:13" x14ac:dyDescent="0.3">
      <c r="C45" s="2" t="s">
        <v>15</v>
      </c>
      <c r="D45" s="45">
        <v>28</v>
      </c>
      <c r="E45" s="6">
        <f>IF(D45&lt;='Solar Farm Financials'!$B$23, -'Solar Farm Financials'!$B$30, 0)</f>
        <v>0</v>
      </c>
      <c r="F45" s="6">
        <v>0</v>
      </c>
      <c r="G45" s="6">
        <v>0</v>
      </c>
      <c r="H45" s="6">
        <f t="shared" si="0"/>
        <v>6787.3316611747596</v>
      </c>
      <c r="I45" s="46">
        <f>'Solar Farm Financials'!$B$37</f>
        <v>1391.7539999999999</v>
      </c>
      <c r="J45" s="37">
        <f t="shared" si="1"/>
        <v>8179.0856611747595</v>
      </c>
      <c r="K45" s="38">
        <f>K44+'Solar Farm Financials'!J45</f>
        <v>123248.33778251505</v>
      </c>
      <c r="L45" s="37">
        <f t="shared" si="2"/>
        <v>8179.0856611747595</v>
      </c>
      <c r="M45" s="38">
        <f>M44+'Solar Farm Financials'!L45</f>
        <v>135682.6267199126</v>
      </c>
    </row>
    <row r="46" spans="1:13" x14ac:dyDescent="0.3">
      <c r="C46" s="2" t="s">
        <v>15</v>
      </c>
      <c r="D46" s="45">
        <v>29</v>
      </c>
      <c r="E46" s="6">
        <f>IF(D46&lt;='Solar Farm Financials'!$B$23, -'Solar Farm Financials'!$B$30, 0)</f>
        <v>0</v>
      </c>
      <c r="F46" s="6">
        <v>0</v>
      </c>
      <c r="G46" s="6">
        <v>0</v>
      </c>
      <c r="H46" s="6">
        <f t="shared" si="0"/>
        <v>6923.0782943982549</v>
      </c>
      <c r="I46" s="46">
        <f>'Solar Farm Financials'!$B$37</f>
        <v>1391.7539999999999</v>
      </c>
      <c r="J46" s="37">
        <f t="shared" si="1"/>
        <v>8314.8322943982548</v>
      </c>
      <c r="K46" s="38">
        <f>K45+'Solar Farm Financials'!J46</f>
        <v>131563.17007691332</v>
      </c>
      <c r="L46" s="37">
        <f t="shared" si="2"/>
        <v>8314.8322943982548</v>
      </c>
      <c r="M46" s="38">
        <f>M45+'Solar Farm Financials'!L46</f>
        <v>143997.45901431085</v>
      </c>
    </row>
    <row r="47" spans="1:13" ht="14.5" thickBot="1" x14ac:dyDescent="0.35">
      <c r="C47" s="2" t="s">
        <v>15</v>
      </c>
      <c r="D47" s="47">
        <v>30</v>
      </c>
      <c r="E47" s="48">
        <f>IF(D47&lt;='Solar Farm Financials'!$B$23, -'Solar Farm Financials'!$B$30, 0)</f>
        <v>0</v>
      </c>
      <c r="F47" s="48">
        <v>0</v>
      </c>
      <c r="G47" s="48">
        <v>0</v>
      </c>
      <c r="H47" s="48">
        <f t="shared" si="0"/>
        <v>7061.5398602862197</v>
      </c>
      <c r="I47" s="49">
        <f>'Solar Farm Financials'!$B$37</f>
        <v>1391.7539999999999</v>
      </c>
      <c r="J47" s="39">
        <f>SUM(E47:I47)</f>
        <v>8453.2938602862196</v>
      </c>
      <c r="K47" s="40">
        <f>K46+'Solar Farm Financials'!J47</f>
        <v>140016.46393719953</v>
      </c>
      <c r="L47" s="39">
        <f t="shared" si="2"/>
        <v>8453.2938602862196</v>
      </c>
      <c r="M47" s="40">
        <f>M46+'Solar Farm Financials'!L47</f>
        <v>152450.75287459706</v>
      </c>
    </row>
    <row r="48" spans="1:13" x14ac:dyDescent="0.3">
      <c r="C48" s="2" t="s">
        <v>15</v>
      </c>
      <c r="D48" s="41" t="s">
        <v>46</v>
      </c>
      <c r="E48" s="34">
        <f>SUM(E17:E47)</f>
        <v>-84746.288937397563</v>
      </c>
      <c r="F48" s="34">
        <f t="shared" ref="F48:J48" si="3">SUM(F17:F47)</f>
        <v>21693.599999999999</v>
      </c>
      <c r="G48" s="34">
        <f>SUM(G17:G47)</f>
        <v>0</v>
      </c>
      <c r="H48" s="34">
        <f t="shared" si="3"/>
        <v>161316.53287459709</v>
      </c>
      <c r="I48" s="34">
        <f t="shared" si="3"/>
        <v>41752.620000000017</v>
      </c>
      <c r="J48" s="34">
        <f t="shared" si="3"/>
        <v>140016.46393719953</v>
      </c>
      <c r="K48" s="22"/>
      <c r="L48" s="34">
        <f>SUM(L17:L47)</f>
        <v>152450.75287459706</v>
      </c>
    </row>
    <row r="49" spans="1:12" ht="14.5" thickBot="1" x14ac:dyDescent="0.35">
      <c r="C49" s="2" t="s">
        <v>15</v>
      </c>
      <c r="E49" s="2"/>
      <c r="F49" s="2"/>
      <c r="G49" s="2"/>
      <c r="H49" s="23"/>
      <c r="I49" s="23"/>
      <c r="J49" s="23"/>
      <c r="L49" s="23"/>
    </row>
    <row r="50" spans="1:12" ht="17.5" x14ac:dyDescent="0.3">
      <c r="D50" s="78" t="s">
        <v>47</v>
      </c>
      <c r="E50" s="79"/>
      <c r="F50" s="80"/>
      <c r="G50" s="2"/>
    </row>
    <row r="51" spans="1:12" ht="33" customHeight="1" x14ac:dyDescent="0.55000000000000004">
      <c r="D51" s="26" t="s">
        <v>16</v>
      </c>
      <c r="E51" s="27" t="s">
        <v>48</v>
      </c>
      <c r="F51" s="28" t="s">
        <v>49</v>
      </c>
      <c r="G51" s="24"/>
    </row>
    <row r="52" spans="1:12" ht="18.5" thickBot="1" x14ac:dyDescent="0.45">
      <c r="D52" s="29">
        <v>1</v>
      </c>
      <c r="E52" s="30">
        <f>B18*1.56</f>
        <v>51693.72</v>
      </c>
      <c r="F52" s="31">
        <f>B18*0.0117</f>
        <v>387.7029</v>
      </c>
      <c r="G52" s="25"/>
    </row>
    <row r="53" spans="1:12" x14ac:dyDescent="0.3">
      <c r="G53" s="25"/>
    </row>
    <row r="54" spans="1:12" x14ac:dyDescent="0.3">
      <c r="G54" s="25"/>
    </row>
    <row r="55" spans="1:12" x14ac:dyDescent="0.3">
      <c r="G55" s="25"/>
    </row>
    <row r="56" spans="1:12" ht="20" x14ac:dyDescent="0.4">
      <c r="A56" s="65" t="s">
        <v>50</v>
      </c>
      <c r="E56" s="2"/>
      <c r="F56" s="65" t="s">
        <v>51</v>
      </c>
      <c r="G56" s="25"/>
    </row>
    <row r="57" spans="1:12" x14ac:dyDescent="0.3">
      <c r="G57" s="25"/>
    </row>
    <row r="58" spans="1:12" x14ac:dyDescent="0.3">
      <c r="G58" s="25"/>
    </row>
  </sheetData>
  <mergeCells count="4">
    <mergeCell ref="A16:B16"/>
    <mergeCell ref="A27:B27"/>
    <mergeCell ref="A34:B34"/>
    <mergeCell ref="D50:F50"/>
  </mergeCells>
  <conditionalFormatting sqref="K17:K47 I38:J47 F38:G47">
    <cfRule type="cellIs" dxfId="11" priority="19" operator="lessThan">
      <formula>0</formula>
    </cfRule>
    <cfRule type="cellIs" dxfId="10" priority="20" operator="greaterThan">
      <formula>0</formula>
    </cfRule>
    <cfRule type="colorScale" priority="21">
      <colorScale>
        <cfvo type="num" val="&quot;&lt;0&quot;"/>
        <cfvo type="num" val="&quot;&gt;0&quot;"/>
        <color rgb="FFFFCCFF"/>
        <color theme="9" tint="0.59999389629810485"/>
      </colorScale>
    </cfRule>
  </conditionalFormatting>
  <conditionalFormatting sqref="E17:E47 F17:I17 F18:J19 F20:G37 I20:J37 H20:H47 E48:K48">
    <cfRule type="cellIs" dxfId="9" priority="16" operator="lessThan">
      <formula>0</formula>
    </cfRule>
    <cfRule type="cellIs" dxfId="8" priority="17" operator="greaterThan">
      <formula>0</formula>
    </cfRule>
    <cfRule type="colorScale" priority="18">
      <colorScale>
        <cfvo type="num" val="&quot;&lt;0&quot;"/>
        <cfvo type="num" val="&quot;&gt;0&quot;"/>
        <color rgb="FFFFCCFF"/>
        <color theme="9" tint="0.59999389629810485"/>
      </colorScale>
    </cfRule>
  </conditionalFormatting>
  <conditionalFormatting sqref="J17">
    <cfRule type="cellIs" dxfId="7" priority="13" operator="lessThan">
      <formula>0</formula>
    </cfRule>
    <cfRule type="cellIs" dxfId="6" priority="14" operator="greaterThan">
      <formula>0</formula>
    </cfRule>
    <cfRule type="colorScale" priority="15">
      <colorScale>
        <cfvo type="num" val="&quot;&lt;0&quot;"/>
        <cfvo type="num" val="&quot;&gt;0&quot;"/>
        <color rgb="FFFFCCFF"/>
        <color theme="9" tint="0.59999389629810485"/>
      </colorScale>
    </cfRule>
  </conditionalFormatting>
  <conditionalFormatting sqref="M17:M47">
    <cfRule type="cellIs" dxfId="5" priority="10" operator="lessThan">
      <formula>0</formula>
    </cfRule>
    <cfRule type="cellIs" dxfId="4" priority="11" operator="greaterThan">
      <formula>0</formula>
    </cfRule>
    <cfRule type="colorScale" priority="12">
      <colorScale>
        <cfvo type="num" val="&quot;&lt;0&quot;"/>
        <cfvo type="num" val="&quot;&gt;0&quot;"/>
        <color rgb="FFFFCCFF"/>
        <color theme="9" tint="0.59999389629810485"/>
      </colorScale>
    </cfRule>
  </conditionalFormatting>
  <conditionalFormatting sqref="L18:L48">
    <cfRule type="cellIs" dxfId="3" priority="7" operator="lessThan">
      <formula>0</formula>
    </cfRule>
    <cfRule type="cellIs" dxfId="2" priority="8" operator="greaterThan">
      <formula>0</formula>
    </cfRule>
    <cfRule type="colorScale" priority="9">
      <colorScale>
        <cfvo type="num" val="&quot;&lt;0&quot;"/>
        <cfvo type="num" val="&quot;&gt;0&quot;"/>
        <color rgb="FFFFCCFF"/>
        <color theme="9" tint="0.59999389629810485"/>
      </colorScale>
    </cfRule>
  </conditionalFormatting>
  <conditionalFormatting sqref="L17">
    <cfRule type="cellIs" dxfId="1" priority="4" operator="lessThan">
      <formula>0</formula>
    </cfRule>
    <cfRule type="cellIs" dxfId="0" priority="5" operator="greaterThan">
      <formula>0</formula>
    </cfRule>
    <cfRule type="colorScale" priority="6">
      <colorScale>
        <cfvo type="num" val="&quot;&lt;0&quot;"/>
        <cfvo type="num" val="&quot;&gt;0&quot;"/>
        <color rgb="FFFFCCFF"/>
        <color theme="9" tint="0.59999389629810485"/>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7B750-F7D3-4324-8830-71C52CB9C9AF}">
  <sheetPr>
    <pageSetUpPr fitToPage="1"/>
  </sheetPr>
  <dimension ref="A2:F16"/>
  <sheetViews>
    <sheetView workbookViewId="0">
      <selection activeCell="A12" sqref="A12"/>
    </sheetView>
  </sheetViews>
  <sheetFormatPr defaultRowHeight="15.5" x14ac:dyDescent="0.35"/>
  <cols>
    <col min="1" max="1" width="49.54296875" style="85" customWidth="1"/>
    <col min="2" max="2" width="12.81640625" style="33" customWidth="1"/>
    <col min="3" max="3" width="24.81640625" style="33" bestFit="1" customWidth="1"/>
    <col min="4" max="4" width="35.54296875" style="33" bestFit="1" customWidth="1"/>
    <col min="5" max="5" width="21.7265625" style="33" bestFit="1" customWidth="1"/>
    <col min="6" max="6" width="32.7265625" style="33" bestFit="1" customWidth="1"/>
    <col min="8" max="8" width="26.90625" customWidth="1"/>
  </cols>
  <sheetData>
    <row r="2" spans="1:6" ht="20.5" thickBot="1" x14ac:dyDescent="0.4">
      <c r="A2" s="82" t="s">
        <v>52</v>
      </c>
    </row>
    <row r="3" spans="1:6" ht="50" customHeight="1" x14ac:dyDescent="0.35">
      <c r="A3" s="81" t="s">
        <v>63</v>
      </c>
      <c r="B3" s="57">
        <f>'Solar Farm Financials'!B19*'Cost Breakdown'!B16</f>
        <v>72312</v>
      </c>
    </row>
    <row r="4" spans="1:6" x14ac:dyDescent="0.35">
      <c r="A4" s="83" t="s">
        <v>53</v>
      </c>
      <c r="B4" s="58">
        <v>600</v>
      </c>
    </row>
    <row r="5" spans="1:6" x14ac:dyDescent="0.35">
      <c r="A5" s="83" t="s">
        <v>54</v>
      </c>
      <c r="B5" s="58">
        <v>900</v>
      </c>
    </row>
    <row r="6" spans="1:6" ht="16" thickBot="1" x14ac:dyDescent="0.4">
      <c r="A6" s="84" t="s">
        <v>55</v>
      </c>
      <c r="B6" s="61">
        <f>SUM(B3:B5)</f>
        <v>73812</v>
      </c>
    </row>
    <row r="8" spans="1:6" s="32" customFormat="1" ht="47.5" x14ac:dyDescent="0.45">
      <c r="A8" s="85" t="s">
        <v>64</v>
      </c>
      <c r="B8" s="33"/>
      <c r="D8" s="33"/>
      <c r="E8" s="33"/>
      <c r="F8" s="33"/>
    </row>
    <row r="13" spans="1:6" x14ac:dyDescent="0.35">
      <c r="A13" t="s">
        <v>65</v>
      </c>
      <c r="B13">
        <v>175</v>
      </c>
    </row>
    <row r="14" spans="1:6" x14ac:dyDescent="0.35">
      <c r="A14" t="s">
        <v>66</v>
      </c>
      <c r="B14">
        <f>1.879*1.045</f>
        <v>1.9635549999999999</v>
      </c>
    </row>
    <row r="15" spans="1:6" x14ac:dyDescent="0.35">
      <c r="A15" t="s">
        <v>61</v>
      </c>
      <c r="B15">
        <f>B13/B14</f>
        <v>89.124063242435284</v>
      </c>
    </row>
    <row r="16" spans="1:6" x14ac:dyDescent="0.35">
      <c r="A16" t="s">
        <v>62</v>
      </c>
      <c r="B16">
        <v>2.76</v>
      </c>
    </row>
  </sheetData>
  <pageMargins left="0.7" right="0.7" top="0.75" bottom="0.75" header="0.3" footer="0.3"/>
  <pageSetup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2F6A5-81EA-434F-979A-6CB769BE78D9}">
  <dimension ref="A1:A10"/>
  <sheetViews>
    <sheetView zoomScale="80" zoomScaleNormal="80" workbookViewId="0">
      <selection activeCell="A2" sqref="A2"/>
    </sheetView>
  </sheetViews>
  <sheetFormatPr defaultColWidth="8.81640625" defaultRowHeight="15.5" x14ac:dyDescent="0.35"/>
  <cols>
    <col min="1" max="1" width="185.26953125" style="33" customWidth="1"/>
    <col min="2" max="16384" width="8.81640625" style="33"/>
  </cols>
  <sheetData>
    <row r="1" spans="1:1" x14ac:dyDescent="0.35">
      <c r="A1" s="63" t="s">
        <v>56</v>
      </c>
    </row>
    <row r="2" spans="1:1" ht="114" customHeight="1" x14ac:dyDescent="0.35"/>
    <row r="3" spans="1:1" x14ac:dyDescent="0.35">
      <c r="A3" s="64" t="s">
        <v>57</v>
      </c>
    </row>
    <row r="4" spans="1:1" ht="114" customHeight="1" x14ac:dyDescent="0.35"/>
    <row r="5" spans="1:1" x14ac:dyDescent="0.35">
      <c r="A5" s="64" t="s">
        <v>58</v>
      </c>
    </row>
    <row r="6" spans="1:1" ht="114" customHeight="1" x14ac:dyDescent="0.35"/>
    <row r="7" spans="1:1" x14ac:dyDescent="0.35">
      <c r="A7" s="64" t="s">
        <v>59</v>
      </c>
    </row>
    <row r="8" spans="1:1" ht="114" customHeight="1" x14ac:dyDescent="0.35"/>
    <row r="9" spans="1:1" x14ac:dyDescent="0.35">
      <c r="A9" s="64" t="s">
        <v>60</v>
      </c>
    </row>
    <row r="10" spans="1:1" ht="114" customHeight="1"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Solar Farm Financials</vt:lpstr>
      <vt:lpstr>Cost Breakdown</vt:lpstr>
      <vt:lpstr>12)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 Seel</dc:creator>
  <cp:keywords/>
  <dc:description/>
  <cp:lastModifiedBy>Fuller, Christopher</cp:lastModifiedBy>
  <cp:revision/>
  <dcterms:created xsi:type="dcterms:W3CDTF">2018-09-04T22:38:49Z</dcterms:created>
  <dcterms:modified xsi:type="dcterms:W3CDTF">2022-09-16T17:16:42Z</dcterms:modified>
  <cp:category/>
  <cp:contentStatus/>
</cp:coreProperties>
</file>