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scot\Documents\"/>
    </mc:Choice>
  </mc:AlternateContent>
  <xr:revisionPtr revIDLastSave="0" documentId="13_ncr:1_{495F9B8A-2A0C-4ECF-BDE2-C03DF236A0C6}" xr6:coauthVersionLast="44" xr6:coauthVersionMax="44" xr10:uidLastSave="{00000000-0000-0000-0000-000000000000}"/>
  <bookViews>
    <workbookView xWindow="-98" yWindow="-98" windowWidth="20715" windowHeight="13276" tabRatio="500" firstSheet="1" activeTab="1" xr2:uid="{00000000-000D-0000-FFFF-FFFF00000000}"/>
  </bookViews>
  <sheets>
    <sheet name="summary" sheetId="4" r:id="rId1"/>
    <sheet name="Lease meterics" sheetId="1" r:id="rId2"/>
    <sheet name="consumption" sheetId="3" r:id="rId3"/>
    <sheet name="Sheet1" sheetId="5" r:id="rId4"/>
  </sheets>
  <definedNames>
    <definedName name="Options" localSheetId="1">'Lease meterics'!$T$3:$T$3</definedName>
    <definedName name="_xlnm.Print_Area" localSheetId="1">'Lease meterics'!#REF!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5" l="1"/>
  <c r="J5" i="1"/>
  <c r="F31" i="3"/>
  <c r="D12" i="1"/>
  <c r="D13" i="1"/>
  <c r="C13" i="1"/>
  <c r="F19" i="3"/>
  <c r="F20" i="3"/>
  <c r="F21" i="3"/>
  <c r="F22" i="3"/>
  <c r="F23" i="3"/>
  <c r="F24" i="3"/>
  <c r="F25" i="3"/>
  <c r="F18" i="3"/>
  <c r="F27" i="3"/>
  <c r="F28" i="3"/>
  <c r="F29" i="3"/>
  <c r="D11" i="5" l="1"/>
  <c r="C11" i="5"/>
  <c r="D10" i="5"/>
  <c r="C10" i="5"/>
  <c r="D5" i="5"/>
  <c r="D4" i="5"/>
  <c r="C7" i="5"/>
  <c r="C5" i="5"/>
  <c r="C4" i="5"/>
  <c r="E16" i="3"/>
  <c r="D5" i="1" l="1"/>
  <c r="C29" i="1" l="1"/>
  <c r="D9" i="1"/>
  <c r="F16" i="3" l="1"/>
  <c r="C30" i="3"/>
  <c r="C18" i="1" l="1"/>
  <c r="F10" i="1"/>
  <c r="C16" i="3" l="1"/>
  <c r="D16" i="3" s="1"/>
  <c r="I3" i="1" l="1"/>
  <c r="C9" i="1"/>
  <c r="C12" i="1"/>
  <c r="J3" i="1" l="1"/>
  <c r="J4" i="1" s="1"/>
  <c r="D6" i="5" s="1"/>
  <c r="E10" i="1"/>
  <c r="C31" i="1"/>
  <c r="C20" i="1"/>
  <c r="C17" i="1" s="1"/>
  <c r="C5" i="1"/>
  <c r="C8" i="1"/>
  <c r="I5" i="1" s="1"/>
  <c r="L30" i="1" l="1"/>
  <c r="D12" i="5" s="1"/>
  <c r="L19" i="1"/>
  <c r="C12" i="5" s="1"/>
  <c r="C21" i="1"/>
  <c r="D21" i="1" s="1"/>
  <c r="E21" i="1" s="1"/>
  <c r="F21" i="1" s="1"/>
  <c r="G21" i="1" s="1"/>
  <c r="H21" i="1" s="1"/>
  <c r="I21" i="1" s="1"/>
  <c r="K18" i="1"/>
  <c r="H18" i="1"/>
  <c r="I18" i="1"/>
  <c r="L18" i="1"/>
  <c r="J18" i="1"/>
  <c r="C28" i="1"/>
  <c r="E18" i="1"/>
  <c r="D18" i="1"/>
  <c r="G18" i="1"/>
  <c r="F18" i="1"/>
  <c r="E26" i="1" l="1"/>
  <c r="F22" i="1"/>
  <c r="G22" i="1"/>
  <c r="C22" i="1"/>
  <c r="C23" i="1" s="1"/>
  <c r="E22" i="1"/>
  <c r="H22" i="1"/>
  <c r="D22" i="1"/>
  <c r="I22" i="1"/>
  <c r="J21" i="1"/>
  <c r="I6" i="1"/>
  <c r="I7" i="1" l="1"/>
  <c r="C9" i="5"/>
  <c r="J29" i="1"/>
  <c r="L29" i="1"/>
  <c r="G29" i="1"/>
  <c r="I29" i="1"/>
  <c r="E29" i="1"/>
  <c r="K29" i="1"/>
  <c r="D29" i="1"/>
  <c r="F29" i="1"/>
  <c r="H29" i="1"/>
  <c r="D23" i="1"/>
  <c r="E23" i="1" s="1"/>
  <c r="F23" i="1" s="1"/>
  <c r="G23" i="1" s="1"/>
  <c r="H23" i="1" s="1"/>
  <c r="I23" i="1" s="1"/>
  <c r="J22" i="1"/>
  <c r="K21" i="1"/>
  <c r="J6" i="1"/>
  <c r="J7" i="1" l="1"/>
  <c r="D9" i="5"/>
  <c r="J23" i="1"/>
  <c r="L21" i="1"/>
  <c r="K22" i="1"/>
  <c r="K23" i="1" l="1"/>
  <c r="M21" i="1"/>
  <c r="L22" i="1"/>
  <c r="L23" i="1" l="1"/>
  <c r="N21" i="1"/>
  <c r="M22" i="1"/>
  <c r="M23" i="1" l="1"/>
  <c r="O21" i="1"/>
  <c r="N22" i="1"/>
  <c r="N23" i="1" l="1"/>
  <c r="O22" i="1"/>
  <c r="P21" i="1"/>
  <c r="O23" i="1" l="1"/>
  <c r="P22" i="1"/>
  <c r="Q21" i="1"/>
  <c r="Q22" i="1" s="1"/>
  <c r="P23" i="1" l="1"/>
  <c r="Q23" i="1" s="1"/>
  <c r="C24" i="1"/>
  <c r="C13" i="5" s="1"/>
  <c r="C10" i="4" l="1"/>
  <c r="AA28" i="1"/>
  <c r="Z28" i="1"/>
  <c r="Y28" i="1"/>
  <c r="X28" i="1"/>
  <c r="W28" i="1"/>
  <c r="V28" i="1"/>
  <c r="U28" i="1"/>
  <c r="T28" i="1"/>
  <c r="S28" i="1"/>
  <c r="R28" i="1"/>
  <c r="C11" i="4"/>
  <c r="D3" i="4"/>
  <c r="C3" i="4"/>
  <c r="Q16" i="3"/>
  <c r="C12" i="4"/>
  <c r="D10" i="4"/>
  <c r="Q15" i="3" l="1"/>
  <c r="D13" i="4"/>
  <c r="D4" i="4" l="1"/>
  <c r="C6" i="4"/>
  <c r="C4" i="4"/>
  <c r="D6" i="4"/>
  <c r="I4" i="1" l="1"/>
  <c r="C6" i="5" s="1"/>
  <c r="D15" i="4"/>
  <c r="D14" i="4"/>
  <c r="C15" i="4" l="1"/>
  <c r="R29" i="1" l="1"/>
  <c r="S29" i="1" s="1"/>
  <c r="T29" i="1" s="1"/>
  <c r="U29" i="1" s="1"/>
  <c r="V29" i="1" s="1"/>
  <c r="W29" i="1" s="1"/>
  <c r="X29" i="1" s="1"/>
  <c r="Y29" i="1" s="1"/>
  <c r="Z29" i="1" s="1"/>
  <c r="AA29" i="1" s="1"/>
  <c r="D8" i="1"/>
  <c r="D7" i="5" l="1"/>
  <c r="C32" i="1"/>
  <c r="D32" i="1" l="1"/>
  <c r="C33" i="1"/>
  <c r="C34" i="1" l="1"/>
  <c r="E32" i="1"/>
  <c r="D33" i="1"/>
  <c r="D34" i="1" s="1"/>
  <c r="F32" i="1" l="1"/>
  <c r="E33" i="1"/>
  <c r="E34" i="1" s="1"/>
  <c r="G32" i="1" l="1"/>
  <c r="F33" i="1"/>
  <c r="F34" i="1" l="1"/>
  <c r="G33" i="1"/>
  <c r="H32" i="1"/>
  <c r="G34" i="1" l="1"/>
  <c r="H33" i="1"/>
  <c r="H34" i="1" s="1"/>
  <c r="I32" i="1"/>
  <c r="I33" i="1" l="1"/>
  <c r="J32" i="1"/>
  <c r="J33" i="1" l="1"/>
  <c r="K32" i="1"/>
  <c r="I34" i="1"/>
  <c r="L32" i="1" l="1"/>
  <c r="K33" i="1"/>
  <c r="J34" i="1"/>
  <c r="K34" i="1" l="1"/>
  <c r="M32" i="1"/>
  <c r="L33" i="1"/>
  <c r="L34" i="1" s="1"/>
  <c r="M33" i="1" l="1"/>
  <c r="M34" i="1" s="1"/>
  <c r="N32" i="1"/>
  <c r="O32" i="1" l="1"/>
  <c r="N33" i="1"/>
  <c r="N34" i="1" s="1"/>
  <c r="O33" i="1" l="1"/>
  <c r="O34" i="1" s="1"/>
  <c r="P32" i="1"/>
  <c r="P33" i="1" l="1"/>
  <c r="P34" i="1" s="1"/>
  <c r="Q32" i="1"/>
  <c r="Q33" i="1" s="1"/>
  <c r="Q34" i="1" l="1"/>
  <c r="C35" i="1"/>
  <c r="D9" i="4" l="1"/>
</calcChain>
</file>

<file path=xl/sharedStrings.xml><?xml version="1.0" encoding="utf-8"?>
<sst xmlns="http://schemas.openxmlformats.org/spreadsheetml/2006/main" count="75" uniqueCount="56">
  <si>
    <t>System Metrics</t>
  </si>
  <si>
    <t>kWh per year/kW installed (DC)</t>
  </si>
  <si>
    <t xml:space="preserve">Utility Cost per kWh </t>
  </si>
  <si>
    <t>Utility Annual Increase in Rates</t>
  </si>
  <si>
    <t>Annual Lease Payment</t>
  </si>
  <si>
    <t>Years</t>
  </si>
  <si>
    <t>System Down Payment</t>
  </si>
  <si>
    <t>Annual Energy Savings</t>
  </si>
  <si>
    <t>Total Cash Flow</t>
  </si>
  <si>
    <t>Cumulative Cash Flow</t>
  </si>
  <si>
    <t>start date</t>
  </si>
  <si>
    <t>end date</t>
  </si>
  <si>
    <t>Size KW DC:</t>
  </si>
  <si>
    <t>Base Annual kWh production:</t>
  </si>
  <si>
    <t>Base Estimated Annual Savings</t>
  </si>
  <si>
    <t>Likely Estimated Savings (ETB)</t>
  </si>
  <si>
    <t>Rebate/(Down Payment)</t>
  </si>
  <si>
    <t>Annual Lease Amount</t>
  </si>
  <si>
    <t>FMV Estimate</t>
  </si>
  <si>
    <t>Option #1: Lease</t>
  </si>
  <si>
    <t>Option #2: Outright Purchase</t>
  </si>
  <si>
    <t xml:space="preserve">NPV </t>
  </si>
  <si>
    <t>Estimated Tax Benefits</t>
  </si>
  <si>
    <t>IRR</t>
  </si>
  <si>
    <t>Outright Purchase</t>
  </si>
  <si>
    <t>-</t>
  </si>
  <si>
    <t>% of annual production (Suite 101)</t>
  </si>
  <si>
    <t>System Size (DC kW)</t>
  </si>
  <si>
    <t>2018 annual consumption (kwh)</t>
  </si>
  <si>
    <t>kWh per year generated- base (aurora)</t>
  </si>
  <si>
    <t>solar offset percentage</t>
  </si>
  <si>
    <t>% cost reduction off of Duke</t>
  </si>
  <si>
    <t>total lease costs assuming purchase</t>
  </si>
  <si>
    <t>%diff between outright purchase and lease cost</t>
  </si>
  <si>
    <t>Base Annual Energy Savings-Year 1</t>
  </si>
  <si>
    <t>Duke Energy Rebate</t>
  </si>
  <si>
    <t>Annual Lease Payment (Duke Rebate Only)</t>
  </si>
  <si>
    <t>Additional Down Payment</t>
  </si>
  <si>
    <t>Fixed Purchase Price</t>
  </si>
  <si>
    <t>Fair Market Value Est. (10% Purchase Pr.)</t>
  </si>
  <si>
    <t>15 Year NPV (5% Discount Rate)</t>
  </si>
  <si>
    <t>Outright Purchase Price:</t>
  </si>
  <si>
    <t>est cost</t>
  </si>
  <si>
    <t>CHES</t>
  </si>
  <si>
    <t>Meeting House</t>
  </si>
  <si>
    <t>energy charge</t>
  </si>
  <si>
    <t>kwh</t>
  </si>
  <si>
    <t>kw</t>
  </si>
  <si>
    <t>Size kW DC:</t>
  </si>
  <si>
    <t xml:space="preserve"> Annual kWh production:</t>
  </si>
  <si>
    <t>% of annual consumption</t>
  </si>
  <si>
    <t>Estimated Annual Savings</t>
  </si>
  <si>
    <t>Total Cost*</t>
  </si>
  <si>
    <t>Rebate</t>
  </si>
  <si>
    <t>15 year NPV estimate</t>
  </si>
  <si>
    <t>Chapel Hill Friends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</si>
</sst>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&quot;$&quot;#,##0.0000"/>
    <numFmt numFmtId="167" formatCode="0.0%"/>
    <numFmt numFmtId="168" formatCode="&quot;$&quot;#,##0;[Red]\-&quot;$&quot;#,##0"/>
    <numFmt numFmtId="169" formatCode="_(* #,##0_);_(* \(#,##0\);_(* &quot;-&quot;??_);_(@_)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family val="2"/>
    </font>
    <font>
      <b/>
      <sz val="12"/>
      <color rgb="FFFFFFFF"/>
      <name val="Calibri"/>
      <family val="2"/>
    </font>
    <font>
      <i/>
      <sz val="12"/>
      <color rgb="FFFFFFFF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7"/>
      <color rgb="FFFFFFFF"/>
      <name val="Calibri"/>
      <family val="2"/>
    </font>
    <font>
      <i/>
      <sz val="17"/>
      <color rgb="FFFFFFFF"/>
      <name val="Calibri"/>
      <family val="2"/>
    </font>
    <font>
      <sz val="8"/>
      <color rgb="FF32323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4">
    <xf numFmtId="0" fontId="0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5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6" fontId="9" fillId="0" borderId="3" xfId="0" applyNumberFormat="1" applyFont="1" applyBorder="1" applyAlignment="1">
      <alignment horizontal="center"/>
    </xf>
    <xf numFmtId="6" fontId="9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169" fontId="0" fillId="0" borderId="0" xfId="0" applyNumberFormat="1"/>
    <xf numFmtId="44" fontId="0" fillId="0" borderId="0" xfId="2" applyFont="1"/>
    <xf numFmtId="169" fontId="0" fillId="0" borderId="0" xfId="1" applyNumberFormat="1" applyFont="1"/>
    <xf numFmtId="169" fontId="0" fillId="0" borderId="14" xfId="1" applyNumberFormat="1" applyFont="1" applyBorder="1"/>
    <xf numFmtId="44" fontId="0" fillId="0" borderId="0" xfId="2" applyFont="1" applyAlignment="1">
      <alignment horizontal="center"/>
    </xf>
    <xf numFmtId="43" fontId="0" fillId="0" borderId="0" xfId="1" applyFont="1"/>
    <xf numFmtId="0" fontId="0" fillId="0" borderId="0" xfId="0" applyAlignment="1">
      <alignment wrapText="1"/>
    </xf>
    <xf numFmtId="43" fontId="0" fillId="0" borderId="0" xfId="0" applyNumberFormat="1"/>
    <xf numFmtId="3" fontId="0" fillId="0" borderId="0" xfId="0" applyNumberFormat="1"/>
    <xf numFmtId="9" fontId="0" fillId="0" borderId="0" xfId="3" applyFont="1"/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3" xfId="0" applyBorder="1"/>
    <xf numFmtId="44" fontId="0" fillId="0" borderId="4" xfId="2" applyFont="1" applyBorder="1"/>
    <xf numFmtId="44" fontId="0" fillId="0" borderId="16" xfId="2" applyFont="1" applyBorder="1"/>
    <xf numFmtId="0" fontId="0" fillId="0" borderId="5" xfId="0" applyBorder="1"/>
    <xf numFmtId="0" fontId="0" fillId="0" borderId="17" xfId="0" applyBorder="1"/>
    <xf numFmtId="169" fontId="0" fillId="0" borderId="17" xfId="1" applyNumberFormat="1" applyFont="1" applyBorder="1"/>
    <xf numFmtId="43" fontId="0" fillId="0" borderId="17" xfId="1" applyFont="1" applyBorder="1"/>
    <xf numFmtId="44" fontId="0" fillId="0" borderId="6" xfId="2" applyFont="1" applyBorder="1"/>
    <xf numFmtId="0" fontId="0" fillId="0" borderId="14" xfId="0" applyBorder="1"/>
    <xf numFmtId="44" fontId="0" fillId="0" borderId="0" xfId="0" applyNumberFormat="1"/>
    <xf numFmtId="0" fontId="14" fillId="5" borderId="18" xfId="0" applyFont="1" applyFill="1" applyBorder="1"/>
    <xf numFmtId="0" fontId="15" fillId="6" borderId="18" xfId="0" applyFont="1" applyFill="1" applyBorder="1" applyAlignment="1">
      <alignment wrapText="1"/>
    </xf>
    <xf numFmtId="0" fontId="16" fillId="7" borderId="18" xfId="0" applyFont="1" applyFill="1" applyBorder="1" applyAlignment="1">
      <alignment horizontal="left"/>
    </xf>
    <xf numFmtId="0" fontId="14" fillId="8" borderId="18" xfId="0" applyFont="1" applyFill="1" applyBorder="1" applyAlignment="1">
      <alignment horizontal="right"/>
    </xf>
    <xf numFmtId="0" fontId="14" fillId="9" borderId="18" xfId="0" applyFont="1" applyFill="1" applyBorder="1" applyAlignment="1">
      <alignment horizontal="right"/>
    </xf>
    <xf numFmtId="169" fontId="14" fillId="8" borderId="18" xfId="1" applyNumberFormat="1" applyFont="1" applyFill="1" applyBorder="1" applyAlignment="1">
      <alignment horizontal="right"/>
    </xf>
    <xf numFmtId="169" fontId="14" fillId="9" borderId="18" xfId="1" applyNumberFormat="1" applyFont="1" applyFill="1" applyBorder="1" applyAlignment="1">
      <alignment horizontal="right"/>
    </xf>
    <xf numFmtId="167" fontId="14" fillId="8" borderId="18" xfId="3" applyNumberFormat="1" applyFont="1" applyFill="1" applyBorder="1" applyAlignment="1">
      <alignment horizontal="right"/>
    </xf>
    <xf numFmtId="167" fontId="14" fillId="9" borderId="18" xfId="3" applyNumberFormat="1" applyFont="1" applyFill="1" applyBorder="1" applyAlignment="1">
      <alignment horizontal="right"/>
    </xf>
    <xf numFmtId="44" fontId="14" fillId="8" borderId="18" xfId="2" applyFont="1" applyFill="1" applyBorder="1" applyAlignment="1">
      <alignment horizontal="right"/>
    </xf>
    <xf numFmtId="44" fontId="14" fillId="9" borderId="18" xfId="2" applyFont="1" applyFill="1" applyBorder="1" applyAlignment="1">
      <alignment horizontal="right"/>
    </xf>
    <xf numFmtId="0" fontId="16" fillId="5" borderId="18" xfId="0" applyFont="1" applyFill="1" applyBorder="1" applyAlignment="1">
      <alignment horizontal="left"/>
    </xf>
    <xf numFmtId="44" fontId="14" fillId="5" borderId="18" xfId="2" applyFont="1" applyFill="1" applyBorder="1" applyAlignment="1">
      <alignment horizontal="right"/>
    </xf>
    <xf numFmtId="0" fontId="16" fillId="5" borderId="18" xfId="0" applyFont="1" applyFill="1" applyBorder="1"/>
    <xf numFmtId="6" fontId="14" fillId="8" borderId="18" xfId="2" applyNumberFormat="1" applyFont="1" applyFill="1" applyBorder="1" applyAlignment="1">
      <alignment horizontal="right"/>
    </xf>
    <xf numFmtId="6" fontId="14" fillId="9" borderId="18" xfId="2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6" fontId="0" fillId="0" borderId="20" xfId="0" applyNumberForma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6" fontId="0" fillId="0" borderId="22" xfId="0" applyNumberFormat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6" fontId="0" fillId="0" borderId="19" xfId="0" applyNumberFormat="1" applyBorder="1"/>
    <xf numFmtId="9" fontId="0" fillId="0" borderId="21" xfId="3" applyFont="1" applyBorder="1"/>
    <xf numFmtId="165" fontId="0" fillId="0" borderId="0" xfId="0" applyNumberFormat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164" fontId="0" fillId="4" borderId="19" xfId="0" applyNumberFormat="1" applyFill="1" applyBorder="1" applyAlignment="1">
      <alignment horizontal="center" vertical="center"/>
    </xf>
    <xf numFmtId="164" fontId="0" fillId="4" borderId="20" xfId="0" applyNumberForma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3" fontId="7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6" fontId="0" fillId="0" borderId="9" xfId="0" applyNumberFormat="1" applyBorder="1" applyAlignment="1">
      <alignment horizontal="center" vertical="center"/>
    </xf>
    <xf numFmtId="6" fontId="7" fillId="0" borderId="9" xfId="0" applyNumberFormat="1" applyFont="1" applyBorder="1" applyAlignment="1">
      <alignment horizontal="center" vertical="center"/>
    </xf>
    <xf numFmtId="6" fontId="8" fillId="0" borderId="9" xfId="0" applyNumberFormat="1" applyFont="1" applyBorder="1" applyAlignment="1">
      <alignment horizontal="center" vertical="center"/>
    </xf>
    <xf numFmtId="6" fontId="0" fillId="3" borderId="9" xfId="0" applyNumberFormat="1" applyFill="1" applyBorder="1" applyAlignment="1">
      <alignment horizontal="center" vertical="center"/>
    </xf>
    <xf numFmtId="6" fontId="0" fillId="4" borderId="9" xfId="0" applyNumberFormat="1" applyFill="1" applyBorder="1" applyAlignment="1">
      <alignment horizontal="center" vertical="center"/>
    </xf>
    <xf numFmtId="6" fontId="10" fillId="0" borderId="9" xfId="0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6" fontId="0" fillId="0" borderId="10" xfId="0" applyNumberFormat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164" fontId="10" fillId="4" borderId="7" xfId="0" applyNumberFormat="1" applyFont="1" applyFill="1" applyBorder="1" applyAlignment="1">
      <alignment horizontal="center" vertical="center"/>
    </xf>
    <xf numFmtId="2" fontId="10" fillId="0" borderId="1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0" fontId="0" fillId="0" borderId="23" xfId="0" applyBorder="1" applyAlignment="1">
      <alignment vertical="center"/>
    </xf>
    <xf numFmtId="37" fontId="0" fillId="0" borderId="19" xfId="1" applyNumberFormat="1" applyFont="1" applyBorder="1" applyAlignment="1">
      <alignment vertical="center"/>
    </xf>
    <xf numFmtId="2" fontId="0" fillId="0" borderId="19" xfId="1" applyNumberFormat="1" applyFont="1" applyBorder="1" applyAlignment="1">
      <alignment vertical="center"/>
    </xf>
    <xf numFmtId="166" fontId="0" fillId="0" borderId="19" xfId="0" applyNumberFormat="1" applyBorder="1" applyAlignment="1">
      <alignment vertical="center"/>
    </xf>
    <xf numFmtId="166" fontId="0" fillId="0" borderId="20" xfId="0" applyNumberFormat="1" applyBorder="1" applyAlignment="1">
      <alignment vertical="center"/>
    </xf>
    <xf numFmtId="164" fontId="0" fillId="0" borderId="19" xfId="0" applyNumberFormat="1" applyBorder="1" applyAlignment="1">
      <alignment vertical="center"/>
    </xf>
    <xf numFmtId="164" fontId="0" fillId="0" borderId="20" xfId="0" applyNumberFormat="1" applyBorder="1" applyAlignment="1">
      <alignment vertical="center"/>
    </xf>
    <xf numFmtId="9" fontId="0" fillId="0" borderId="19" xfId="3" applyFont="1" applyBorder="1" applyAlignment="1"/>
    <xf numFmtId="9" fontId="0" fillId="0" borderId="19" xfId="3" applyFont="1" applyBorder="1" applyAlignment="1">
      <alignment vertical="center"/>
    </xf>
    <xf numFmtId="9" fontId="0" fillId="0" borderId="20" xfId="3" applyFont="1" applyBorder="1" applyAlignment="1">
      <alignment vertical="center"/>
    </xf>
    <xf numFmtId="164" fontId="17" fillId="0" borderId="19" xfId="0" applyNumberFormat="1" applyFont="1" applyBorder="1" applyAlignment="1">
      <alignment horizontal="center" vertical="center"/>
    </xf>
    <xf numFmtId="165" fontId="17" fillId="0" borderId="20" xfId="0" applyNumberFormat="1" applyFont="1" applyBorder="1" applyAlignment="1">
      <alignment horizontal="center" vertical="center"/>
    </xf>
    <xf numFmtId="169" fontId="0" fillId="0" borderId="28" xfId="3" applyNumberFormat="1" applyFont="1" applyBorder="1" applyAlignment="1"/>
    <xf numFmtId="169" fontId="0" fillId="0" borderId="29" xfId="3" applyNumberFormat="1" applyFont="1" applyBorder="1" applyAlignment="1"/>
    <xf numFmtId="44" fontId="0" fillId="0" borderId="14" xfId="2" applyFont="1" applyBorder="1"/>
    <xf numFmtId="43" fontId="0" fillId="0" borderId="0" xfId="0" applyNumberFormat="1" applyAlignment="1">
      <alignment horizontal="center"/>
    </xf>
    <xf numFmtId="0" fontId="0" fillId="0" borderId="13" xfId="0" applyBorder="1" applyAlignment="1">
      <alignment horizontal="center" vertical="center" wrapText="1"/>
    </xf>
    <xf numFmtId="37" fontId="18" fillId="0" borderId="20" xfId="1" applyNumberFormat="1" applyFont="1" applyBorder="1" applyAlignment="1">
      <alignment vertical="center"/>
    </xf>
    <xf numFmtId="9" fontId="17" fillId="0" borderId="19" xfId="3" applyFont="1" applyBorder="1" applyAlignment="1"/>
    <xf numFmtId="9" fontId="17" fillId="0" borderId="20" xfId="3" applyFont="1" applyBorder="1" applyAlignment="1"/>
    <xf numFmtId="0" fontId="20" fillId="11" borderId="33" xfId="0" applyFont="1" applyFill="1" applyBorder="1" applyAlignment="1">
      <alignment horizontal="left" wrapText="1" readingOrder="1"/>
    </xf>
    <xf numFmtId="0" fontId="20" fillId="10" borderId="33" xfId="0" applyFont="1" applyFill="1" applyBorder="1" applyAlignment="1">
      <alignment horizontal="left" wrapText="1" readingOrder="1"/>
    </xf>
    <xf numFmtId="0" fontId="19" fillId="12" borderId="33" xfId="0" applyFont="1" applyFill="1" applyBorder="1" applyAlignment="1">
      <alignment horizontal="center" wrapText="1" readingOrder="1"/>
    </xf>
    <xf numFmtId="0" fontId="19" fillId="13" borderId="30" xfId="0" applyFont="1" applyFill="1" applyBorder="1" applyAlignment="1">
      <alignment horizontal="center" wrapText="1" readingOrder="1"/>
    </xf>
    <xf numFmtId="6" fontId="19" fillId="12" borderId="33" xfId="0" applyNumberFormat="1" applyFont="1" applyFill="1" applyBorder="1" applyAlignment="1">
      <alignment horizontal="right" wrapText="1" readingOrder="1"/>
    </xf>
    <xf numFmtId="6" fontId="19" fillId="13" borderId="33" xfId="0" applyNumberFormat="1" applyFont="1" applyFill="1" applyBorder="1" applyAlignment="1">
      <alignment horizontal="right" wrapText="1" readingOrder="1"/>
    </xf>
    <xf numFmtId="37" fontId="19" fillId="12" borderId="33" xfId="0" applyNumberFormat="1" applyFont="1" applyFill="1" applyBorder="1" applyAlignment="1">
      <alignment horizontal="center" wrapText="1" readingOrder="1"/>
    </xf>
    <xf numFmtId="9" fontId="19" fillId="12" borderId="33" xfId="0" applyNumberFormat="1" applyFont="1" applyFill="1" applyBorder="1" applyAlignment="1">
      <alignment horizontal="center" wrapText="1" readingOrder="1"/>
    </xf>
    <xf numFmtId="44" fontId="19" fillId="12" borderId="33" xfId="2" applyFont="1" applyFill="1" applyBorder="1" applyAlignment="1">
      <alignment horizontal="center" wrapText="1" readingOrder="1"/>
    </xf>
    <xf numFmtId="0" fontId="20" fillId="14" borderId="33" xfId="0" applyFont="1" applyFill="1" applyBorder="1" applyAlignment="1">
      <alignment horizontal="left" wrapText="1" readingOrder="1"/>
    </xf>
    <xf numFmtId="0" fontId="19" fillId="14" borderId="33" xfId="0" applyFont="1" applyFill="1" applyBorder="1" applyAlignment="1">
      <alignment horizontal="center" wrapText="1" readingOrder="1"/>
    </xf>
    <xf numFmtId="0" fontId="19" fillId="14" borderId="30" xfId="0" applyFont="1" applyFill="1" applyBorder="1" applyAlignment="1">
      <alignment horizontal="center" wrapText="1" readingOrder="1"/>
    </xf>
    <xf numFmtId="37" fontId="19" fillId="13" borderId="30" xfId="0" applyNumberFormat="1" applyFont="1" applyFill="1" applyBorder="1" applyAlignment="1">
      <alignment horizontal="center" wrapText="1" readingOrder="1"/>
    </xf>
    <xf numFmtId="9" fontId="19" fillId="13" borderId="30" xfId="0" applyNumberFormat="1" applyFont="1" applyFill="1" applyBorder="1" applyAlignment="1">
      <alignment horizontal="center" wrapText="1" readingOrder="1"/>
    </xf>
    <xf numFmtId="6" fontId="19" fillId="13" borderId="30" xfId="0" applyNumberFormat="1" applyFont="1" applyFill="1" applyBorder="1" applyAlignment="1">
      <alignment horizontal="center" wrapText="1" readingOrder="1"/>
    </xf>
    <xf numFmtId="6" fontId="19" fillId="13" borderId="33" xfId="0" applyNumberFormat="1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 indent="4"/>
    </xf>
    <xf numFmtId="0" fontId="0" fillId="0" borderId="0" xfId="0" applyAlignment="1">
      <alignment horizontal="left" indent="4"/>
    </xf>
    <xf numFmtId="0" fontId="0" fillId="0" borderId="4" xfId="0" applyBorder="1" applyAlignment="1">
      <alignment horizontal="left" indent="4"/>
    </xf>
    <xf numFmtId="0" fontId="0" fillId="0" borderId="3" xfId="0" applyBorder="1" applyAlignment="1">
      <alignment horizontal="center"/>
    </xf>
    <xf numFmtId="0" fontId="19" fillId="10" borderId="30" xfId="0" applyFont="1" applyFill="1" applyBorder="1" applyAlignment="1">
      <alignment horizontal="center" wrapText="1" readingOrder="1"/>
    </xf>
    <xf numFmtId="0" fontId="19" fillId="10" borderId="31" xfId="0" applyFont="1" applyFill="1" applyBorder="1" applyAlignment="1">
      <alignment horizontal="center" wrapText="1" readingOrder="1"/>
    </xf>
    <xf numFmtId="0" fontId="19" fillId="10" borderId="32" xfId="0" applyFont="1" applyFill="1" applyBorder="1" applyAlignment="1">
      <alignment horizontal="center" wrapText="1" readingOrder="1"/>
    </xf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1" fillId="0" borderId="0" xfId="0" applyFont="1" applyAlignment="1">
      <alignment horizontal="right" vertical="center"/>
    </xf>
    <xf numFmtId="14" fontId="21" fillId="0" borderId="0" xfId="0" applyNumberFormat="1" applyFont="1" applyAlignment="1">
      <alignment horizontal="right" vertical="center"/>
    </xf>
    <xf numFmtId="0" fontId="1" fillId="0" borderId="0" xfId="0" applyFont="1"/>
    <xf numFmtId="2" fontId="0" fillId="0" borderId="0" xfId="0" applyNumberFormat="1"/>
  </cellXfs>
  <cellStyles count="14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8978-D1B4-4987-8224-0104DD633164}">
  <dimension ref="B2:D16"/>
  <sheetViews>
    <sheetView zoomScaleNormal="100" workbookViewId="0">
      <selection activeCell="I19" sqref="I19"/>
    </sheetView>
  </sheetViews>
  <sheetFormatPr defaultRowHeight="15.75" x14ac:dyDescent="0.5"/>
  <cols>
    <col min="2" max="2" width="28.875" customWidth="1"/>
    <col min="3" max="4" width="16.5" customWidth="1"/>
  </cols>
  <sheetData>
    <row r="2" spans="2:4" ht="31.5" x14ac:dyDescent="0.5">
      <c r="B2" s="39"/>
      <c r="C2" s="40" t="s">
        <v>19</v>
      </c>
      <c r="D2" s="40" t="s">
        <v>20</v>
      </c>
    </row>
    <row r="3" spans="2:4" x14ac:dyDescent="0.5">
      <c r="B3" s="41" t="s">
        <v>12</v>
      </c>
      <c r="C3" s="42">
        <f>'Lease meterics'!C3</f>
        <v>9.6</v>
      </c>
      <c r="D3" s="43">
        <f>'Lease meterics'!C3</f>
        <v>9.6</v>
      </c>
    </row>
    <row r="4" spans="2:4" x14ac:dyDescent="0.5">
      <c r="B4" s="41" t="s">
        <v>13</v>
      </c>
      <c r="C4" s="44">
        <f>'Lease meterics'!C4</f>
        <v>12523</v>
      </c>
      <c r="D4" s="45">
        <f>'Lease meterics'!C4</f>
        <v>12523</v>
      </c>
    </row>
    <row r="5" spans="2:4" x14ac:dyDescent="0.5">
      <c r="B5" s="41" t="s">
        <v>26</v>
      </c>
      <c r="C5" s="46">
        <v>0.66</v>
      </c>
      <c r="D5" s="47">
        <v>0.66</v>
      </c>
    </row>
    <row r="6" spans="2:4" x14ac:dyDescent="0.5">
      <c r="B6" s="41" t="s">
        <v>14</v>
      </c>
      <c r="C6" s="48">
        <f>'Lease meterics'!C8</f>
        <v>1314.915</v>
      </c>
      <c r="D6" s="49">
        <f>'Lease meterics'!C8</f>
        <v>1314.915</v>
      </c>
    </row>
    <row r="7" spans="2:4" x14ac:dyDescent="0.5">
      <c r="B7" s="41" t="s">
        <v>15</v>
      </c>
      <c r="C7" s="48">
        <v>2805</v>
      </c>
      <c r="D7" s="49">
        <v>2805</v>
      </c>
    </row>
    <row r="8" spans="2:4" x14ac:dyDescent="0.5">
      <c r="B8" s="50"/>
      <c r="C8" s="51"/>
      <c r="D8" s="51"/>
    </row>
    <row r="9" spans="2:4" x14ac:dyDescent="0.5">
      <c r="B9" s="41" t="s">
        <v>24</v>
      </c>
      <c r="C9" s="53">
        <v>0</v>
      </c>
      <c r="D9" s="54">
        <f>'Lease meterics'!C35</f>
        <v>1359.5590309059389</v>
      </c>
    </row>
    <row r="10" spans="2:4" x14ac:dyDescent="0.5">
      <c r="B10" s="41" t="s">
        <v>16</v>
      </c>
      <c r="C10" s="53">
        <f>'Lease meterics'!C14</f>
        <v>0</v>
      </c>
      <c r="D10" s="54">
        <f>'Lease meterics'!C17</f>
        <v>-6750</v>
      </c>
    </row>
    <row r="11" spans="2:4" x14ac:dyDescent="0.5">
      <c r="B11" s="41" t="s">
        <v>17</v>
      </c>
      <c r="C11" s="53">
        <f>-'Lease meterics'!C9</f>
        <v>-6750</v>
      </c>
      <c r="D11" s="49">
        <v>0</v>
      </c>
    </row>
    <row r="12" spans="2:4" x14ac:dyDescent="0.5">
      <c r="B12" s="41" t="s">
        <v>18</v>
      </c>
      <c r="C12" s="53">
        <f>'Lease meterics'!L16</f>
        <v>10</v>
      </c>
      <c r="D12" s="49">
        <v>0</v>
      </c>
    </row>
    <row r="13" spans="2:4" x14ac:dyDescent="0.5">
      <c r="B13" s="41" t="s">
        <v>22</v>
      </c>
      <c r="C13" s="53">
        <v>0</v>
      </c>
      <c r="D13" s="54">
        <f>'Lease meterics'!C37+'Lease meterics'!C40</f>
        <v>0</v>
      </c>
    </row>
    <row r="14" spans="2:4" x14ac:dyDescent="0.5">
      <c r="B14" s="41" t="s">
        <v>23</v>
      </c>
      <c r="C14" s="53" t="s">
        <v>25</v>
      </c>
      <c r="D14" s="47">
        <f>'Lease meterics'!C43</f>
        <v>0</v>
      </c>
    </row>
    <row r="15" spans="2:4" x14ac:dyDescent="0.5">
      <c r="B15" s="41" t="s">
        <v>21</v>
      </c>
      <c r="C15" s="48">
        <f>'Lease meterics'!C21</f>
        <v>1314.915</v>
      </c>
      <c r="D15" s="49">
        <f>'Lease meterics'!C44</f>
        <v>0</v>
      </c>
    </row>
    <row r="16" spans="2:4" x14ac:dyDescent="0.5">
      <c r="B16" s="52"/>
      <c r="C16" s="39"/>
      <c r="D16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A45"/>
  <sheetViews>
    <sheetView tabSelected="1" topLeftCell="B1" zoomScaleNormal="100" workbookViewId="0">
      <selection activeCell="C35" sqref="C35"/>
    </sheetView>
  </sheetViews>
  <sheetFormatPr defaultColWidth="11" defaultRowHeight="15.75" x14ac:dyDescent="0.5"/>
  <cols>
    <col min="1" max="1" width="3.5" customWidth="1"/>
    <col min="2" max="2" width="43" style="20" customWidth="1"/>
    <col min="3" max="3" width="16.875" style="7" customWidth="1"/>
    <col min="4" max="4" width="11.5625" customWidth="1"/>
    <col min="5" max="5" width="12.125" style="2" bestFit="1" customWidth="1"/>
    <col min="6" max="6" width="13.5625" style="2" customWidth="1"/>
    <col min="7" max="7" width="11.5" customWidth="1"/>
    <col min="8" max="8" width="10.375" customWidth="1"/>
    <col min="9" max="9" width="12.0625" customWidth="1"/>
    <col min="10" max="10" width="10.3125" customWidth="1"/>
    <col min="11" max="11" width="9.125" customWidth="1"/>
    <col min="12" max="12" width="10.875" customWidth="1"/>
    <col min="13" max="13" width="9.375" style="2" customWidth="1"/>
    <col min="14" max="15" width="9.375" customWidth="1"/>
    <col min="16" max="17" width="9.125" customWidth="1"/>
  </cols>
  <sheetData>
    <row r="1" spans="2:22" ht="16.149999999999999" thickBot="1" x14ac:dyDescent="0.55000000000000004">
      <c r="C1" s="1"/>
    </row>
    <row r="2" spans="2:22" ht="36.4" thickBot="1" x14ac:dyDescent="0.55000000000000004">
      <c r="B2" s="62" t="s">
        <v>0</v>
      </c>
      <c r="C2" s="96" t="s">
        <v>43</v>
      </c>
      <c r="D2" s="96" t="s">
        <v>44</v>
      </c>
      <c r="E2" s="63"/>
      <c r="F2" s="55"/>
      <c r="G2" s="63"/>
      <c r="H2" s="55"/>
      <c r="I2" s="64" t="s">
        <v>43</v>
      </c>
      <c r="J2" s="114" t="s">
        <v>44</v>
      </c>
      <c r="K2" s="55"/>
      <c r="L2" s="63"/>
      <c r="M2" s="55"/>
      <c r="N2" s="55"/>
      <c r="O2" s="55"/>
      <c r="P2" s="55"/>
      <c r="Q2" s="55"/>
    </row>
    <row r="3" spans="2:22" x14ac:dyDescent="0.5">
      <c r="B3" s="65" t="s">
        <v>27</v>
      </c>
      <c r="C3" s="97">
        <v>9.6</v>
      </c>
      <c r="D3" s="98">
        <v>4.3</v>
      </c>
      <c r="E3" s="63"/>
      <c r="F3" s="134" t="s">
        <v>28</v>
      </c>
      <c r="G3" s="134"/>
      <c r="H3" s="135"/>
      <c r="I3" s="110">
        <f>consumption!C16</f>
        <v>29443</v>
      </c>
      <c r="J3" s="111">
        <f>consumption!C30</f>
        <v>7762</v>
      </c>
      <c r="K3" s="66"/>
      <c r="L3" s="67"/>
      <c r="M3" s="55"/>
      <c r="N3" s="55"/>
      <c r="O3" s="55"/>
      <c r="P3" s="55"/>
      <c r="Q3" s="55"/>
      <c r="T3" s="1"/>
    </row>
    <row r="4" spans="2:22" ht="15.95" customHeight="1" x14ac:dyDescent="0.5">
      <c r="B4" s="65" t="s">
        <v>29</v>
      </c>
      <c r="C4" s="99">
        <v>12523</v>
      </c>
      <c r="D4" s="115">
        <v>6434</v>
      </c>
      <c r="E4" s="22"/>
      <c r="F4" s="134" t="s">
        <v>30</v>
      </c>
      <c r="G4" s="134"/>
      <c r="H4" s="135"/>
      <c r="I4" s="105">
        <f>C4/I3</f>
        <v>0.42533029922222598</v>
      </c>
      <c r="J4" s="116">
        <f>D4/J3</f>
        <v>0.82891007472300948</v>
      </c>
      <c r="K4" s="55"/>
      <c r="L4" s="68"/>
      <c r="M4" s="55"/>
      <c r="N4" s="55"/>
      <c r="O4" s="55"/>
      <c r="P4" s="55"/>
      <c r="Q4" s="55"/>
    </row>
    <row r="5" spans="2:22" x14ac:dyDescent="0.5">
      <c r="B5" s="65" t="s">
        <v>1</v>
      </c>
      <c r="C5" s="100">
        <f>C4/C3</f>
        <v>1304.4791666666667</v>
      </c>
      <c r="D5" s="100">
        <f>D4/D3</f>
        <v>1496.279069767442</v>
      </c>
      <c r="E5" s="22"/>
      <c r="F5" s="134" t="s">
        <v>31</v>
      </c>
      <c r="G5" s="134"/>
      <c r="H5" s="135"/>
      <c r="I5" s="105">
        <f>C8/consumption!D16</f>
        <v>0.63799544883333892</v>
      </c>
      <c r="J5" s="117">
        <f>D8/consumption!F31</f>
        <v>0.65965830247213664</v>
      </c>
      <c r="K5" s="55"/>
      <c r="L5" s="68"/>
      <c r="M5" s="55"/>
      <c r="N5" s="55"/>
      <c r="O5" s="55"/>
      <c r="P5" s="55"/>
      <c r="Q5" s="55"/>
    </row>
    <row r="6" spans="2:22" x14ac:dyDescent="0.5">
      <c r="B6" s="65" t="s">
        <v>2</v>
      </c>
      <c r="C6" s="101">
        <v>0.105</v>
      </c>
      <c r="D6" s="102">
        <v>0.11600000000000001</v>
      </c>
      <c r="E6" s="136" t="s">
        <v>32</v>
      </c>
      <c r="F6" s="137"/>
      <c r="G6" s="137"/>
      <c r="H6" s="138"/>
      <c r="I6" s="69">
        <f>ABS(SUM(C17:L19))</f>
        <v>26142</v>
      </c>
      <c r="J6" s="69">
        <f>ABS(SUM(C28:L30))</f>
        <v>12862.4</v>
      </c>
      <c r="K6" s="55"/>
      <c r="L6" s="68"/>
      <c r="M6" s="55"/>
      <c r="N6" s="55"/>
      <c r="O6" s="55"/>
      <c r="P6" s="55"/>
      <c r="Q6" s="55"/>
    </row>
    <row r="7" spans="2:22" ht="16.149999999999999" thickBot="1" x14ac:dyDescent="0.55000000000000004">
      <c r="B7" s="65" t="s">
        <v>3</v>
      </c>
      <c r="C7" s="106">
        <v>0.02</v>
      </c>
      <c r="D7" s="107">
        <v>0.02</v>
      </c>
      <c r="E7" s="139" t="s">
        <v>33</v>
      </c>
      <c r="F7" s="134"/>
      <c r="G7" s="134"/>
      <c r="H7" s="135"/>
      <c r="I7" s="70">
        <f>(C12-I6)/C12</f>
        <v>0.10717213114754098</v>
      </c>
      <c r="J7" s="70">
        <f>(D12-J6)/D12</f>
        <v>4.1264162194394778E-2</v>
      </c>
      <c r="K7" s="55"/>
      <c r="L7" s="68"/>
      <c r="M7" s="55"/>
      <c r="N7" s="55"/>
      <c r="O7" s="55"/>
      <c r="P7" s="55"/>
      <c r="Q7" s="55"/>
    </row>
    <row r="8" spans="2:22" x14ac:dyDescent="0.5">
      <c r="B8" s="65" t="s">
        <v>34</v>
      </c>
      <c r="C8" s="103">
        <f>C4*C6</f>
        <v>1314.915</v>
      </c>
      <c r="D8" s="103">
        <f>D4*D6</f>
        <v>746.34400000000005</v>
      </c>
      <c r="E8" s="55"/>
      <c r="F8" s="55"/>
      <c r="G8" s="55"/>
      <c r="H8" s="55"/>
      <c r="I8" s="68"/>
      <c r="J8" s="55"/>
      <c r="K8" s="55"/>
      <c r="L8" s="68"/>
      <c r="M8" s="55"/>
      <c r="N8" s="55"/>
      <c r="O8" s="55"/>
      <c r="P8" s="55"/>
      <c r="Q8" s="55"/>
    </row>
    <row r="9" spans="2:22" x14ac:dyDescent="0.5">
      <c r="B9" s="65" t="s">
        <v>35</v>
      </c>
      <c r="C9" s="103">
        <f>9000*0.75</f>
        <v>6750</v>
      </c>
      <c r="D9" s="104">
        <f>3800*0.75</f>
        <v>2850</v>
      </c>
      <c r="E9" s="55"/>
      <c r="F9" s="55"/>
      <c r="G9" s="55"/>
      <c r="H9" s="55"/>
      <c r="I9" s="68"/>
      <c r="J9" s="55"/>
      <c r="K9" s="55"/>
      <c r="L9" s="68"/>
      <c r="M9" s="55"/>
      <c r="N9" s="55"/>
      <c r="O9" s="55"/>
      <c r="P9" s="55"/>
      <c r="Q9" s="55"/>
    </row>
    <row r="10" spans="2:22" x14ac:dyDescent="0.5">
      <c r="B10" s="65" t="s">
        <v>36</v>
      </c>
      <c r="C10" s="108">
        <v>1500</v>
      </c>
      <c r="D10" s="109">
        <v>800</v>
      </c>
      <c r="E10" s="71">
        <f>C10/12</f>
        <v>125</v>
      </c>
      <c r="F10" s="71">
        <f>D10/12</f>
        <v>66.666666666666671</v>
      </c>
      <c r="G10" s="55"/>
      <c r="H10" s="55"/>
      <c r="I10" s="68"/>
      <c r="J10" s="55"/>
      <c r="K10" s="55"/>
      <c r="L10" s="68"/>
      <c r="M10" s="55"/>
      <c r="N10" s="55"/>
      <c r="O10" s="55"/>
      <c r="P10" s="55"/>
      <c r="Q10" s="55"/>
    </row>
    <row r="11" spans="2:22" x14ac:dyDescent="0.5">
      <c r="B11" s="72" t="s">
        <v>37</v>
      </c>
      <c r="C11" s="73"/>
      <c r="D11" s="74"/>
      <c r="E11" s="55"/>
      <c r="F11" s="55"/>
      <c r="G11" s="55"/>
      <c r="H11" s="55"/>
      <c r="I11" s="55"/>
      <c r="J11" s="55"/>
      <c r="K11" s="55"/>
      <c r="L11" s="75"/>
      <c r="M11" s="55"/>
      <c r="N11" s="55"/>
      <c r="O11" s="55"/>
      <c r="P11" s="55"/>
      <c r="Q11" s="55"/>
    </row>
    <row r="12" spans="2:22" x14ac:dyDescent="0.5">
      <c r="B12" s="76" t="s">
        <v>41</v>
      </c>
      <c r="C12" s="103">
        <f>C3*1000*3.05</f>
        <v>29280</v>
      </c>
      <c r="D12" s="104">
        <f>D3*1000*3.12</f>
        <v>13416</v>
      </c>
      <c r="E12" s="55"/>
      <c r="F12" s="55"/>
      <c r="G12" s="55"/>
      <c r="H12" s="55"/>
      <c r="I12" s="55"/>
      <c r="J12" s="55"/>
      <c r="K12" s="55"/>
      <c r="L12" s="75"/>
      <c r="M12" s="55"/>
      <c r="N12" s="55"/>
      <c r="O12" s="55"/>
      <c r="P12" s="55"/>
      <c r="Q12" s="55"/>
    </row>
    <row r="13" spans="2:22" ht="16.149999999999999" thickBot="1" x14ac:dyDescent="0.55000000000000004">
      <c r="B13" s="65" t="s">
        <v>38</v>
      </c>
      <c r="C13" s="77">
        <f>C12*0.15</f>
        <v>4392</v>
      </c>
      <c r="D13" s="78">
        <f>D12*0.15</f>
        <v>2012.3999999999999</v>
      </c>
      <c r="E13" s="55"/>
      <c r="F13" s="55"/>
      <c r="G13" s="55"/>
      <c r="H13" s="55"/>
      <c r="I13" s="55"/>
      <c r="J13" s="55"/>
      <c r="K13" s="55"/>
      <c r="L13" s="75"/>
      <c r="M13" s="55"/>
      <c r="N13" s="55"/>
      <c r="O13" s="55"/>
      <c r="P13" s="55"/>
      <c r="Q13" s="55"/>
      <c r="R13" s="3"/>
      <c r="S13" s="4"/>
      <c r="T13" s="4"/>
      <c r="U13" s="4"/>
      <c r="V13" s="4"/>
    </row>
    <row r="14" spans="2:22" ht="18.399999999999999" thickBot="1" x14ac:dyDescent="0.55000000000000004">
      <c r="B14" s="79"/>
      <c r="C14" s="80"/>
      <c r="D14" s="60"/>
      <c r="E14" s="61"/>
      <c r="F14" s="61"/>
      <c r="G14" s="61"/>
      <c r="H14" s="61"/>
      <c r="I14" s="61"/>
      <c r="J14" s="61"/>
      <c r="K14" s="61"/>
      <c r="L14" s="61"/>
      <c r="M14" s="55"/>
      <c r="N14" s="55"/>
      <c r="O14" s="55"/>
      <c r="P14" s="55"/>
      <c r="Q14" s="55"/>
    </row>
    <row r="15" spans="2:22" ht="18.399999999999999" thickBot="1" x14ac:dyDescent="0.55000000000000004">
      <c r="B15" s="23" t="s">
        <v>43</v>
      </c>
      <c r="C15" s="63"/>
      <c r="D15" s="61"/>
      <c r="E15" s="61"/>
      <c r="F15" s="61"/>
      <c r="G15" s="61"/>
      <c r="H15" s="61"/>
      <c r="I15" s="61"/>
      <c r="J15" s="61"/>
      <c r="K15" s="61"/>
      <c r="L15" s="61"/>
      <c r="M15" s="55"/>
      <c r="N15" s="55"/>
      <c r="O15" s="55"/>
      <c r="P15" s="55"/>
      <c r="Q15" s="55"/>
    </row>
    <row r="16" spans="2:22" x14ac:dyDescent="0.5">
      <c r="B16" s="24" t="s">
        <v>5</v>
      </c>
      <c r="C16" s="81">
        <v>1</v>
      </c>
      <c r="D16" s="82">
        <v>2</v>
      </c>
      <c r="E16" s="82">
        <v>3</v>
      </c>
      <c r="F16" s="82">
        <v>4</v>
      </c>
      <c r="G16" s="82">
        <v>5</v>
      </c>
      <c r="H16" s="83">
        <v>6</v>
      </c>
      <c r="I16" s="82">
        <v>7</v>
      </c>
      <c r="J16" s="82">
        <v>8</v>
      </c>
      <c r="K16" s="82">
        <v>9</v>
      </c>
      <c r="L16" s="82">
        <v>10</v>
      </c>
      <c r="M16" s="83">
        <v>11</v>
      </c>
      <c r="N16" s="82">
        <v>12</v>
      </c>
      <c r="O16" s="82">
        <v>13</v>
      </c>
      <c r="P16" s="82">
        <v>14</v>
      </c>
      <c r="Q16" s="82">
        <v>15</v>
      </c>
    </row>
    <row r="17" spans="2:27" x14ac:dyDescent="0.5">
      <c r="B17" s="21" t="s">
        <v>6</v>
      </c>
      <c r="C17" s="84">
        <f>-C20-C11</f>
        <v>-6750</v>
      </c>
      <c r="D17" s="85"/>
      <c r="E17" s="85"/>
      <c r="F17" s="85"/>
      <c r="G17" s="85"/>
      <c r="H17" s="86"/>
      <c r="I17" s="85"/>
      <c r="J17" s="85"/>
      <c r="K17" s="85"/>
      <c r="L17" s="85"/>
      <c r="M17" s="86"/>
      <c r="N17" s="85"/>
      <c r="O17" s="85"/>
      <c r="P17" s="85"/>
      <c r="Q17" s="85"/>
    </row>
    <row r="18" spans="2:27" x14ac:dyDescent="0.5">
      <c r="B18" s="25" t="s">
        <v>4</v>
      </c>
      <c r="C18" s="87">
        <f>IF(C17=-6750,(-C10),(-(C10-(-C17-6750)*1.24/10)))</f>
        <v>-1500</v>
      </c>
      <c r="D18" s="87">
        <f>+$C18</f>
        <v>-1500</v>
      </c>
      <c r="E18" s="87">
        <f t="shared" ref="E18:L18" si="0">+$C18</f>
        <v>-1500</v>
      </c>
      <c r="F18" s="87">
        <f t="shared" si="0"/>
        <v>-1500</v>
      </c>
      <c r="G18" s="87">
        <f t="shared" si="0"/>
        <v>-1500</v>
      </c>
      <c r="H18" s="87">
        <f t="shared" si="0"/>
        <v>-1500</v>
      </c>
      <c r="I18" s="87">
        <f t="shared" si="0"/>
        <v>-1500</v>
      </c>
      <c r="J18" s="87">
        <f t="shared" si="0"/>
        <v>-1500</v>
      </c>
      <c r="K18" s="87">
        <f t="shared" si="0"/>
        <v>-1500</v>
      </c>
      <c r="L18" s="87">
        <f t="shared" si="0"/>
        <v>-1500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  <c r="R18" s="5"/>
      <c r="S18" s="6"/>
      <c r="T18" s="6"/>
      <c r="U18" s="6"/>
      <c r="V18" s="6"/>
      <c r="W18" s="6"/>
    </row>
    <row r="19" spans="2:27" x14ac:dyDescent="0.5">
      <c r="B19" s="21" t="s">
        <v>39</v>
      </c>
      <c r="C19" s="84"/>
      <c r="D19" s="84"/>
      <c r="E19" s="84"/>
      <c r="F19" s="84"/>
      <c r="G19" s="84"/>
      <c r="H19" s="84"/>
      <c r="I19" s="84"/>
      <c r="J19" s="84"/>
      <c r="K19" s="84"/>
      <c r="L19" s="84">
        <f>-C13</f>
        <v>-4392</v>
      </c>
      <c r="M19" s="84"/>
      <c r="N19" s="84"/>
      <c r="O19" s="84"/>
      <c r="P19" s="84"/>
      <c r="Q19" s="84"/>
    </row>
    <row r="20" spans="2:27" x14ac:dyDescent="0.5">
      <c r="B20" s="21" t="s">
        <v>35</v>
      </c>
      <c r="C20" s="84">
        <f>+C9</f>
        <v>6750</v>
      </c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2:27" x14ac:dyDescent="0.5">
      <c r="B21" s="26" t="s">
        <v>7</v>
      </c>
      <c r="C21" s="88">
        <f>+C8</f>
        <v>1314.915</v>
      </c>
      <c r="D21" s="88">
        <f t="shared" ref="D21:Q21" si="1">+C21*(1+$C7)</f>
        <v>1341.2132999999999</v>
      </c>
      <c r="E21" s="88">
        <f t="shared" si="1"/>
        <v>1368.037566</v>
      </c>
      <c r="F21" s="88">
        <f t="shared" si="1"/>
        <v>1395.3983173199999</v>
      </c>
      <c r="G21" s="88">
        <f t="shared" si="1"/>
        <v>1423.3062836663998</v>
      </c>
      <c r="H21" s="88">
        <f t="shared" si="1"/>
        <v>1451.7724093397278</v>
      </c>
      <c r="I21" s="88">
        <f t="shared" si="1"/>
        <v>1480.8078575265224</v>
      </c>
      <c r="J21" s="88">
        <f t="shared" si="1"/>
        <v>1510.4240146770528</v>
      </c>
      <c r="K21" s="88">
        <f t="shared" si="1"/>
        <v>1540.6324949705938</v>
      </c>
      <c r="L21" s="88">
        <f t="shared" si="1"/>
        <v>1571.4451448700058</v>
      </c>
      <c r="M21" s="88">
        <f t="shared" si="1"/>
        <v>1602.874047767406</v>
      </c>
      <c r="N21" s="88">
        <f t="shared" si="1"/>
        <v>1634.9315287227541</v>
      </c>
      <c r="O21" s="88">
        <f t="shared" si="1"/>
        <v>1667.6301592972093</v>
      </c>
      <c r="P21" s="88">
        <f t="shared" si="1"/>
        <v>1700.9827624831535</v>
      </c>
      <c r="Q21" s="88">
        <f t="shared" si="1"/>
        <v>1735.0024177328166</v>
      </c>
    </row>
    <row r="22" spans="2:27" ht="18" hidden="1" customHeight="1" x14ac:dyDescent="0.5">
      <c r="B22" s="58" t="s">
        <v>8</v>
      </c>
      <c r="C22" s="89">
        <f>SUM(C17:C21)</f>
        <v>-185.08500000000004</v>
      </c>
      <c r="D22" s="89">
        <f t="shared" ref="D22:Q22" si="2">SUM(D17:D21)</f>
        <v>-158.78670000000011</v>
      </c>
      <c r="E22" s="89">
        <f t="shared" si="2"/>
        <v>-131.96243400000003</v>
      </c>
      <c r="F22" s="89">
        <f t="shared" si="2"/>
        <v>-104.60168268000007</v>
      </c>
      <c r="G22" s="89">
        <f t="shared" si="2"/>
        <v>-76.69371633360015</v>
      </c>
      <c r="H22" s="89">
        <f t="shared" si="2"/>
        <v>-48.227590660272199</v>
      </c>
      <c r="I22" s="89">
        <f t="shared" si="2"/>
        <v>-19.192142473477588</v>
      </c>
      <c r="J22" s="89">
        <f t="shared" si="2"/>
        <v>10.42401467705281</v>
      </c>
      <c r="K22" s="89">
        <f t="shared" si="2"/>
        <v>40.632494970593825</v>
      </c>
      <c r="L22" s="89">
        <f t="shared" si="2"/>
        <v>-4320.5548551299944</v>
      </c>
      <c r="M22" s="89">
        <f t="shared" si="2"/>
        <v>1602.874047767406</v>
      </c>
      <c r="N22" s="89">
        <f t="shared" si="2"/>
        <v>1634.9315287227541</v>
      </c>
      <c r="O22" s="89">
        <f t="shared" si="2"/>
        <v>1667.6301592972093</v>
      </c>
      <c r="P22" s="89">
        <f t="shared" si="2"/>
        <v>1700.9827624831535</v>
      </c>
      <c r="Q22" s="89">
        <f t="shared" si="2"/>
        <v>1735.0024177328166</v>
      </c>
    </row>
    <row r="23" spans="2:27" ht="16.149999999999999" thickBot="1" x14ac:dyDescent="0.55000000000000004">
      <c r="B23" s="90" t="s">
        <v>9</v>
      </c>
      <c r="C23" s="84">
        <f>+C22</f>
        <v>-185.08500000000004</v>
      </c>
      <c r="D23" s="91">
        <f t="shared" ref="D23:Q23" si="3">+D22+C23</f>
        <v>-343.87170000000015</v>
      </c>
      <c r="E23" s="91">
        <f t="shared" si="3"/>
        <v>-475.83413400000018</v>
      </c>
      <c r="F23" s="91">
        <f t="shared" si="3"/>
        <v>-580.43581668000024</v>
      </c>
      <c r="G23" s="91">
        <f t="shared" si="3"/>
        <v>-657.12953301360039</v>
      </c>
      <c r="H23" s="91">
        <f t="shared" si="3"/>
        <v>-705.35712367387259</v>
      </c>
      <c r="I23" s="91">
        <f t="shared" si="3"/>
        <v>-724.54926614735018</v>
      </c>
      <c r="J23" s="91">
        <f t="shared" si="3"/>
        <v>-714.12525147029737</v>
      </c>
      <c r="K23" s="91">
        <f t="shared" si="3"/>
        <v>-673.49275649970355</v>
      </c>
      <c r="L23" s="91">
        <f t="shared" si="3"/>
        <v>-4994.0476116296977</v>
      </c>
      <c r="M23" s="91">
        <f t="shared" si="3"/>
        <v>-3391.1735638622918</v>
      </c>
      <c r="N23" s="91">
        <f t="shared" si="3"/>
        <v>-1756.2420351395376</v>
      </c>
      <c r="O23" s="91">
        <f t="shared" si="3"/>
        <v>-88.611875842328345</v>
      </c>
      <c r="P23" s="91">
        <f t="shared" si="3"/>
        <v>1612.3708866408251</v>
      </c>
      <c r="Q23" s="91">
        <f t="shared" si="3"/>
        <v>3347.373304373642</v>
      </c>
    </row>
    <row r="24" spans="2:27" ht="18.399999999999999" customHeight="1" thickBot="1" x14ac:dyDescent="0.55000000000000004">
      <c r="B24" s="92" t="s">
        <v>40</v>
      </c>
      <c r="C24" s="93">
        <f>NPV(0.05,(C22:Q22))</f>
        <v>1176.3524392774295</v>
      </c>
      <c r="D24" s="94"/>
      <c r="E24" s="61"/>
      <c r="F24" s="61"/>
      <c r="G24" s="61"/>
      <c r="H24" s="61"/>
      <c r="I24" s="61"/>
      <c r="J24" s="61"/>
      <c r="K24" s="61"/>
      <c r="L24" s="61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</row>
    <row r="25" spans="2:27" ht="15.75" customHeight="1" thickBot="1" x14ac:dyDescent="0.55000000000000004">
      <c r="B25" s="55"/>
      <c r="C25" s="9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6">
        <v>16</v>
      </c>
      <c r="S25" s="56">
        <v>17</v>
      </c>
      <c r="T25" s="56">
        <v>18</v>
      </c>
      <c r="U25" s="56">
        <v>19</v>
      </c>
      <c r="V25" s="56">
        <v>20</v>
      </c>
      <c r="W25" s="56">
        <v>21</v>
      </c>
      <c r="X25" s="56">
        <v>22</v>
      </c>
      <c r="Y25" s="56">
        <v>23</v>
      </c>
      <c r="Z25" s="56">
        <v>24</v>
      </c>
      <c r="AA25" s="56">
        <v>25</v>
      </c>
    </row>
    <row r="26" spans="2:27" ht="18.399999999999999" customHeight="1" thickBot="1" x14ac:dyDescent="0.55000000000000004">
      <c r="B26" s="23" t="s">
        <v>44</v>
      </c>
      <c r="C26" s="63"/>
      <c r="D26" s="61"/>
      <c r="E26" s="61">
        <f>C29/12</f>
        <v>-66.666666666666671</v>
      </c>
      <c r="F26" s="61"/>
      <c r="G26" s="61"/>
      <c r="H26" s="61"/>
      <c r="I26" s="61"/>
      <c r="J26" s="61"/>
      <c r="K26" s="61"/>
      <c r="L26" s="61"/>
      <c r="M26" s="55"/>
      <c r="N26" s="55"/>
      <c r="O26" s="55"/>
      <c r="P26" s="55"/>
      <c r="Q26" s="55"/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spans="2:27" ht="15.75" customHeight="1" x14ac:dyDescent="0.5">
      <c r="B27" s="24" t="s">
        <v>5</v>
      </c>
      <c r="C27" s="81">
        <v>1</v>
      </c>
      <c r="D27" s="82">
        <v>2</v>
      </c>
      <c r="E27" s="82">
        <v>3</v>
      </c>
      <c r="F27" s="82">
        <v>4</v>
      </c>
      <c r="G27" s="82">
        <v>5</v>
      </c>
      <c r="H27" s="83">
        <v>6</v>
      </c>
      <c r="I27" s="82">
        <v>7</v>
      </c>
      <c r="J27" s="82">
        <v>8</v>
      </c>
      <c r="K27" s="82">
        <v>9</v>
      </c>
      <c r="L27" s="82">
        <v>10</v>
      </c>
      <c r="M27" s="83">
        <v>11</v>
      </c>
      <c r="N27" s="82">
        <v>12</v>
      </c>
      <c r="O27" s="82">
        <v>13</v>
      </c>
      <c r="P27" s="82">
        <v>14</v>
      </c>
      <c r="Q27" s="82">
        <v>15</v>
      </c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spans="2:27" ht="15.75" customHeight="1" x14ac:dyDescent="0.5">
      <c r="B28" s="21" t="s">
        <v>6</v>
      </c>
      <c r="C28" s="84">
        <f>-C31-D11</f>
        <v>-2850</v>
      </c>
      <c r="D28" s="85"/>
      <c r="E28" s="85"/>
      <c r="F28" s="85"/>
      <c r="G28" s="85"/>
      <c r="H28" s="86"/>
      <c r="I28" s="85"/>
      <c r="J28" s="85"/>
      <c r="K28" s="85"/>
      <c r="L28" s="85"/>
      <c r="M28" s="86"/>
      <c r="N28" s="85"/>
      <c r="O28" s="85"/>
      <c r="P28" s="85"/>
      <c r="Q28" s="85"/>
      <c r="R28" s="57">
        <f t="shared" ref="R28:AA28" si="4">+R19+R27</f>
        <v>0</v>
      </c>
      <c r="S28" s="57">
        <f t="shared" si="4"/>
        <v>0</v>
      </c>
      <c r="T28" s="57">
        <f t="shared" si="4"/>
        <v>0</v>
      </c>
      <c r="U28" s="57">
        <f t="shared" si="4"/>
        <v>0</v>
      </c>
      <c r="V28" s="57">
        <f t="shared" si="4"/>
        <v>0</v>
      </c>
      <c r="W28" s="57">
        <f t="shared" si="4"/>
        <v>0</v>
      </c>
      <c r="X28" s="57">
        <f t="shared" si="4"/>
        <v>0</v>
      </c>
      <c r="Y28" s="57">
        <f t="shared" si="4"/>
        <v>0</v>
      </c>
      <c r="Z28" s="57">
        <f t="shared" si="4"/>
        <v>0</v>
      </c>
      <c r="AA28" s="57">
        <f t="shared" si="4"/>
        <v>0</v>
      </c>
    </row>
    <row r="29" spans="2:27" ht="16.149999999999999" customHeight="1" thickBot="1" x14ac:dyDescent="0.55000000000000004">
      <c r="B29" s="25" t="s">
        <v>4</v>
      </c>
      <c r="C29" s="87">
        <f>IF(C28=-2850,(-D10),(-(D10-(-C28-2850)*1.24/10)))</f>
        <v>-800</v>
      </c>
      <c r="D29" s="87">
        <f>+$C29</f>
        <v>-800</v>
      </c>
      <c r="E29" s="87">
        <f t="shared" ref="E29:L29" si="5">+$C29</f>
        <v>-800</v>
      </c>
      <c r="F29" s="87">
        <f t="shared" si="5"/>
        <v>-800</v>
      </c>
      <c r="G29" s="87">
        <f t="shared" si="5"/>
        <v>-800</v>
      </c>
      <c r="H29" s="87">
        <f t="shared" si="5"/>
        <v>-800</v>
      </c>
      <c r="I29" s="87">
        <f t="shared" si="5"/>
        <v>-800</v>
      </c>
      <c r="J29" s="87">
        <f t="shared" si="5"/>
        <v>-800</v>
      </c>
      <c r="K29" s="87">
        <f t="shared" si="5"/>
        <v>-800</v>
      </c>
      <c r="L29" s="87">
        <f t="shared" si="5"/>
        <v>-800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  <c r="R29" s="59">
        <f t="shared" ref="R29:AA29" si="6">+R28+Q29</f>
        <v>0</v>
      </c>
      <c r="S29" s="59">
        <f t="shared" si="6"/>
        <v>0</v>
      </c>
      <c r="T29" s="59">
        <f t="shared" si="6"/>
        <v>0</v>
      </c>
      <c r="U29" s="59">
        <f t="shared" si="6"/>
        <v>0</v>
      </c>
      <c r="V29" s="59">
        <f t="shared" si="6"/>
        <v>0</v>
      </c>
      <c r="W29" s="59">
        <f t="shared" si="6"/>
        <v>0</v>
      </c>
      <c r="X29" s="59">
        <f t="shared" si="6"/>
        <v>0</v>
      </c>
      <c r="Y29" s="59">
        <f t="shared" si="6"/>
        <v>0</v>
      </c>
      <c r="Z29" s="59">
        <f t="shared" si="6"/>
        <v>0</v>
      </c>
      <c r="AA29" s="59">
        <f t="shared" si="6"/>
        <v>0</v>
      </c>
    </row>
    <row r="30" spans="2:27" ht="21.95" customHeight="1" x14ac:dyDescent="0.5">
      <c r="B30" s="21" t="s">
        <v>39</v>
      </c>
      <c r="C30" s="84"/>
      <c r="D30" s="84"/>
      <c r="E30" s="84"/>
      <c r="F30" s="84"/>
      <c r="G30" s="84"/>
      <c r="H30" s="84"/>
      <c r="I30" s="84"/>
      <c r="J30" s="84"/>
      <c r="K30" s="84"/>
      <c r="L30" s="84">
        <f>-D13</f>
        <v>-2012.3999999999999</v>
      </c>
      <c r="M30" s="84"/>
      <c r="N30" s="84"/>
      <c r="O30" s="84"/>
      <c r="P30" s="84"/>
      <c r="Q30" s="84"/>
      <c r="R30" s="55"/>
      <c r="S30" s="55"/>
      <c r="T30" s="55"/>
      <c r="U30" s="55"/>
      <c r="V30" s="55"/>
      <c r="W30" s="55"/>
      <c r="X30" s="55"/>
      <c r="Y30" s="55"/>
      <c r="Z30" s="55"/>
      <c r="AA30" s="55"/>
    </row>
    <row r="31" spans="2:27" ht="21.95" customHeight="1" x14ac:dyDescent="0.5">
      <c r="B31" s="21" t="s">
        <v>35</v>
      </c>
      <c r="C31" s="84">
        <f>+D9</f>
        <v>2850</v>
      </c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55"/>
      <c r="S31" s="55"/>
      <c r="T31" s="55"/>
      <c r="U31" s="55"/>
      <c r="V31" s="55"/>
      <c r="W31" s="55"/>
      <c r="X31" s="55"/>
      <c r="Y31" s="55"/>
      <c r="Z31" s="55"/>
      <c r="AA31" s="55"/>
    </row>
    <row r="32" spans="2:27" ht="21.95" customHeight="1" x14ac:dyDescent="0.5">
      <c r="B32" s="26" t="s">
        <v>7</v>
      </c>
      <c r="C32" s="88">
        <f>+D8</f>
        <v>746.34400000000005</v>
      </c>
      <c r="D32" s="88">
        <f>+C32*(1+$C7)</f>
        <v>761.27088000000003</v>
      </c>
      <c r="E32" s="88">
        <f t="shared" ref="E32:Q32" si="7">+D32*(1+$C7)</f>
        <v>776.49629760000005</v>
      </c>
      <c r="F32" s="88">
        <f t="shared" si="7"/>
        <v>792.02622355200003</v>
      </c>
      <c r="G32" s="88">
        <f t="shared" si="7"/>
        <v>807.86674802304003</v>
      </c>
      <c r="H32" s="88">
        <f t="shared" si="7"/>
        <v>824.02408298350088</v>
      </c>
      <c r="I32" s="88">
        <f t="shared" si="7"/>
        <v>840.50456464317085</v>
      </c>
      <c r="J32" s="88">
        <f t="shared" si="7"/>
        <v>857.31465593603423</v>
      </c>
      <c r="K32" s="88">
        <f t="shared" si="7"/>
        <v>874.46094905475491</v>
      </c>
      <c r="L32" s="88">
        <f t="shared" si="7"/>
        <v>891.95016803584997</v>
      </c>
      <c r="M32" s="88">
        <f t="shared" si="7"/>
        <v>909.78917139656699</v>
      </c>
      <c r="N32" s="88">
        <f t="shared" si="7"/>
        <v>927.98495482449835</v>
      </c>
      <c r="O32" s="88">
        <f t="shared" si="7"/>
        <v>946.54465392098837</v>
      </c>
      <c r="P32" s="88">
        <f t="shared" si="7"/>
        <v>965.47554699940815</v>
      </c>
      <c r="Q32" s="88">
        <f t="shared" si="7"/>
        <v>984.78505793939632</v>
      </c>
      <c r="R32" s="55"/>
      <c r="S32" s="55"/>
      <c r="T32" s="55"/>
      <c r="U32" s="55"/>
      <c r="V32" s="55"/>
      <c r="W32" s="55"/>
      <c r="X32" s="55"/>
      <c r="Y32" s="55"/>
      <c r="Z32" s="55"/>
      <c r="AA32" s="55"/>
    </row>
    <row r="33" spans="2:22" ht="18" customHeight="1" x14ac:dyDescent="0.5">
      <c r="B33" s="58" t="s">
        <v>8</v>
      </c>
      <c r="C33" s="89">
        <f>SUM(C28:C32)</f>
        <v>-53.655999999999949</v>
      </c>
      <c r="D33" s="89">
        <f t="shared" ref="D33:Q33" si="8">SUM(D28:D32)</f>
        <v>-38.729119999999966</v>
      </c>
      <c r="E33" s="89">
        <f t="shared" si="8"/>
        <v>-23.503702399999952</v>
      </c>
      <c r="F33" s="89">
        <f t="shared" si="8"/>
        <v>-7.9737764479999669</v>
      </c>
      <c r="G33" s="89">
        <f t="shared" si="8"/>
        <v>7.8667480230400315</v>
      </c>
      <c r="H33" s="89">
        <f t="shared" si="8"/>
        <v>24.024082983500875</v>
      </c>
      <c r="I33" s="89">
        <f t="shared" si="8"/>
        <v>40.504564643170852</v>
      </c>
      <c r="J33" s="89">
        <f t="shared" si="8"/>
        <v>57.314655936034228</v>
      </c>
      <c r="K33" s="89">
        <f t="shared" si="8"/>
        <v>74.460949054754906</v>
      </c>
      <c r="L33" s="89">
        <f t="shared" si="8"/>
        <v>-1920.4498319641498</v>
      </c>
      <c r="M33" s="89">
        <f t="shared" si="8"/>
        <v>909.78917139656699</v>
      </c>
      <c r="N33" s="89">
        <f t="shared" si="8"/>
        <v>927.98495482449835</v>
      </c>
      <c r="O33" s="89">
        <f t="shared" si="8"/>
        <v>946.54465392098837</v>
      </c>
      <c r="P33" s="89">
        <f t="shared" si="8"/>
        <v>965.47554699940815</v>
      </c>
      <c r="Q33" s="89">
        <f t="shared" si="8"/>
        <v>984.78505793939632</v>
      </c>
    </row>
    <row r="34" spans="2:22" ht="16.149999999999999" customHeight="1" thickBot="1" x14ac:dyDescent="0.55000000000000004">
      <c r="B34" s="90" t="s">
        <v>9</v>
      </c>
      <c r="C34" s="84">
        <f>+C33</f>
        <v>-53.655999999999949</v>
      </c>
      <c r="D34" s="91">
        <f t="shared" ref="D34:Q34" si="9">+D33+C34</f>
        <v>-92.385119999999915</v>
      </c>
      <c r="E34" s="91">
        <f t="shared" si="9"/>
        <v>-115.88882239999987</v>
      </c>
      <c r="F34" s="91">
        <f t="shared" si="9"/>
        <v>-123.86259884799983</v>
      </c>
      <c r="G34" s="91">
        <f t="shared" si="9"/>
        <v>-115.9958508249598</v>
      </c>
      <c r="H34" s="91">
        <f t="shared" si="9"/>
        <v>-91.971767841458927</v>
      </c>
      <c r="I34" s="91">
        <f t="shared" si="9"/>
        <v>-51.467203198288075</v>
      </c>
      <c r="J34" s="91">
        <f t="shared" si="9"/>
        <v>5.8474527377461527</v>
      </c>
      <c r="K34" s="91">
        <f t="shared" si="9"/>
        <v>80.308401792501058</v>
      </c>
      <c r="L34" s="91">
        <f t="shared" si="9"/>
        <v>-1840.1414301716486</v>
      </c>
      <c r="M34" s="91">
        <f t="shared" si="9"/>
        <v>-930.35225877508162</v>
      </c>
      <c r="N34" s="91">
        <f t="shared" si="9"/>
        <v>-2.3673039505832776</v>
      </c>
      <c r="O34" s="91">
        <f t="shared" si="9"/>
        <v>944.17734997040509</v>
      </c>
      <c r="P34" s="91">
        <f t="shared" si="9"/>
        <v>1909.6528969698134</v>
      </c>
      <c r="Q34" s="91">
        <f t="shared" si="9"/>
        <v>2894.4379549092096</v>
      </c>
    </row>
    <row r="35" spans="2:22" ht="18.399999999999999" customHeight="1" thickBot="1" x14ac:dyDescent="0.55000000000000004">
      <c r="B35" s="92" t="s">
        <v>40</v>
      </c>
      <c r="C35" s="93">
        <f>NPV(0.05,(C33:Q33))</f>
        <v>1359.5590309059389</v>
      </c>
      <c r="D35" s="94"/>
      <c r="E35" s="61"/>
      <c r="F35" s="61"/>
      <c r="G35" s="61"/>
      <c r="H35" s="61"/>
      <c r="I35" s="61"/>
      <c r="J35" s="61"/>
      <c r="K35" s="61"/>
      <c r="L35" s="61"/>
      <c r="M35" s="55"/>
      <c r="N35" s="55"/>
      <c r="O35" s="55"/>
      <c r="P35" s="55"/>
      <c r="Q35" s="55"/>
    </row>
    <row r="36" spans="2:22" x14ac:dyDescent="0.5">
      <c r="B36" s="2"/>
      <c r="C36" s="2"/>
      <c r="E36"/>
      <c r="G36" s="2"/>
      <c r="J36" s="2"/>
      <c r="K36" s="2"/>
      <c r="M36"/>
      <c r="N36" s="2"/>
      <c r="O36" s="2"/>
      <c r="R36" s="2"/>
      <c r="S36" s="2"/>
      <c r="V36" s="2"/>
    </row>
    <row r="37" spans="2:22" x14ac:dyDescent="0.5">
      <c r="B37" s="2"/>
      <c r="C37" s="2"/>
      <c r="E37"/>
      <c r="G37" s="2"/>
      <c r="J37" s="2"/>
      <c r="K37" s="2"/>
      <c r="M37"/>
      <c r="N37" s="2"/>
      <c r="O37" s="2"/>
      <c r="R37" s="2"/>
      <c r="S37" s="2"/>
      <c r="V37" s="2"/>
    </row>
    <row r="38" spans="2:22" x14ac:dyDescent="0.5">
      <c r="B38" s="2"/>
      <c r="C38" s="2"/>
      <c r="E38"/>
      <c r="G38" s="2"/>
      <c r="J38" s="2"/>
      <c r="K38" s="2"/>
      <c r="M38"/>
      <c r="N38" s="2"/>
      <c r="O38" s="2"/>
      <c r="R38" s="2"/>
      <c r="S38" s="2"/>
      <c r="V38" s="2"/>
    </row>
    <row r="39" spans="2:22" x14ac:dyDescent="0.5">
      <c r="B39" s="2"/>
      <c r="C39" s="2"/>
      <c r="E39"/>
      <c r="G39" s="2"/>
      <c r="J39" s="2"/>
      <c r="K39" s="2"/>
      <c r="M39"/>
      <c r="N39" s="2"/>
      <c r="O39" s="2"/>
      <c r="R39" s="2"/>
      <c r="S39" s="2"/>
      <c r="V39" s="2"/>
    </row>
    <row r="40" spans="2:22" x14ac:dyDescent="0.5">
      <c r="B40" s="2"/>
      <c r="C40" s="2"/>
      <c r="E40"/>
      <c r="G40" s="2"/>
      <c r="J40" s="2"/>
      <c r="K40" s="2"/>
      <c r="M40"/>
      <c r="N40" s="2"/>
      <c r="O40" s="2"/>
      <c r="R40" s="2"/>
      <c r="S40" s="2"/>
      <c r="V40" s="2"/>
    </row>
    <row r="41" spans="2:22" x14ac:dyDescent="0.5">
      <c r="B41" s="2"/>
      <c r="C41" s="2"/>
      <c r="E41"/>
      <c r="G41" s="2"/>
      <c r="J41" s="2"/>
      <c r="K41" s="2"/>
      <c r="M41"/>
      <c r="N41" s="2"/>
      <c r="O41" s="2"/>
      <c r="R41" s="2"/>
      <c r="S41" s="2"/>
      <c r="V41" s="2"/>
    </row>
    <row r="42" spans="2:22" x14ac:dyDescent="0.5">
      <c r="B42" s="2"/>
      <c r="C42" s="2"/>
      <c r="E42"/>
      <c r="G42" s="2"/>
      <c r="J42" s="2"/>
      <c r="K42" s="2"/>
      <c r="M42"/>
      <c r="N42" s="2"/>
      <c r="O42" s="2"/>
      <c r="R42" s="2"/>
      <c r="S42" s="2"/>
      <c r="V42" s="2"/>
    </row>
    <row r="43" spans="2:22" x14ac:dyDescent="0.5">
      <c r="B43" s="2"/>
      <c r="C43" s="2"/>
      <c r="E43"/>
      <c r="G43" s="2"/>
      <c r="J43" s="2"/>
      <c r="K43" s="2"/>
      <c r="M43"/>
      <c r="N43" s="2"/>
      <c r="O43" s="2"/>
      <c r="R43" s="2"/>
      <c r="S43" s="2"/>
      <c r="V43" s="2"/>
    </row>
    <row r="44" spans="2:22" x14ac:dyDescent="0.5">
      <c r="B44" s="2"/>
      <c r="C44" s="2"/>
      <c r="E44"/>
      <c r="G44" s="2"/>
      <c r="J44" s="2"/>
      <c r="K44" s="2"/>
      <c r="M44"/>
      <c r="N44" s="2"/>
      <c r="O44" s="2"/>
      <c r="R44" s="2"/>
      <c r="S44" s="2"/>
      <c r="V44" s="2"/>
    </row>
    <row r="45" spans="2:22" x14ac:dyDescent="0.5">
      <c r="B45" s="2"/>
      <c r="C45" s="2"/>
      <c r="E45"/>
      <c r="G45" s="2"/>
      <c r="J45" s="2"/>
      <c r="K45" s="2"/>
      <c r="M45"/>
      <c r="N45" s="2"/>
      <c r="O45" s="2"/>
      <c r="R45" s="2"/>
      <c r="S45" s="2"/>
      <c r="V45" s="2"/>
    </row>
  </sheetData>
  <mergeCells count="5">
    <mergeCell ref="F5:H5"/>
    <mergeCell ref="E6:H6"/>
    <mergeCell ref="E7:H7"/>
    <mergeCell ref="F3:H3"/>
    <mergeCell ref="F4:H4"/>
  </mergeCells>
  <dataValidations disablePrompts="1" count="1">
    <dataValidation type="list" allowBlank="1" showInputMessage="1" showErrorMessage="1" sqref="H3" xr:uid="{19A8D40F-28A2-4A6F-AE44-E773A9545681}">
      <formula1>$T$3:$T$3</formula1>
    </dataValidation>
  </dataValidations>
  <pageMargins left="0.75" right="0.75" top="1" bottom="1" header="0.5" footer="0.5"/>
  <pageSetup scale="53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"/>
  <sheetViews>
    <sheetView topLeftCell="A5" workbookViewId="0">
      <selection activeCell="C18" sqref="C18:C29"/>
    </sheetView>
  </sheetViews>
  <sheetFormatPr defaultColWidth="8.875" defaultRowHeight="15.75" x14ac:dyDescent="0.5"/>
  <cols>
    <col min="1" max="2" width="10.375" bestFit="1" customWidth="1"/>
    <col min="3" max="3" width="10.375" customWidth="1"/>
    <col min="4" max="4" width="9" customWidth="1"/>
    <col min="5" max="5" width="10.125" bestFit="1" customWidth="1"/>
    <col min="6" max="7" width="10.125" customWidth="1"/>
    <col min="8" max="8" width="16.125" customWidth="1"/>
    <col min="9" max="10" width="8.875" customWidth="1"/>
    <col min="11" max="11" width="10.125" bestFit="1" customWidth="1"/>
    <col min="12" max="12" width="9.125" bestFit="1" customWidth="1"/>
    <col min="14" max="14" width="9.125" bestFit="1" customWidth="1"/>
    <col min="17" max="17" width="10.125" bestFit="1" customWidth="1"/>
  </cols>
  <sheetData>
    <row r="1" spans="1:17" x14ac:dyDescent="0.5">
      <c r="C1" s="143"/>
      <c r="D1" s="144"/>
      <c r="E1" s="144"/>
      <c r="F1" s="144"/>
      <c r="G1" s="144"/>
      <c r="H1" s="145"/>
      <c r="I1" s="143"/>
      <c r="J1" s="144"/>
      <c r="K1" s="144"/>
      <c r="L1" s="144"/>
      <c r="M1" s="144"/>
      <c r="N1" s="145"/>
    </row>
    <row r="2" spans="1:17" x14ac:dyDescent="0.5">
      <c r="A2" t="s">
        <v>10</v>
      </c>
      <c r="B2" t="s">
        <v>11</v>
      </c>
      <c r="C2" s="27" t="s">
        <v>43</v>
      </c>
      <c r="D2" s="16"/>
      <c r="F2" s="16"/>
      <c r="G2" s="16"/>
      <c r="H2" s="28"/>
      <c r="I2" s="27"/>
      <c r="J2" s="16"/>
      <c r="L2" s="16"/>
      <c r="M2" s="16"/>
      <c r="N2" s="28"/>
    </row>
    <row r="3" spans="1:17" x14ac:dyDescent="0.5">
      <c r="A3" s="9"/>
      <c r="B3" s="9"/>
      <c r="C3" s="29" t="s">
        <v>46</v>
      </c>
      <c r="D3" t="s">
        <v>47</v>
      </c>
      <c r="E3" s="12" t="s">
        <v>45</v>
      </c>
      <c r="F3" s="11"/>
      <c r="G3" s="11"/>
      <c r="H3" s="30"/>
      <c r="K3" s="12"/>
      <c r="L3" s="17"/>
    </row>
    <row r="4" spans="1:17" x14ac:dyDescent="0.5">
      <c r="A4" s="9">
        <v>43266</v>
      </c>
      <c r="B4" s="9">
        <v>43298</v>
      </c>
      <c r="C4" s="29">
        <v>4072</v>
      </c>
      <c r="D4">
        <v>18</v>
      </c>
      <c r="E4" s="11">
        <v>446.41</v>
      </c>
      <c r="F4" s="11"/>
      <c r="G4" s="11"/>
      <c r="H4" s="30"/>
      <c r="K4" s="12"/>
      <c r="L4" s="17"/>
    </row>
    <row r="5" spans="1:17" x14ac:dyDescent="0.5">
      <c r="A5" s="9">
        <v>43298</v>
      </c>
      <c r="B5" s="9">
        <v>43327</v>
      </c>
      <c r="C5" s="29">
        <v>3271</v>
      </c>
      <c r="D5">
        <v>12</v>
      </c>
      <c r="E5" s="11">
        <v>383.85</v>
      </c>
      <c r="F5" s="11"/>
      <c r="G5" s="11"/>
      <c r="H5" s="30"/>
      <c r="K5" s="12"/>
      <c r="L5" s="17"/>
      <c r="O5" s="16"/>
      <c r="P5" s="16"/>
      <c r="Q5" s="28"/>
    </row>
    <row r="6" spans="1:17" x14ac:dyDescent="0.5">
      <c r="A6" s="9">
        <v>43327</v>
      </c>
      <c r="B6" s="9">
        <v>43361</v>
      </c>
      <c r="C6" s="29">
        <v>3910</v>
      </c>
      <c r="D6">
        <v>17</v>
      </c>
      <c r="E6" s="11">
        <v>422.88</v>
      </c>
      <c r="F6" s="11"/>
      <c r="G6" s="11"/>
      <c r="H6" s="30"/>
      <c r="K6" s="12"/>
      <c r="L6" s="17"/>
    </row>
    <row r="7" spans="1:17" x14ac:dyDescent="0.5">
      <c r="A7" s="9">
        <v>43361</v>
      </c>
      <c r="B7" s="9">
        <v>43389</v>
      </c>
      <c r="C7" s="29">
        <v>2998</v>
      </c>
      <c r="D7">
        <v>16</v>
      </c>
      <c r="E7" s="11">
        <v>361.33</v>
      </c>
      <c r="F7" s="11"/>
      <c r="G7" s="11"/>
      <c r="H7" s="30"/>
      <c r="K7" s="12"/>
      <c r="L7" s="17"/>
    </row>
    <row r="8" spans="1:17" x14ac:dyDescent="0.5">
      <c r="A8" s="9">
        <v>43389</v>
      </c>
      <c r="B8" s="9">
        <v>43418</v>
      </c>
      <c r="C8" s="29">
        <v>1771</v>
      </c>
      <c r="D8">
        <v>9</v>
      </c>
      <c r="E8" s="11">
        <v>221.38</v>
      </c>
      <c r="F8" s="11"/>
      <c r="G8" s="11"/>
      <c r="H8" s="30"/>
      <c r="K8" s="12"/>
      <c r="L8" s="17"/>
    </row>
    <row r="9" spans="1:17" x14ac:dyDescent="0.5">
      <c r="A9" s="9">
        <v>43418</v>
      </c>
      <c r="B9" s="9">
        <v>43448</v>
      </c>
      <c r="C9" s="29">
        <v>1399</v>
      </c>
      <c r="D9">
        <v>11</v>
      </c>
      <c r="E9" s="11">
        <v>179.2</v>
      </c>
      <c r="F9" s="11"/>
      <c r="G9" s="11"/>
      <c r="H9" s="30"/>
      <c r="K9" s="12"/>
      <c r="L9" s="17"/>
    </row>
    <row r="10" spans="1:17" x14ac:dyDescent="0.5">
      <c r="A10" s="9">
        <v>43813</v>
      </c>
      <c r="B10" s="9">
        <v>43481</v>
      </c>
      <c r="C10" s="29">
        <v>1463</v>
      </c>
      <c r="D10">
        <v>9</v>
      </c>
      <c r="E10" s="11">
        <v>188.18</v>
      </c>
      <c r="F10" s="11"/>
      <c r="G10" s="11"/>
      <c r="H10" s="30"/>
      <c r="K10" s="12"/>
      <c r="L10" s="17"/>
    </row>
    <row r="11" spans="1:17" x14ac:dyDescent="0.5">
      <c r="A11" s="9">
        <v>43481</v>
      </c>
      <c r="B11" s="9">
        <v>43511</v>
      </c>
      <c r="C11" s="29">
        <v>1614</v>
      </c>
      <c r="D11">
        <v>9</v>
      </c>
      <c r="E11" s="11">
        <v>207.36</v>
      </c>
      <c r="F11" s="11"/>
      <c r="G11" s="11"/>
      <c r="H11" s="30"/>
      <c r="K11" s="12"/>
      <c r="L11" s="17"/>
    </row>
    <row r="12" spans="1:17" x14ac:dyDescent="0.5">
      <c r="A12" s="9">
        <v>43511</v>
      </c>
      <c r="B12" s="9">
        <v>43539</v>
      </c>
      <c r="C12" s="29">
        <v>1463</v>
      </c>
      <c r="D12">
        <v>10</v>
      </c>
      <c r="E12" s="11">
        <v>189.78</v>
      </c>
      <c r="F12" s="11"/>
      <c r="G12" s="11"/>
      <c r="H12" s="30"/>
      <c r="K12" s="12"/>
      <c r="L12" s="17"/>
    </row>
    <row r="13" spans="1:17" x14ac:dyDescent="0.5">
      <c r="A13" s="9">
        <v>43539</v>
      </c>
      <c r="B13" s="9">
        <v>43570</v>
      </c>
      <c r="C13" s="29">
        <v>1540</v>
      </c>
      <c r="D13">
        <v>9</v>
      </c>
      <c r="E13" s="11">
        <v>198.74</v>
      </c>
      <c r="F13" s="11"/>
      <c r="G13" s="11"/>
      <c r="H13" s="30"/>
      <c r="K13" s="12"/>
      <c r="L13" s="17"/>
    </row>
    <row r="14" spans="1:17" ht="16.149999999999999" thickBot="1" x14ac:dyDescent="0.55000000000000004">
      <c r="A14" s="9">
        <v>43570</v>
      </c>
      <c r="B14" s="9">
        <v>43600</v>
      </c>
      <c r="C14" s="29">
        <v>2302</v>
      </c>
      <c r="D14">
        <v>11</v>
      </c>
      <c r="E14" s="112">
        <v>287.49</v>
      </c>
      <c r="F14" s="11"/>
      <c r="G14" s="11"/>
      <c r="H14" s="31"/>
      <c r="K14" s="13"/>
      <c r="L14" s="17"/>
      <c r="M14" s="37"/>
      <c r="N14" s="37"/>
    </row>
    <row r="15" spans="1:17" ht="16.5" thickTop="1" thickBot="1" x14ac:dyDescent="0.55000000000000004">
      <c r="A15" s="9">
        <v>43600</v>
      </c>
      <c r="B15" s="9">
        <v>43633</v>
      </c>
      <c r="C15" s="32">
        <v>3640</v>
      </c>
      <c r="D15" s="33">
        <v>15</v>
      </c>
      <c r="E15" s="34">
        <v>415.33</v>
      </c>
      <c r="F15" s="34"/>
      <c r="G15" s="35"/>
      <c r="H15" s="36"/>
      <c r="K15" s="10"/>
      <c r="N15" s="15"/>
      <c r="Q15" s="38">
        <f>H15+N15</f>
        <v>0</v>
      </c>
    </row>
    <row r="16" spans="1:17" x14ac:dyDescent="0.5">
      <c r="C16">
        <f>SUM(C4:C15)</f>
        <v>29443</v>
      </c>
      <c r="D16" s="8">
        <f>C16*0.07</f>
        <v>2061.0100000000002</v>
      </c>
      <c r="E16" s="10">
        <f>SUM(E4:E15)</f>
        <v>3501.9300000000003</v>
      </c>
      <c r="F16" s="10">
        <f>C16/1300</f>
        <v>22.64846153846154</v>
      </c>
      <c r="G16" s="10"/>
      <c r="J16" s="17"/>
      <c r="Q16" s="10">
        <f>K15+E15</f>
        <v>415.33</v>
      </c>
    </row>
    <row r="17" spans="1:12" x14ac:dyDescent="0.5">
      <c r="H17" s="146">
        <v>127.54</v>
      </c>
    </row>
    <row r="18" spans="1:12" x14ac:dyDescent="0.5">
      <c r="A18" s="9">
        <v>43266</v>
      </c>
      <c r="B18" s="9">
        <v>43298</v>
      </c>
      <c r="C18">
        <v>800</v>
      </c>
      <c r="E18" s="18"/>
      <c r="F18">
        <f>H18+I18</f>
        <v>104.03</v>
      </c>
      <c r="H18" s="146">
        <v>147.03</v>
      </c>
      <c r="I18">
        <v>-43</v>
      </c>
      <c r="J18" s="147">
        <v>43286</v>
      </c>
    </row>
    <row r="19" spans="1:12" x14ac:dyDescent="0.5">
      <c r="A19" s="9">
        <v>43298</v>
      </c>
      <c r="B19" s="9">
        <v>43327</v>
      </c>
      <c r="C19">
        <v>600</v>
      </c>
      <c r="E19" s="19"/>
      <c r="F19">
        <f t="shared" ref="F19:F26" si="0">H19+I19</f>
        <v>97.919999999999987</v>
      </c>
      <c r="H19" s="146">
        <v>140.91999999999999</v>
      </c>
      <c r="I19">
        <v>-43</v>
      </c>
      <c r="J19" s="147">
        <v>43314</v>
      </c>
      <c r="L19" s="17"/>
    </row>
    <row r="20" spans="1:12" x14ac:dyDescent="0.5">
      <c r="A20" s="9">
        <v>43327</v>
      </c>
      <c r="B20" s="9">
        <v>43361</v>
      </c>
      <c r="C20">
        <v>800</v>
      </c>
      <c r="F20">
        <f t="shared" si="0"/>
        <v>115.15</v>
      </c>
      <c r="G20" s="149"/>
      <c r="H20" s="146">
        <v>158.15</v>
      </c>
      <c r="I20">
        <v>-43</v>
      </c>
      <c r="J20" s="147">
        <v>43343</v>
      </c>
    </row>
    <row r="21" spans="1:12" x14ac:dyDescent="0.5">
      <c r="A21" s="9">
        <v>43361</v>
      </c>
      <c r="B21" s="9">
        <v>43389</v>
      </c>
      <c r="C21">
        <v>500</v>
      </c>
      <c r="D21" s="2"/>
      <c r="E21" s="2"/>
      <c r="F21">
        <f t="shared" si="0"/>
        <v>78.53</v>
      </c>
      <c r="G21" s="149"/>
      <c r="H21" s="146">
        <v>121.53</v>
      </c>
      <c r="I21">
        <v>-43</v>
      </c>
      <c r="J21" s="147">
        <v>43377</v>
      </c>
    </row>
    <row r="22" spans="1:12" x14ac:dyDescent="0.5">
      <c r="A22" s="9">
        <v>43389</v>
      </c>
      <c r="B22" s="9">
        <v>43418</v>
      </c>
      <c r="C22">
        <v>550</v>
      </c>
      <c r="D22" s="2"/>
      <c r="E22" s="2"/>
      <c r="F22">
        <f t="shared" si="0"/>
        <v>95.009999999999991</v>
      </c>
      <c r="G22" s="149"/>
      <c r="H22" s="146">
        <v>138.01</v>
      </c>
      <c r="I22">
        <v>-43</v>
      </c>
      <c r="J22" s="147">
        <v>43411</v>
      </c>
    </row>
    <row r="23" spans="1:12" x14ac:dyDescent="0.5">
      <c r="A23" s="9">
        <v>43418</v>
      </c>
      <c r="B23" s="9">
        <v>43448</v>
      </c>
      <c r="C23">
        <v>800</v>
      </c>
      <c r="D23" s="2"/>
      <c r="E23" s="2"/>
      <c r="F23">
        <f t="shared" si="0"/>
        <v>126.66999999999999</v>
      </c>
      <c r="G23" s="149"/>
      <c r="H23" s="146">
        <v>169.67</v>
      </c>
      <c r="I23">
        <v>-43</v>
      </c>
      <c r="J23" s="147">
        <v>43434</v>
      </c>
    </row>
    <row r="24" spans="1:12" x14ac:dyDescent="0.5">
      <c r="A24" s="9">
        <v>43813</v>
      </c>
      <c r="B24" s="9">
        <v>43481</v>
      </c>
      <c r="C24">
        <v>1000</v>
      </c>
      <c r="D24" s="2"/>
      <c r="E24" s="2"/>
      <c r="F24">
        <f t="shared" si="0"/>
        <v>139.19999999999999</v>
      </c>
      <c r="G24" s="149"/>
      <c r="H24" s="146">
        <v>182.2</v>
      </c>
      <c r="I24">
        <v>-43</v>
      </c>
      <c r="J24" s="147">
        <v>43467</v>
      </c>
    </row>
    <row r="25" spans="1:12" x14ac:dyDescent="0.5">
      <c r="A25" s="9">
        <v>43481</v>
      </c>
      <c r="B25" s="9">
        <v>43511</v>
      </c>
      <c r="C25">
        <v>900</v>
      </c>
      <c r="D25" s="2"/>
      <c r="E25" s="14"/>
      <c r="F25">
        <f t="shared" si="0"/>
        <v>133.32</v>
      </c>
      <c r="G25" s="149"/>
      <c r="H25" s="146">
        <v>176.32</v>
      </c>
      <c r="I25">
        <v>-43</v>
      </c>
      <c r="J25" s="147">
        <v>43497</v>
      </c>
    </row>
    <row r="26" spans="1:12" x14ac:dyDescent="0.5">
      <c r="A26" s="9">
        <v>43511</v>
      </c>
      <c r="B26" s="9">
        <v>43539</v>
      </c>
      <c r="C26">
        <v>450</v>
      </c>
      <c r="F26">
        <v>0</v>
      </c>
      <c r="G26" s="149"/>
      <c r="I26">
        <v>-43</v>
      </c>
      <c r="J26" s="147">
        <v>43530</v>
      </c>
    </row>
    <row r="27" spans="1:12" x14ac:dyDescent="0.5">
      <c r="A27" s="9">
        <v>43539</v>
      </c>
      <c r="B27" s="9">
        <v>43570</v>
      </c>
      <c r="C27">
        <v>520</v>
      </c>
      <c r="E27">
        <v>79.95</v>
      </c>
      <c r="F27">
        <f t="shared" ref="F18:F28" si="1">H27+I27</f>
        <v>88.580000000000013</v>
      </c>
      <c r="G27" s="149"/>
      <c r="H27" s="146">
        <v>131.58000000000001</v>
      </c>
      <c r="I27">
        <v>-43</v>
      </c>
      <c r="J27" s="147">
        <v>43558</v>
      </c>
    </row>
    <row r="28" spans="1:12" x14ac:dyDescent="0.5">
      <c r="A28" s="9">
        <v>43570</v>
      </c>
      <c r="B28" s="9">
        <v>43600</v>
      </c>
      <c r="C28">
        <v>327</v>
      </c>
      <c r="D28" s="2"/>
      <c r="E28" s="2">
        <v>59.7</v>
      </c>
      <c r="F28">
        <f t="shared" si="1"/>
        <v>66</v>
      </c>
      <c r="G28" s="149"/>
      <c r="H28" s="146">
        <v>109</v>
      </c>
      <c r="I28">
        <v>-43</v>
      </c>
      <c r="J28" s="147">
        <v>43586</v>
      </c>
    </row>
    <row r="29" spans="1:12" ht="16.149999999999999" thickBot="1" x14ac:dyDescent="0.55000000000000004">
      <c r="A29" s="9">
        <v>43600</v>
      </c>
      <c r="B29" s="9">
        <v>43633</v>
      </c>
      <c r="C29" s="37">
        <v>515</v>
      </c>
      <c r="D29" s="2"/>
      <c r="E29" s="2">
        <v>79.37</v>
      </c>
      <c r="F29">
        <f>H29+I29</f>
        <v>87</v>
      </c>
      <c r="G29" s="149"/>
      <c r="H29" s="146">
        <v>130</v>
      </c>
      <c r="I29">
        <v>-43</v>
      </c>
      <c r="J29" s="147">
        <v>43616</v>
      </c>
    </row>
    <row r="30" spans="1:12" ht="16.149999999999999" thickTop="1" x14ac:dyDescent="0.5">
      <c r="C30" s="15">
        <f>SUM(C18:C29)</f>
        <v>7762</v>
      </c>
      <c r="D30" s="113"/>
      <c r="E30" s="2"/>
      <c r="I30" s="10"/>
      <c r="J30" s="148"/>
    </row>
    <row r="31" spans="1:12" x14ac:dyDescent="0.5">
      <c r="D31" s="2"/>
      <c r="E31" s="2"/>
      <c r="F31">
        <f>SUM(F18:F29)</f>
        <v>1131.4099999999999</v>
      </c>
      <c r="I31" s="10"/>
    </row>
    <row r="32" spans="1:12" x14ac:dyDescent="0.5">
      <c r="B32" t="s">
        <v>42</v>
      </c>
      <c r="C32" s="17"/>
      <c r="D32" s="2"/>
      <c r="E32" s="14"/>
      <c r="I32" s="10"/>
    </row>
  </sheetData>
  <sortState xmlns:xlrd2="http://schemas.microsoft.com/office/spreadsheetml/2017/richdata2" ref="A3:H14">
    <sortCondition ref="A3:A14"/>
  </sortState>
  <mergeCells count="2">
    <mergeCell ref="C1:H1"/>
    <mergeCell ref="I1:N1"/>
  </mergeCells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B8CE1-655A-4D9C-9BA4-57B3E585EE9C}">
  <dimension ref="B2:D13"/>
  <sheetViews>
    <sheetView workbookViewId="0">
      <selection activeCell="C19" sqref="C19"/>
    </sheetView>
  </sheetViews>
  <sheetFormatPr defaultRowHeight="15.75" x14ac:dyDescent="0.5"/>
  <cols>
    <col min="2" max="2" width="27.875" customWidth="1"/>
    <col min="3" max="3" width="20.0625" customWidth="1"/>
    <col min="4" max="4" width="18.625" customWidth="1"/>
  </cols>
  <sheetData>
    <row r="2" spans="2:4" ht="21.75" x14ac:dyDescent="0.65">
      <c r="B2" s="140" t="s">
        <v>55</v>
      </c>
      <c r="C2" s="141"/>
      <c r="D2" s="142"/>
    </row>
    <row r="3" spans="2:4" ht="21.75" x14ac:dyDescent="0.65">
      <c r="B3" s="119"/>
      <c r="C3" s="120" t="s">
        <v>43</v>
      </c>
      <c r="D3" s="121" t="s">
        <v>44</v>
      </c>
    </row>
    <row r="4" spans="2:4" ht="21.75" x14ac:dyDescent="0.65">
      <c r="B4" s="118" t="s">
        <v>48</v>
      </c>
      <c r="C4" s="120">
        <f>'Lease meterics'!C3</f>
        <v>9.6</v>
      </c>
      <c r="D4" s="121">
        <f>'Lease meterics'!D3</f>
        <v>4.3</v>
      </c>
    </row>
    <row r="5" spans="2:4" ht="43.5" x14ac:dyDescent="0.65">
      <c r="B5" s="118" t="s">
        <v>49</v>
      </c>
      <c r="C5" s="124">
        <f>'Lease meterics'!C4</f>
        <v>12523</v>
      </c>
      <c r="D5" s="130">
        <f>'Lease meterics'!D4</f>
        <v>6434</v>
      </c>
    </row>
    <row r="6" spans="2:4" ht="43.5" x14ac:dyDescent="0.65">
      <c r="B6" s="118" t="s">
        <v>50</v>
      </c>
      <c r="C6" s="125">
        <f>'Lease meterics'!I4</f>
        <v>0.42533029922222598</v>
      </c>
      <c r="D6" s="131">
        <f>'Lease meterics'!J4</f>
        <v>0.82891007472300948</v>
      </c>
    </row>
    <row r="7" spans="2:4" ht="43.5" x14ac:dyDescent="0.65">
      <c r="B7" s="118" t="s">
        <v>51</v>
      </c>
      <c r="C7" s="126">
        <f>'Lease meterics'!C8</f>
        <v>1314.915</v>
      </c>
      <c r="D7" s="132">
        <f>'Lease meterics'!D8</f>
        <v>746.34400000000005</v>
      </c>
    </row>
    <row r="8" spans="2:4" ht="21.75" x14ac:dyDescent="0.65">
      <c r="B8" s="127"/>
      <c r="C8" s="128"/>
      <c r="D8" s="129"/>
    </row>
    <row r="9" spans="2:4" ht="21.75" x14ac:dyDescent="0.65">
      <c r="B9" s="118" t="s">
        <v>52</v>
      </c>
      <c r="C9" s="122">
        <f>-'Lease meterics'!I6</f>
        <v>-26142</v>
      </c>
      <c r="D9" s="123">
        <f>-'Lease meterics'!J6</f>
        <v>-12862.4</v>
      </c>
    </row>
    <row r="10" spans="2:4" ht="21.75" x14ac:dyDescent="0.65">
      <c r="B10" s="118" t="s">
        <v>53</v>
      </c>
      <c r="C10" s="122">
        <f>'Lease meterics'!C9</f>
        <v>6750</v>
      </c>
      <c r="D10" s="123">
        <f>'Lease meterics'!D9</f>
        <v>2850</v>
      </c>
    </row>
    <row r="11" spans="2:4" ht="21.75" x14ac:dyDescent="0.65">
      <c r="B11" s="118" t="s">
        <v>17</v>
      </c>
      <c r="C11" s="122">
        <f>-'Lease meterics'!C10</f>
        <v>-1500</v>
      </c>
      <c r="D11" s="123">
        <f>-'Lease meterics'!D10</f>
        <v>-800</v>
      </c>
    </row>
    <row r="12" spans="2:4" ht="21.75" x14ac:dyDescent="0.65">
      <c r="B12" s="118" t="s">
        <v>18</v>
      </c>
      <c r="C12" s="122">
        <f>'Lease meterics'!L19</f>
        <v>-4392</v>
      </c>
      <c r="D12" s="133">
        <f>'Lease meterics'!L30</f>
        <v>-2012.3999999999999</v>
      </c>
    </row>
    <row r="13" spans="2:4" ht="21.75" x14ac:dyDescent="0.65">
      <c r="B13" s="118" t="s">
        <v>54</v>
      </c>
      <c r="C13" s="122">
        <f>'Lease meterics'!C24</f>
        <v>1176.3524392774295</v>
      </c>
      <c r="D13" s="123">
        <f>'Lease meterics'!C35</f>
        <v>1359.5590309059389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Lease meterics</vt:lpstr>
      <vt:lpstr>consumption</vt:lpstr>
      <vt:lpstr>Sheet1</vt:lpstr>
      <vt:lpstr>'Lease meterics'!Options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Yates</dc:creator>
  <cp:lastModifiedBy>Scott Alexander</cp:lastModifiedBy>
  <dcterms:created xsi:type="dcterms:W3CDTF">2018-08-03T13:12:37Z</dcterms:created>
  <dcterms:modified xsi:type="dcterms:W3CDTF">2019-10-09T22:26:24Z</dcterms:modified>
</cp:coreProperties>
</file>