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4880" activeTab="5"/>
  </bookViews>
  <sheets>
    <sheet name="X data" sheetId="2" r:id="rId1"/>
    <sheet name="Distributions" sheetId="8" r:id="rId2"/>
    <sheet name="Exponential" sheetId="1" r:id="rId3"/>
    <sheet name="Gamma" sheetId="6" r:id="rId4"/>
    <sheet name="Lognormal" sheetId="10" r:id="rId5"/>
    <sheet name="MLE for gamma" sheetId="16" r:id="rId6"/>
  </sheets>
  <externalReferences>
    <externalReference r:id="rId7"/>
  </externalReferences>
  <definedNames>
    <definedName name="solver_adj" localSheetId="3" hidden="1">Gamma!$E$3</definedName>
    <definedName name="solver_adj" localSheetId="4" hidden="1">Lognormal!#REF!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st" localSheetId="3" hidden="1">1</definedName>
    <definedName name="solver_est" localSheetId="4" hidden="1">1</definedName>
    <definedName name="solver_itr" localSheetId="3" hidden="1">100</definedName>
    <definedName name="solver_itr" localSheetId="4" hidden="1">100</definedName>
    <definedName name="solver_lhs1" localSheetId="3" hidden="1">Gamma!$I$4</definedName>
    <definedName name="solver_lhs1" localSheetId="4" hidden="1">Lognormal!$I$3</definedName>
    <definedName name="solver_lin" localSheetId="3" hidden="1">2</definedName>
    <definedName name="solver_lin" localSheetId="4" hidden="1">2</definedName>
    <definedName name="solver_neg" localSheetId="3" hidden="1">2</definedName>
    <definedName name="solver_neg" localSheetId="4" hidden="1">2</definedName>
    <definedName name="solver_num" localSheetId="3" hidden="1">0</definedName>
    <definedName name="solver_num" localSheetId="4" hidden="1">0</definedName>
    <definedName name="solver_nwt" localSheetId="3" hidden="1">1</definedName>
    <definedName name="solver_nwt" localSheetId="4" hidden="1">1</definedName>
    <definedName name="solver_opt" localSheetId="3" hidden="1">Gamma!$L$4</definedName>
    <definedName name="solver_opt" localSheetId="4" hidden="1">Lognormal!#REF!</definedName>
    <definedName name="solver_pre" localSheetId="3" hidden="1">0.000001</definedName>
    <definedName name="solver_pre" localSheetId="4" hidden="1">0.000001</definedName>
    <definedName name="solver_rel1" localSheetId="3" hidden="1">2</definedName>
    <definedName name="solver_rel1" localSheetId="4" hidden="1">2</definedName>
    <definedName name="solver_rhs1" localSheetId="3" hidden="1">0</definedName>
    <definedName name="solver_rhs1" localSheetId="4" hidden="1">0</definedName>
    <definedName name="solver_scl" localSheetId="3" hidden="1">2</definedName>
    <definedName name="solver_scl" localSheetId="4" hidden="1">2</definedName>
    <definedName name="solver_sho" localSheetId="3" hidden="1">2</definedName>
    <definedName name="solver_sho" localSheetId="4" hidden="1">2</definedName>
    <definedName name="solver_tim" localSheetId="3" hidden="1">100</definedName>
    <definedName name="solver_tim" localSheetId="4" hidden="1">100</definedName>
    <definedName name="solver_tol" localSheetId="3" hidden="1">0.05</definedName>
    <definedName name="solver_tol" localSheetId="4" hidden="1">0.05</definedName>
    <definedName name="solver_typ" localSheetId="3" hidden="1">3</definedName>
    <definedName name="solver_typ" localSheetId="4" hidden="1">3</definedName>
    <definedName name="solver_val" localSheetId="3" hidden="1">0</definedName>
    <definedName name="solver_val" localSheetId="4" hidden="1">0</definedName>
  </definedNames>
  <calcPr calcId="125725"/>
</workbook>
</file>

<file path=xl/calcChain.xml><?xml version="1.0" encoding="utf-8"?>
<calcChain xmlns="http://schemas.openxmlformats.org/spreadsheetml/2006/main">
  <c r="V6" i="16"/>
  <c r="U6"/>
  <c r="U7" s="1"/>
  <c r="M6"/>
  <c r="L6"/>
  <c r="L7" s="1"/>
  <c r="G6"/>
  <c r="F6"/>
  <c r="F7" s="1"/>
  <c r="Z5"/>
  <c r="Y5"/>
  <c r="Y6" s="1"/>
  <c r="X5"/>
  <c r="W5"/>
  <c r="W6" s="1"/>
  <c r="V5"/>
  <c r="U5"/>
  <c r="T5"/>
  <c r="S5"/>
  <c r="S6" s="1"/>
  <c r="O5"/>
  <c r="N5"/>
  <c r="N6" s="1"/>
  <c r="M5"/>
  <c r="L5"/>
  <c r="K5"/>
  <c r="J5"/>
  <c r="J6" s="1"/>
  <c r="I5"/>
  <c r="H5"/>
  <c r="H6" s="1"/>
  <c r="G5"/>
  <c r="F5"/>
  <c r="E5"/>
  <c r="D5"/>
  <c r="D6" s="1"/>
  <c r="C5"/>
  <c r="B5"/>
  <c r="B6" s="1"/>
  <c r="Z4"/>
  <c r="X4"/>
  <c r="V4"/>
  <c r="T4"/>
  <c r="O4"/>
  <c r="M4"/>
  <c r="K4"/>
  <c r="I4"/>
  <c r="G4"/>
  <c r="E4"/>
  <c r="C4"/>
  <c r="P26" i="1"/>
  <c r="P39" s="1"/>
  <c r="S26"/>
  <c r="P27"/>
  <c r="P28"/>
  <c r="P29"/>
  <c r="P30"/>
  <c r="P31"/>
  <c r="P32"/>
  <c r="P33"/>
  <c r="P34"/>
  <c r="P35"/>
  <c r="P36"/>
  <c r="P37"/>
  <c r="I3" i="2" a="1"/>
  <c r="I5" s="1"/>
  <c r="I6"/>
  <c r="I10"/>
  <c r="C4" i="8"/>
  <c r="D4" i="1"/>
  <c r="C4"/>
  <c r="B4" i="8" s="1"/>
  <c r="E5" i="6"/>
  <c r="E4" s="1"/>
  <c r="C6" i="8" s="1"/>
  <c r="P3" i="6"/>
  <c r="P2"/>
  <c r="L2"/>
  <c r="I2"/>
  <c r="H2"/>
  <c r="C3"/>
  <c r="C4" s="1"/>
  <c r="E12" i="2"/>
  <c r="I3" i="6" s="1"/>
  <c r="D12" i="2"/>
  <c r="H3" i="6" s="1"/>
  <c r="E3" i="10"/>
  <c r="D4" i="8" s="1"/>
  <c r="D9" i="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2"/>
  <c r="C3" i="10"/>
  <c r="C4"/>
  <c r="B27"/>
  <c r="O10"/>
  <c r="O11" i="6"/>
  <c r="D6" i="2"/>
  <c r="D8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2"/>
  <c r="D7"/>
  <c r="B28" i="6"/>
  <c r="D39" i="1"/>
  <c r="G26"/>
  <c r="D32"/>
  <c r="D37"/>
  <c r="A8"/>
  <c r="B8"/>
  <c r="P11" i="10" s="1"/>
  <c r="A9" i="1"/>
  <c r="B9"/>
  <c r="P13" i="6" s="1"/>
  <c r="A10" i="1"/>
  <c r="B10"/>
  <c r="P13" i="10" s="1"/>
  <c r="A11" i="1"/>
  <c r="B11"/>
  <c r="P15" i="6" s="1"/>
  <c r="O16" s="1"/>
  <c r="A12" i="1"/>
  <c r="B12"/>
  <c r="P15" i="10" s="1"/>
  <c r="A13" i="1"/>
  <c r="B13"/>
  <c r="P17" i="6" s="1"/>
  <c r="A14" i="1"/>
  <c r="B14"/>
  <c r="P17" i="10" s="1"/>
  <c r="A15" i="1"/>
  <c r="B15"/>
  <c r="P19" i="6" s="1"/>
  <c r="O20" s="1"/>
  <c r="A16" i="1"/>
  <c r="B16"/>
  <c r="P19" i="10" s="1"/>
  <c r="A17" i="1"/>
  <c r="B17"/>
  <c r="P21" i="6" s="1"/>
  <c r="B7" i="1"/>
  <c r="P11" i="6" s="1"/>
  <c r="A7" i="1"/>
  <c r="D4" i="2"/>
  <c r="D3"/>
  <c r="D2"/>
  <c r="B23" i="1"/>
  <c r="D7" i="16" l="1"/>
  <c r="E6"/>
  <c r="J7"/>
  <c r="K6"/>
  <c r="S7"/>
  <c r="T6"/>
  <c r="Y7"/>
  <c r="Z6"/>
  <c r="U8"/>
  <c r="V7"/>
  <c r="C6"/>
  <c r="B7"/>
  <c r="I6"/>
  <c r="H7"/>
  <c r="O6"/>
  <c r="N7"/>
  <c r="X6"/>
  <c r="W7"/>
  <c r="L8"/>
  <c r="M7"/>
  <c r="F8"/>
  <c r="G7"/>
  <c r="L4" i="6"/>
  <c r="I11" i="2"/>
  <c r="I7"/>
  <c r="I3"/>
  <c r="I12"/>
  <c r="I8"/>
  <c r="I4"/>
  <c r="I13"/>
  <c r="I9"/>
  <c r="L5"/>
  <c r="F9" i="1"/>
  <c r="C7"/>
  <c r="D11"/>
  <c r="H11" s="1"/>
  <c r="E4" i="10"/>
  <c r="D6" i="8" s="1"/>
  <c r="D30" s="1"/>
  <c r="H4" i="6"/>
  <c r="D4" i="10"/>
  <c r="D3" s="1"/>
  <c r="D38" i="8"/>
  <c r="D70"/>
  <c r="D49"/>
  <c r="D65"/>
  <c r="D81"/>
  <c r="D46"/>
  <c r="D62"/>
  <c r="D78"/>
  <c r="D14"/>
  <c r="D41"/>
  <c r="D57"/>
  <c r="D17" i="1"/>
  <c r="H17" s="1"/>
  <c r="B21" i="8"/>
  <c r="B13"/>
  <c r="B38"/>
  <c r="B54"/>
  <c r="B70"/>
  <c r="B86"/>
  <c r="B102"/>
  <c r="B12"/>
  <c r="B37"/>
  <c r="B53"/>
  <c r="B69"/>
  <c r="B85"/>
  <c r="B101"/>
  <c r="B9"/>
  <c r="B29"/>
  <c r="B46"/>
  <c r="B62"/>
  <c r="B78"/>
  <c r="B94"/>
  <c r="B25"/>
  <c r="B45"/>
  <c r="B61"/>
  <c r="B77"/>
  <c r="B93"/>
  <c r="P4" i="6"/>
  <c r="C51" i="8"/>
  <c r="I4" i="6"/>
  <c r="D17" i="8"/>
  <c r="D12"/>
  <c r="D105"/>
  <c r="D74"/>
  <c r="D66"/>
  <c r="D58"/>
  <c r="D26"/>
  <c r="D18"/>
  <c r="D106"/>
  <c r="D77"/>
  <c r="D69"/>
  <c r="D61"/>
  <c r="D29"/>
  <c r="D21"/>
  <c r="D107"/>
  <c r="D87"/>
  <c r="D83"/>
  <c r="D79"/>
  <c r="D63"/>
  <c r="D59"/>
  <c r="D55"/>
  <c r="D39"/>
  <c r="D35"/>
  <c r="D31"/>
  <c r="D15"/>
  <c r="D11"/>
  <c r="D108"/>
  <c r="D92"/>
  <c r="D88"/>
  <c r="D84"/>
  <c r="D68"/>
  <c r="D64"/>
  <c r="D60"/>
  <c r="D44"/>
  <c r="D40"/>
  <c r="D36"/>
  <c r="D20"/>
  <c r="D16"/>
  <c r="B105"/>
  <c r="B97"/>
  <c r="B89"/>
  <c r="B81"/>
  <c r="B73"/>
  <c r="B65"/>
  <c r="B57"/>
  <c r="B49"/>
  <c r="B41"/>
  <c r="B33"/>
  <c r="B17"/>
  <c r="B106"/>
  <c r="B98"/>
  <c r="B90"/>
  <c r="B82"/>
  <c r="B74"/>
  <c r="B66"/>
  <c r="B58"/>
  <c r="B50"/>
  <c r="B42"/>
  <c r="B34"/>
  <c r="D16" i="1"/>
  <c r="H16" s="1"/>
  <c r="D14"/>
  <c r="H14" s="1"/>
  <c r="D12"/>
  <c r="H12" s="1"/>
  <c r="D10"/>
  <c r="H10" s="1"/>
  <c r="D8"/>
  <c r="C8"/>
  <c r="M8" s="1"/>
  <c r="P20" i="6"/>
  <c r="P16"/>
  <c r="O17" s="1"/>
  <c r="S17" s="1"/>
  <c r="P12"/>
  <c r="O13" s="1"/>
  <c r="S13" s="1"/>
  <c r="P10" i="10"/>
  <c r="P12"/>
  <c r="P14"/>
  <c r="P16"/>
  <c r="P18"/>
  <c r="P20"/>
  <c r="D7" i="1"/>
  <c r="P18" i="6"/>
  <c r="P14"/>
  <c r="S14" s="1"/>
  <c r="O18" i="10"/>
  <c r="O13"/>
  <c r="O14"/>
  <c r="O12"/>
  <c r="O16"/>
  <c r="O20"/>
  <c r="O12" i="6"/>
  <c r="O18"/>
  <c r="O14"/>
  <c r="S11"/>
  <c r="O19"/>
  <c r="S19" s="1"/>
  <c r="O15"/>
  <c r="S20"/>
  <c r="S16"/>
  <c r="B30" i="8"/>
  <c r="B26"/>
  <c r="B22"/>
  <c r="B18"/>
  <c r="B14"/>
  <c r="B108"/>
  <c r="B107"/>
  <c r="B103"/>
  <c r="B99"/>
  <c r="B95"/>
  <c r="B91"/>
  <c r="B87"/>
  <c r="B83"/>
  <c r="B79"/>
  <c r="B75"/>
  <c r="B71"/>
  <c r="B67"/>
  <c r="B63"/>
  <c r="B59"/>
  <c r="B55"/>
  <c r="B51"/>
  <c r="B47"/>
  <c r="B43"/>
  <c r="B39"/>
  <c r="B35"/>
  <c r="B31"/>
  <c r="B27"/>
  <c r="B23"/>
  <c r="B19"/>
  <c r="B15"/>
  <c r="B11"/>
  <c r="B10"/>
  <c r="B104"/>
  <c r="B100"/>
  <c r="B96"/>
  <c r="B92"/>
  <c r="B88"/>
  <c r="B84"/>
  <c r="B80"/>
  <c r="B76"/>
  <c r="B72"/>
  <c r="B68"/>
  <c r="B64"/>
  <c r="B60"/>
  <c r="B56"/>
  <c r="B52"/>
  <c r="B48"/>
  <c r="B44"/>
  <c r="B40"/>
  <c r="B36"/>
  <c r="B32"/>
  <c r="B28"/>
  <c r="B24"/>
  <c r="B20"/>
  <c r="B16"/>
  <c r="C13" i="1"/>
  <c r="M13" s="1"/>
  <c r="H8"/>
  <c r="C15"/>
  <c r="M15" s="1"/>
  <c r="D13"/>
  <c r="H13" s="1"/>
  <c r="C11"/>
  <c r="M11" s="1"/>
  <c r="C9"/>
  <c r="M9" s="1"/>
  <c r="N9" s="1"/>
  <c r="O9" s="1"/>
  <c r="P9" s="1"/>
  <c r="D15"/>
  <c r="H15" s="1"/>
  <c r="D26"/>
  <c r="D33"/>
  <c r="D28"/>
  <c r="C17"/>
  <c r="M17" s="1"/>
  <c r="D34"/>
  <c r="D29"/>
  <c r="C12"/>
  <c r="M12" s="1"/>
  <c r="D9"/>
  <c r="H9" s="1"/>
  <c r="I9" s="1"/>
  <c r="J9" s="1"/>
  <c r="K9" s="1"/>
  <c r="D36"/>
  <c r="D30"/>
  <c r="C16"/>
  <c r="M16" s="1"/>
  <c r="D35"/>
  <c r="D31"/>
  <c r="D27"/>
  <c r="C14"/>
  <c r="M14" s="1"/>
  <c r="C10"/>
  <c r="M10" s="1"/>
  <c r="M7"/>
  <c r="M8" i="16" l="1"/>
  <c r="L9"/>
  <c r="Z7"/>
  <c r="Y8"/>
  <c r="E7"/>
  <c r="D8"/>
  <c r="H8"/>
  <c r="I7"/>
  <c r="G8"/>
  <c r="F9"/>
  <c r="V8"/>
  <c r="U9"/>
  <c r="K7"/>
  <c r="J8"/>
  <c r="N8"/>
  <c r="O7"/>
  <c r="T7"/>
  <c r="S8"/>
  <c r="W8"/>
  <c r="X7"/>
  <c r="B8"/>
  <c r="C7"/>
  <c r="D54" i="8"/>
  <c r="B30" i="10"/>
  <c r="K30" s="1"/>
  <c r="D32" i="8"/>
  <c r="D56"/>
  <c r="D80"/>
  <c r="D104"/>
  <c r="D27"/>
  <c r="D51"/>
  <c r="D75"/>
  <c r="D103"/>
  <c r="D53"/>
  <c r="D98"/>
  <c r="D50"/>
  <c r="D97"/>
  <c r="D73"/>
  <c r="D93"/>
  <c r="D94"/>
  <c r="D86"/>
  <c r="D28"/>
  <c r="D52"/>
  <c r="D76"/>
  <c r="D100"/>
  <c r="D23"/>
  <c r="D47"/>
  <c r="D71"/>
  <c r="D99"/>
  <c r="D45"/>
  <c r="D91"/>
  <c r="D42"/>
  <c r="D90"/>
  <c r="D33"/>
  <c r="D89"/>
  <c r="D10"/>
  <c r="D9"/>
  <c r="D101"/>
  <c r="D24"/>
  <c r="D48"/>
  <c r="D72"/>
  <c r="D96"/>
  <c r="D19"/>
  <c r="D43"/>
  <c r="D67"/>
  <c r="D95"/>
  <c r="D37"/>
  <c r="D85"/>
  <c r="D34"/>
  <c r="D82"/>
  <c r="D25"/>
  <c r="D13"/>
  <c r="D102"/>
  <c r="D22"/>
  <c r="F12" i="1"/>
  <c r="I12" s="1"/>
  <c r="J12" s="1"/>
  <c r="K12" s="1"/>
  <c r="L8" i="2"/>
  <c r="L3"/>
  <c r="F7" i="1"/>
  <c r="N10"/>
  <c r="O10" s="1"/>
  <c r="P10" s="1"/>
  <c r="F8"/>
  <c r="L4" i="2"/>
  <c r="L6"/>
  <c r="F10" i="1"/>
  <c r="I10" s="1"/>
  <c r="J10" s="1"/>
  <c r="K10" s="1"/>
  <c r="I8"/>
  <c r="J8" s="1"/>
  <c r="K8" s="1"/>
  <c r="F17"/>
  <c r="N17" s="1"/>
  <c r="O17" s="1"/>
  <c r="P17" s="1"/>
  <c r="L13" i="2"/>
  <c r="F11" i="1"/>
  <c r="I11" s="1"/>
  <c r="J11" s="1"/>
  <c r="K11" s="1"/>
  <c r="L7" i="2"/>
  <c r="L10"/>
  <c r="F14" i="1"/>
  <c r="N14" s="1"/>
  <c r="O14" s="1"/>
  <c r="P14" s="1"/>
  <c r="N7"/>
  <c r="O7" s="1"/>
  <c r="P7" s="1"/>
  <c r="N8"/>
  <c r="O8" s="1"/>
  <c r="P8" s="1"/>
  <c r="L9" i="2"/>
  <c r="F13" i="1"/>
  <c r="N13" s="1"/>
  <c r="O13" s="1"/>
  <c r="P13" s="1"/>
  <c r="F16"/>
  <c r="N16" s="1"/>
  <c r="O16" s="1"/>
  <c r="P16" s="1"/>
  <c r="L12" i="2"/>
  <c r="F15" i="1"/>
  <c r="N15" s="1"/>
  <c r="O15" s="1"/>
  <c r="P15" s="1"/>
  <c r="L11" i="2"/>
  <c r="E30" i="10"/>
  <c r="T13"/>
  <c r="R13"/>
  <c r="O15"/>
  <c r="T14"/>
  <c r="R14"/>
  <c r="R20"/>
  <c r="T20"/>
  <c r="R16"/>
  <c r="T16"/>
  <c r="O11"/>
  <c r="T10"/>
  <c r="R10"/>
  <c r="O17"/>
  <c r="O19"/>
  <c r="T18"/>
  <c r="R18"/>
  <c r="R12"/>
  <c r="T12"/>
  <c r="C11" i="8"/>
  <c r="C15"/>
  <c r="C10"/>
  <c r="C108"/>
  <c r="C92"/>
  <c r="C25"/>
  <c r="C29"/>
  <c r="C23"/>
  <c r="T13" i="6"/>
  <c r="C62" i="8"/>
  <c r="C93"/>
  <c r="C75"/>
  <c r="C58"/>
  <c r="C89"/>
  <c r="C59"/>
  <c r="C30"/>
  <c r="C94"/>
  <c r="C61"/>
  <c r="C56"/>
  <c r="C87"/>
  <c r="C35"/>
  <c r="C26"/>
  <c r="C90"/>
  <c r="C57"/>
  <c r="C48"/>
  <c r="C79"/>
  <c r="C84"/>
  <c r="T20" i="6"/>
  <c r="C14" i="8"/>
  <c r="C46"/>
  <c r="C78"/>
  <c r="C13"/>
  <c r="C45"/>
  <c r="C77"/>
  <c r="C24"/>
  <c r="C88"/>
  <c r="C55"/>
  <c r="C16"/>
  <c r="C68"/>
  <c r="C99"/>
  <c r="T18" i="6"/>
  <c r="C42" i="8"/>
  <c r="C74"/>
  <c r="C106"/>
  <c r="C41"/>
  <c r="C73"/>
  <c r="C105"/>
  <c r="C80"/>
  <c r="C47"/>
  <c r="C12"/>
  <c r="C20"/>
  <c r="B31" i="6"/>
  <c r="E31" s="1"/>
  <c r="C60" i="8"/>
  <c r="C44"/>
  <c r="T14" i="6"/>
  <c r="T17"/>
  <c r="T11"/>
  <c r="C22" i="8"/>
  <c r="C38"/>
  <c r="C54"/>
  <c r="C70"/>
  <c r="C86"/>
  <c r="C102"/>
  <c r="C21"/>
  <c r="C37"/>
  <c r="C53"/>
  <c r="C69"/>
  <c r="C85"/>
  <c r="C101"/>
  <c r="C40"/>
  <c r="C72"/>
  <c r="C104"/>
  <c r="C39"/>
  <c r="C71"/>
  <c r="C103"/>
  <c r="C43"/>
  <c r="C107"/>
  <c r="C52"/>
  <c r="C19"/>
  <c r="C83"/>
  <c r="C9"/>
  <c r="C28"/>
  <c r="C18"/>
  <c r="C34"/>
  <c r="C50"/>
  <c r="C66"/>
  <c r="C82"/>
  <c r="C98"/>
  <c r="C17"/>
  <c r="C33"/>
  <c r="C49"/>
  <c r="C65"/>
  <c r="C81"/>
  <c r="C97"/>
  <c r="C32"/>
  <c r="C64"/>
  <c r="C96"/>
  <c r="C31"/>
  <c r="C63"/>
  <c r="C95"/>
  <c r="C27"/>
  <c r="C91"/>
  <c r="C36"/>
  <c r="C100"/>
  <c r="C67"/>
  <c r="C76"/>
  <c r="S18" i="10"/>
  <c r="S14"/>
  <c r="H30"/>
  <c r="S16"/>
  <c r="S15"/>
  <c r="S10"/>
  <c r="S13"/>
  <c r="S20"/>
  <c r="S12"/>
  <c r="S17"/>
  <c r="S18" i="6"/>
  <c r="R17"/>
  <c r="R14"/>
  <c r="R16"/>
  <c r="T16"/>
  <c r="R19"/>
  <c r="R15"/>
  <c r="R11"/>
  <c r="R13"/>
  <c r="R20"/>
  <c r="O21"/>
  <c r="A31" i="10"/>
  <c r="T12" i="6"/>
  <c r="S12"/>
  <c r="R12"/>
  <c r="R18"/>
  <c r="T15"/>
  <c r="S15"/>
  <c r="T19"/>
  <c r="C19" i="1"/>
  <c r="D19"/>
  <c r="H7"/>
  <c r="I7" s="1"/>
  <c r="J7" s="1"/>
  <c r="K7" s="1"/>
  <c r="W9" i="16" l="1"/>
  <c r="X8"/>
  <c r="H9"/>
  <c r="I8"/>
  <c r="J9"/>
  <c r="K8"/>
  <c r="L10"/>
  <c r="M9"/>
  <c r="B9"/>
  <c r="C8"/>
  <c r="N9"/>
  <c r="O8"/>
  <c r="F10"/>
  <c r="G9"/>
  <c r="Y9"/>
  <c r="Z8"/>
  <c r="S9"/>
  <c r="T8"/>
  <c r="U10"/>
  <c r="V9"/>
  <c r="D9"/>
  <c r="E8"/>
  <c r="B31" i="10"/>
  <c r="B32" s="1"/>
  <c r="B33" s="1"/>
  <c r="N11" i="1"/>
  <c r="O11" s="1"/>
  <c r="P11" s="1"/>
  <c r="P19" s="1"/>
  <c r="P21" s="1"/>
  <c r="I15"/>
  <c r="J15" s="1"/>
  <c r="K15" s="1"/>
  <c r="I13"/>
  <c r="J13" s="1"/>
  <c r="K13" s="1"/>
  <c r="I14"/>
  <c r="J14" s="1"/>
  <c r="K14" s="1"/>
  <c r="I17"/>
  <c r="J17" s="1"/>
  <c r="K17" s="1"/>
  <c r="N12"/>
  <c r="O12" s="1"/>
  <c r="P12" s="1"/>
  <c r="I16"/>
  <c r="J16" s="1"/>
  <c r="K16" s="1"/>
  <c r="F19"/>
  <c r="N26" s="1"/>
  <c r="R19" i="10"/>
  <c r="T19"/>
  <c r="T11"/>
  <c r="R11"/>
  <c r="T17"/>
  <c r="R17"/>
  <c r="S11"/>
  <c r="R15"/>
  <c r="T15"/>
  <c r="S19"/>
  <c r="H31" i="6"/>
  <c r="A32"/>
  <c r="K31"/>
  <c r="B32"/>
  <c r="A33" s="1"/>
  <c r="T21"/>
  <c r="T24" s="1"/>
  <c r="R21"/>
  <c r="R24" s="1"/>
  <c r="S21"/>
  <c r="S24" s="1"/>
  <c r="U11" i="16" l="1"/>
  <c r="V10"/>
  <c r="F11"/>
  <c r="G10"/>
  <c r="L11"/>
  <c r="M10"/>
  <c r="X9"/>
  <c r="W10"/>
  <c r="D10"/>
  <c r="E9"/>
  <c r="Y10"/>
  <c r="Z9"/>
  <c r="C9"/>
  <c r="B10"/>
  <c r="I9"/>
  <c r="H10"/>
  <c r="S10"/>
  <c r="T9"/>
  <c r="O9"/>
  <c r="N10"/>
  <c r="J10"/>
  <c r="K9"/>
  <c r="H31" i="10"/>
  <c r="E31"/>
  <c r="K31"/>
  <c r="T26" i="1"/>
  <c r="V26" s="1"/>
  <c r="N27"/>
  <c r="M27"/>
  <c r="S27" s="1"/>
  <c r="A32" i="10"/>
  <c r="E32" s="1"/>
  <c r="K19" i="1"/>
  <c r="K21" s="1"/>
  <c r="B26"/>
  <c r="H32" i="10"/>
  <c r="R23"/>
  <c r="S23"/>
  <c r="B34"/>
  <c r="T23"/>
  <c r="B33" i="6"/>
  <c r="K33" s="1"/>
  <c r="K32"/>
  <c r="E32"/>
  <c r="H32"/>
  <c r="A33" i="10"/>
  <c r="H33" s="1"/>
  <c r="V11" i="16" l="1"/>
  <c r="U12"/>
  <c r="N11"/>
  <c r="O10"/>
  <c r="W11"/>
  <c r="X10"/>
  <c r="E10"/>
  <c r="D11"/>
  <c r="G11"/>
  <c r="F12"/>
  <c r="H11"/>
  <c r="I10"/>
  <c r="T10"/>
  <c r="S11"/>
  <c r="Z10"/>
  <c r="Y11"/>
  <c r="M11"/>
  <c r="L12"/>
  <c r="B11"/>
  <c r="C10"/>
  <c r="K10"/>
  <c r="J11"/>
  <c r="K32" i="10"/>
  <c r="M28" i="1"/>
  <c r="S28" s="1"/>
  <c r="N28"/>
  <c r="T27"/>
  <c r="V27" s="1"/>
  <c r="B10" i="10"/>
  <c r="B11" i="6"/>
  <c r="A27" i="1"/>
  <c r="G27" s="1"/>
  <c r="H26"/>
  <c r="J26" s="1"/>
  <c r="B27"/>
  <c r="B35" i="10"/>
  <c r="K33"/>
  <c r="E33"/>
  <c r="B34" i="6"/>
  <c r="H34" s="1"/>
  <c r="H33"/>
  <c r="A34"/>
  <c r="E33"/>
  <c r="A34" i="10"/>
  <c r="H34" s="1"/>
  <c r="B12" i="16" l="1"/>
  <c r="C11"/>
  <c r="S12"/>
  <c r="T11"/>
  <c r="D12"/>
  <c r="E11"/>
  <c r="U13"/>
  <c r="V12"/>
  <c r="N12"/>
  <c r="O11"/>
  <c r="J12"/>
  <c r="K11"/>
  <c r="Y12"/>
  <c r="Z11"/>
  <c r="F13"/>
  <c r="G12"/>
  <c r="H12"/>
  <c r="I11"/>
  <c r="W12"/>
  <c r="X11"/>
  <c r="L13"/>
  <c r="M12"/>
  <c r="N29" i="1"/>
  <c r="T28"/>
  <c r="V28" s="1"/>
  <c r="M29"/>
  <c r="S29" s="1"/>
  <c r="H10" i="10"/>
  <c r="K10"/>
  <c r="E10"/>
  <c r="A11"/>
  <c r="B28" i="1"/>
  <c r="B12" i="6"/>
  <c r="A28" i="1"/>
  <c r="G28" s="1"/>
  <c r="B11" i="10"/>
  <c r="H27" i="1"/>
  <c r="J27" s="1"/>
  <c r="A12" i="6"/>
  <c r="E11"/>
  <c r="K11"/>
  <c r="H11"/>
  <c r="B36" i="10"/>
  <c r="K34"/>
  <c r="E34"/>
  <c r="A35" i="6"/>
  <c r="B35"/>
  <c r="K35" s="1"/>
  <c r="E34"/>
  <c r="K34"/>
  <c r="A35" i="10"/>
  <c r="H35" s="1"/>
  <c r="X12" i="16" l="1"/>
  <c r="W13"/>
  <c r="Y13"/>
  <c r="Z12"/>
  <c r="U14"/>
  <c r="V13"/>
  <c r="C12"/>
  <c r="B13"/>
  <c r="L14"/>
  <c r="M13"/>
  <c r="F14"/>
  <c r="G13"/>
  <c r="O12"/>
  <c r="N13"/>
  <c r="S13"/>
  <c r="T12"/>
  <c r="I12"/>
  <c r="H13"/>
  <c r="J13"/>
  <c r="K12"/>
  <c r="D13"/>
  <c r="E12"/>
  <c r="T29" i="1"/>
  <c r="V29" s="1"/>
  <c r="M30"/>
  <c r="S30" s="1"/>
  <c r="N30"/>
  <c r="H28"/>
  <c r="B13" i="6"/>
  <c r="B29" i="1"/>
  <c r="B12" i="10"/>
  <c r="A29" i="1"/>
  <c r="G29" s="1"/>
  <c r="K11" i="10"/>
  <c r="E11"/>
  <c r="A12"/>
  <c r="H11"/>
  <c r="A13" i="6"/>
  <c r="K12"/>
  <c r="H12"/>
  <c r="E12"/>
  <c r="J28" i="1"/>
  <c r="E35" i="10"/>
  <c r="B37"/>
  <c r="K35"/>
  <c r="H35" i="6"/>
  <c r="A36"/>
  <c r="B36"/>
  <c r="E35"/>
  <c r="A36" i="10"/>
  <c r="H36" s="1"/>
  <c r="K13" i="16" l="1"/>
  <c r="J14"/>
  <c r="N14"/>
  <c r="O13"/>
  <c r="B14"/>
  <c r="C13"/>
  <c r="W14"/>
  <c r="X13"/>
  <c r="E13"/>
  <c r="D14"/>
  <c r="T13"/>
  <c r="S14"/>
  <c r="M14"/>
  <c r="L15"/>
  <c r="Z13"/>
  <c r="Y14"/>
  <c r="G14"/>
  <c r="F15"/>
  <c r="V14"/>
  <c r="U15"/>
  <c r="H14"/>
  <c r="I13"/>
  <c r="N31" i="1"/>
  <c r="T30"/>
  <c r="V30" s="1"/>
  <c r="M31"/>
  <c r="S31" s="1"/>
  <c r="H29"/>
  <c r="J29" s="1"/>
  <c r="B14" i="6"/>
  <c r="B13" i="10"/>
  <c r="A30" i="1"/>
  <c r="G30" s="1"/>
  <c r="B30"/>
  <c r="K12" i="10"/>
  <c r="E12"/>
  <c r="H12"/>
  <c r="A13"/>
  <c r="K13" i="6"/>
  <c r="A14"/>
  <c r="E13"/>
  <c r="H13"/>
  <c r="B38" i="10"/>
  <c r="E36"/>
  <c r="K36"/>
  <c r="H36" i="6"/>
  <c r="E36"/>
  <c r="B37"/>
  <c r="A37"/>
  <c r="K36"/>
  <c r="A37" i="10"/>
  <c r="H37" s="1"/>
  <c r="U16" i="16" l="1"/>
  <c r="V15"/>
  <c r="W15"/>
  <c r="X14"/>
  <c r="J15"/>
  <c r="K14"/>
  <c r="H15"/>
  <c r="I14"/>
  <c r="N15"/>
  <c r="O14"/>
  <c r="L16"/>
  <c r="M15"/>
  <c r="B15"/>
  <c r="C14"/>
  <c r="Y15"/>
  <c r="Z14"/>
  <c r="D15"/>
  <c r="E14"/>
  <c r="F16"/>
  <c r="G15"/>
  <c r="S15"/>
  <c r="T14"/>
  <c r="N32" i="1"/>
  <c r="T31"/>
  <c r="V31" s="1"/>
  <c r="M32"/>
  <c r="S32" s="1"/>
  <c r="B14" i="10"/>
  <c r="A31" i="1"/>
  <c r="G31" s="1"/>
  <c r="B31"/>
  <c r="H30"/>
  <c r="J30" s="1"/>
  <c r="B15" i="6"/>
  <c r="A15"/>
  <c r="K14"/>
  <c r="H14"/>
  <c r="E14"/>
  <c r="H13" i="10"/>
  <c r="A14"/>
  <c r="K13"/>
  <c r="E13"/>
  <c r="B39"/>
  <c r="K37"/>
  <c r="E37"/>
  <c r="E37" i="6"/>
  <c r="B38"/>
  <c r="H38" s="1"/>
  <c r="A38"/>
  <c r="H37"/>
  <c r="K37"/>
  <c r="A38" i="10"/>
  <c r="H38" s="1"/>
  <c r="F17" i="16" l="1"/>
  <c r="G16"/>
  <c r="C15"/>
  <c r="B16"/>
  <c r="I15"/>
  <c r="H16"/>
  <c r="U17"/>
  <c r="V16"/>
  <c r="S16"/>
  <c r="T15"/>
  <c r="Y16"/>
  <c r="Z15"/>
  <c r="O15"/>
  <c r="N16"/>
  <c r="X15"/>
  <c r="W16"/>
  <c r="D16"/>
  <c r="E15"/>
  <c r="L17"/>
  <c r="M16"/>
  <c r="J16"/>
  <c r="K15"/>
  <c r="M33" i="1"/>
  <c r="S33" s="1"/>
  <c r="N33"/>
  <c r="T32"/>
  <c r="V32" s="1"/>
  <c r="K15" i="6"/>
  <c r="H15"/>
  <c r="E15"/>
  <c r="A16"/>
  <c r="H14" i="10"/>
  <c r="E14"/>
  <c r="K14"/>
  <c r="A15"/>
  <c r="B16" i="6"/>
  <c r="A32" i="1"/>
  <c r="G32" s="1"/>
  <c r="B15" i="10"/>
  <c r="H31" i="1"/>
  <c r="J31" s="1"/>
  <c r="B32"/>
  <c r="B40" i="10"/>
  <c r="K38"/>
  <c r="E38"/>
  <c r="K38" i="6"/>
  <c r="B39"/>
  <c r="A40" s="1"/>
  <c r="A39"/>
  <c r="E38"/>
  <c r="A39" i="10"/>
  <c r="H39" s="1"/>
  <c r="M17" i="16" l="1"/>
  <c r="L18"/>
  <c r="V17"/>
  <c r="U18"/>
  <c r="G17"/>
  <c r="F18"/>
  <c r="K16"/>
  <c r="J17"/>
  <c r="T16"/>
  <c r="S17"/>
  <c r="N17"/>
  <c r="O16"/>
  <c r="B17"/>
  <c r="C16"/>
  <c r="E16"/>
  <c r="D17"/>
  <c r="Z16"/>
  <c r="Y17"/>
  <c r="W17"/>
  <c r="X16"/>
  <c r="H17"/>
  <c r="I16"/>
  <c r="M34" i="1"/>
  <c r="S34" s="1"/>
  <c r="N34"/>
  <c r="T33"/>
  <c r="V33" s="1"/>
  <c r="E16" i="6"/>
  <c r="K16"/>
  <c r="H16"/>
  <c r="A17"/>
  <c r="B17"/>
  <c r="B16" i="10"/>
  <c r="B33" i="1"/>
  <c r="H32"/>
  <c r="J32" s="1"/>
  <c r="A33"/>
  <c r="G33" s="1"/>
  <c r="E15" i="10"/>
  <c r="H15"/>
  <c r="A16"/>
  <c r="K15"/>
  <c r="E39"/>
  <c r="K39"/>
  <c r="B40" i="6"/>
  <c r="E40" s="1"/>
  <c r="E39"/>
  <c r="K39"/>
  <c r="H39"/>
  <c r="A40" i="10"/>
  <c r="H40" s="1"/>
  <c r="W18" i="16" l="1"/>
  <c r="X17"/>
  <c r="B18"/>
  <c r="C17"/>
  <c r="J18"/>
  <c r="K17"/>
  <c r="L19"/>
  <c r="M18"/>
  <c r="H18"/>
  <c r="I17"/>
  <c r="D18"/>
  <c r="E17"/>
  <c r="S18"/>
  <c r="T17"/>
  <c r="U19"/>
  <c r="V18"/>
  <c r="N18"/>
  <c r="O17"/>
  <c r="Y18"/>
  <c r="Z17"/>
  <c r="F19"/>
  <c r="G18"/>
  <c r="N35" i="1"/>
  <c r="T34"/>
  <c r="V34" s="1"/>
  <c r="M35"/>
  <c r="S35" s="1"/>
  <c r="B17" i="10"/>
  <c r="H33" i="1"/>
  <c r="B34"/>
  <c r="A34"/>
  <c r="G34" s="1"/>
  <c r="B18" i="6"/>
  <c r="A18"/>
  <c r="H17"/>
  <c r="K17"/>
  <c r="E17"/>
  <c r="E16" i="10"/>
  <c r="H16"/>
  <c r="A17"/>
  <c r="K16"/>
  <c r="J33" i="1"/>
  <c r="K40" i="10"/>
  <c r="E40"/>
  <c r="B41" i="6"/>
  <c r="E41" s="1"/>
  <c r="K40"/>
  <c r="A41"/>
  <c r="H40"/>
  <c r="A41" i="10"/>
  <c r="C30" a="1"/>
  <c r="Y19" i="16" l="1"/>
  <c r="Z18"/>
  <c r="S19"/>
  <c r="T18"/>
  <c r="L20"/>
  <c r="M19"/>
  <c r="X18"/>
  <c r="W19"/>
  <c r="F20"/>
  <c r="G19"/>
  <c r="U20"/>
  <c r="V19"/>
  <c r="I18"/>
  <c r="H19"/>
  <c r="C18"/>
  <c r="B19"/>
  <c r="O18"/>
  <c r="N19"/>
  <c r="D19"/>
  <c r="E18"/>
  <c r="J19"/>
  <c r="K18"/>
  <c r="M36" i="1"/>
  <c r="S36" s="1"/>
  <c r="N36"/>
  <c r="T35"/>
  <c r="V35" s="1"/>
  <c r="H17" i="10"/>
  <c r="A18"/>
  <c r="K17"/>
  <c r="E17"/>
  <c r="H18" i="6"/>
  <c r="E18"/>
  <c r="K18"/>
  <c r="A19"/>
  <c r="B19"/>
  <c r="H34" i="1"/>
  <c r="J34" s="1"/>
  <c r="B35"/>
  <c r="B18" i="10"/>
  <c r="A35" i="1"/>
  <c r="G35" s="1"/>
  <c r="E41" i="10"/>
  <c r="E43" s="1"/>
  <c r="K41"/>
  <c r="K43" s="1"/>
  <c r="H41"/>
  <c r="K41" i="6"/>
  <c r="C31" a="1"/>
  <c r="A42"/>
  <c r="H41"/>
  <c r="C41" i="10"/>
  <c r="F41" s="1"/>
  <c r="C37"/>
  <c r="C33"/>
  <c r="C38"/>
  <c r="C34"/>
  <c r="L34" s="1"/>
  <c r="C30"/>
  <c r="C35"/>
  <c r="C31"/>
  <c r="C39"/>
  <c r="C40"/>
  <c r="C36"/>
  <c r="F36" s="1"/>
  <c r="C32"/>
  <c r="H43"/>
  <c r="E19" i="16" l="1"/>
  <c r="D20"/>
  <c r="Z19"/>
  <c r="Y20"/>
  <c r="H20"/>
  <c r="I19"/>
  <c r="W20"/>
  <c r="X19"/>
  <c r="K19"/>
  <c r="J20"/>
  <c r="G20"/>
  <c r="F21"/>
  <c r="T19"/>
  <c r="S20"/>
  <c r="B20"/>
  <c r="C19"/>
  <c r="V20"/>
  <c r="U21"/>
  <c r="M20"/>
  <c r="L21"/>
  <c r="N20"/>
  <c r="O19"/>
  <c r="M37" i="1"/>
  <c r="S37" s="1"/>
  <c r="V37" s="1"/>
  <c r="T36"/>
  <c r="V36" s="1"/>
  <c r="V39" s="1"/>
  <c r="O26" a="1"/>
  <c r="H18" i="10"/>
  <c r="A19"/>
  <c r="K18"/>
  <c r="E18"/>
  <c r="E19" i="6"/>
  <c r="H19"/>
  <c r="A20"/>
  <c r="K19"/>
  <c r="B36" i="1"/>
  <c r="H35"/>
  <c r="J35" s="1"/>
  <c r="B20" i="6"/>
  <c r="A36" i="1"/>
  <c r="G36" s="1"/>
  <c r="B19" i="10"/>
  <c r="F30"/>
  <c r="I30"/>
  <c r="C38" i="6"/>
  <c r="C41"/>
  <c r="C37"/>
  <c r="C35"/>
  <c r="K42"/>
  <c r="K44" s="1"/>
  <c r="H42"/>
  <c r="H44" s="1"/>
  <c r="E42"/>
  <c r="E44" s="1"/>
  <c r="C31"/>
  <c r="C32"/>
  <c r="C39"/>
  <c r="F39" s="1"/>
  <c r="C33"/>
  <c r="I33" s="1"/>
  <c r="C42"/>
  <c r="C34"/>
  <c r="C40"/>
  <c r="C36"/>
  <c r="I39" i="10"/>
  <c r="F39"/>
  <c r="L39"/>
  <c r="I34"/>
  <c r="F34"/>
  <c r="L41"/>
  <c r="I41"/>
  <c r="C43"/>
  <c r="L30"/>
  <c r="I36"/>
  <c r="L36"/>
  <c r="I35"/>
  <c r="L35"/>
  <c r="F35"/>
  <c r="I33"/>
  <c r="L33"/>
  <c r="F33"/>
  <c r="I40"/>
  <c r="L40"/>
  <c r="F40"/>
  <c r="I37"/>
  <c r="L37"/>
  <c r="F37"/>
  <c r="I32"/>
  <c r="L32"/>
  <c r="F32"/>
  <c r="I31"/>
  <c r="F31"/>
  <c r="L31"/>
  <c r="I38"/>
  <c r="L38"/>
  <c r="F38"/>
  <c r="W21" i="16" l="1"/>
  <c r="X20"/>
  <c r="L22"/>
  <c r="M21"/>
  <c r="S21"/>
  <c r="T20"/>
  <c r="D21"/>
  <c r="E20"/>
  <c r="N21"/>
  <c r="O20"/>
  <c r="B21"/>
  <c r="C20"/>
  <c r="J21"/>
  <c r="K20"/>
  <c r="Y21"/>
  <c r="Z20"/>
  <c r="H21"/>
  <c r="I20"/>
  <c r="U22"/>
  <c r="V21"/>
  <c r="F22"/>
  <c r="G21"/>
  <c r="O30" i="1"/>
  <c r="O37"/>
  <c r="O36"/>
  <c r="O29"/>
  <c r="O27"/>
  <c r="O34"/>
  <c r="O31"/>
  <c r="O32"/>
  <c r="O28"/>
  <c r="O26"/>
  <c r="O33"/>
  <c r="O35"/>
  <c r="K20" i="6"/>
  <c r="A21"/>
  <c r="E20"/>
  <c r="H20"/>
  <c r="H36" i="1"/>
  <c r="J36" s="1"/>
  <c r="A37"/>
  <c r="G37" s="1"/>
  <c r="J37" s="1"/>
  <c r="C26" a="1"/>
  <c r="B20" i="10"/>
  <c r="B21" i="6"/>
  <c r="H19" i="10"/>
  <c r="A20"/>
  <c r="K19"/>
  <c r="E19"/>
  <c r="F43"/>
  <c r="F45" s="1"/>
  <c r="I39" i="6"/>
  <c r="C44"/>
  <c r="F34"/>
  <c r="L34"/>
  <c r="I34"/>
  <c r="L38"/>
  <c r="I38"/>
  <c r="F38"/>
  <c r="I41"/>
  <c r="L41"/>
  <c r="F41"/>
  <c r="I32"/>
  <c r="L32"/>
  <c r="F32"/>
  <c r="I37"/>
  <c r="L37"/>
  <c r="F37"/>
  <c r="F40"/>
  <c r="I40"/>
  <c r="L40"/>
  <c r="L36"/>
  <c r="F36"/>
  <c r="I36"/>
  <c r="L33"/>
  <c r="F33"/>
  <c r="I42"/>
  <c r="F42"/>
  <c r="L42"/>
  <c r="F31"/>
  <c r="I31"/>
  <c r="L31"/>
  <c r="L35"/>
  <c r="F35"/>
  <c r="I35"/>
  <c r="L39"/>
  <c r="L43" i="10"/>
  <c r="L45" s="1"/>
  <c r="I43"/>
  <c r="I45" s="1"/>
  <c r="U23" i="16" l="1"/>
  <c r="V23" s="1"/>
  <c r="V22"/>
  <c r="J22"/>
  <c r="K21"/>
  <c r="D22"/>
  <c r="E21"/>
  <c r="X21"/>
  <c r="W22"/>
  <c r="F23"/>
  <c r="G23" s="1"/>
  <c r="G22"/>
  <c r="Y22"/>
  <c r="Z21"/>
  <c r="O21"/>
  <c r="N22"/>
  <c r="L23"/>
  <c r="M23" s="1"/>
  <c r="M22"/>
  <c r="I21"/>
  <c r="H22"/>
  <c r="C21"/>
  <c r="B22"/>
  <c r="S22"/>
  <c r="T21"/>
  <c r="Q31" i="1"/>
  <c r="U31"/>
  <c r="W31" s="1"/>
  <c r="Q30"/>
  <c r="U30"/>
  <c r="W30" s="1"/>
  <c r="Q28"/>
  <c r="U28"/>
  <c r="W28" s="1"/>
  <c r="Q36"/>
  <c r="U36"/>
  <c r="W36" s="1"/>
  <c r="Q26"/>
  <c r="U26"/>
  <c r="O39"/>
  <c r="U29"/>
  <c r="W29" s="1"/>
  <c r="Q29"/>
  <c r="Q32"/>
  <c r="U32"/>
  <c r="W32" s="1"/>
  <c r="Q33"/>
  <c r="U33"/>
  <c r="W33" s="1"/>
  <c r="Q27"/>
  <c r="U27"/>
  <c r="W27" s="1"/>
  <c r="U37"/>
  <c r="W37" s="1"/>
  <c r="Q37"/>
  <c r="U35"/>
  <c r="W35" s="1"/>
  <c r="Q35"/>
  <c r="U34"/>
  <c r="W34" s="1"/>
  <c r="Q34"/>
  <c r="J39"/>
  <c r="A21" i="10"/>
  <c r="K20"/>
  <c r="C10" a="1"/>
  <c r="H20"/>
  <c r="E20"/>
  <c r="E21" i="6"/>
  <c r="H21"/>
  <c r="K21"/>
  <c r="A22"/>
  <c r="C11" a="1"/>
  <c r="C29" i="1"/>
  <c r="C26"/>
  <c r="C28"/>
  <c r="C32"/>
  <c r="C36"/>
  <c r="C37"/>
  <c r="C33"/>
  <c r="C30"/>
  <c r="C31"/>
  <c r="C35"/>
  <c r="C27"/>
  <c r="C34"/>
  <c r="L44" i="6"/>
  <c r="L46" s="1"/>
  <c r="I44"/>
  <c r="I46" s="1"/>
  <c r="F44"/>
  <c r="F46" s="1"/>
  <c r="B23" i="16" l="1"/>
  <c r="C23" s="1"/>
  <c r="C22"/>
  <c r="N23"/>
  <c r="O23" s="1"/>
  <c r="O22"/>
  <c r="W23"/>
  <c r="X23" s="1"/>
  <c r="X22"/>
  <c r="T22"/>
  <c r="S23"/>
  <c r="T23" s="1"/>
  <c r="K22"/>
  <c r="J23"/>
  <c r="K23" s="1"/>
  <c r="Z22"/>
  <c r="Y23"/>
  <c r="Z23" s="1"/>
  <c r="E22"/>
  <c r="D23"/>
  <c r="E23" s="1"/>
  <c r="H23"/>
  <c r="I23" s="1"/>
  <c r="I22"/>
  <c r="Q39" i="1"/>
  <c r="Q41" s="1"/>
  <c r="U39"/>
  <c r="W26"/>
  <c r="W39" s="1"/>
  <c r="W41" s="1"/>
  <c r="I34"/>
  <c r="K34" s="1"/>
  <c r="E34"/>
  <c r="E30"/>
  <c r="I30"/>
  <c r="K30" s="1"/>
  <c r="I32"/>
  <c r="K32" s="1"/>
  <c r="E32"/>
  <c r="C20" i="6"/>
  <c r="C22"/>
  <c r="C15"/>
  <c r="C11"/>
  <c r="C16"/>
  <c r="C12"/>
  <c r="C19"/>
  <c r="C14"/>
  <c r="C21"/>
  <c r="C13"/>
  <c r="C17"/>
  <c r="C18"/>
  <c r="I31" i="1"/>
  <c r="K31" s="1"/>
  <c r="E31"/>
  <c r="E36"/>
  <c r="I36"/>
  <c r="K36" s="1"/>
  <c r="E29"/>
  <c r="I29"/>
  <c r="K29" s="1"/>
  <c r="C14" i="10"/>
  <c r="C16"/>
  <c r="C17"/>
  <c r="C21"/>
  <c r="C20"/>
  <c r="C13"/>
  <c r="C11"/>
  <c r="C19"/>
  <c r="C18"/>
  <c r="C12"/>
  <c r="C15"/>
  <c r="C10"/>
  <c r="I35" i="1"/>
  <c r="K35" s="1"/>
  <c r="E35"/>
  <c r="I37"/>
  <c r="K37" s="1"/>
  <c r="E37"/>
  <c r="I26"/>
  <c r="E26"/>
  <c r="C39"/>
  <c r="I27"/>
  <c r="K27" s="1"/>
  <c r="E27"/>
  <c r="E33"/>
  <c r="I33"/>
  <c r="K33" s="1"/>
  <c r="I28"/>
  <c r="K28" s="1"/>
  <c r="E28"/>
  <c r="K22" i="6"/>
  <c r="K24" s="1"/>
  <c r="E22"/>
  <c r="E24" s="1"/>
  <c r="H22"/>
  <c r="H24" s="1"/>
  <c r="H21" i="10"/>
  <c r="H23" s="1"/>
  <c r="E21"/>
  <c r="E23" s="1"/>
  <c r="K21"/>
  <c r="K23" s="1"/>
  <c r="L10" l="1"/>
  <c r="I10"/>
  <c r="C23"/>
  <c r="F10"/>
  <c r="F19"/>
  <c r="L19"/>
  <c r="I19"/>
  <c r="L21"/>
  <c r="F21"/>
  <c r="I21"/>
  <c r="I13" i="6"/>
  <c r="L13"/>
  <c r="F13"/>
  <c r="F12"/>
  <c r="I12"/>
  <c r="L12"/>
  <c r="L22"/>
  <c r="I22"/>
  <c r="F22"/>
  <c r="K26" i="1"/>
  <c r="K39" s="1"/>
  <c r="K41" s="1"/>
  <c r="I39"/>
  <c r="L18" i="10"/>
  <c r="I18"/>
  <c r="F18"/>
  <c r="F20"/>
  <c r="L20"/>
  <c r="I20"/>
  <c r="L14"/>
  <c r="F14"/>
  <c r="I14"/>
  <c r="F17" i="6"/>
  <c r="L17"/>
  <c r="I17"/>
  <c r="L19"/>
  <c r="F19"/>
  <c r="I19"/>
  <c r="L15"/>
  <c r="F15"/>
  <c r="I15"/>
  <c r="E39" i="1"/>
  <c r="E41" s="1"/>
  <c r="F12" i="10"/>
  <c r="L12"/>
  <c r="I12"/>
  <c r="L13"/>
  <c r="I13"/>
  <c r="F13"/>
  <c r="I16"/>
  <c r="L16"/>
  <c r="F16"/>
  <c r="L18" i="6"/>
  <c r="I18"/>
  <c r="F18"/>
  <c r="L14"/>
  <c r="F14"/>
  <c r="I14"/>
  <c r="I11"/>
  <c r="F11"/>
  <c r="L11"/>
  <c r="C24"/>
  <c r="L15" i="10"/>
  <c r="I15"/>
  <c r="F15"/>
  <c r="L11"/>
  <c r="I11"/>
  <c r="F11"/>
  <c r="F17"/>
  <c r="L17"/>
  <c r="I17"/>
  <c r="L21" i="6"/>
  <c r="I21"/>
  <c r="F21"/>
  <c r="I16"/>
  <c r="L16"/>
  <c r="F16"/>
  <c r="I20"/>
  <c r="F20"/>
  <c r="L20"/>
  <c r="F24" l="1"/>
  <c r="F26" s="1"/>
  <c r="L24"/>
  <c r="L26" s="1"/>
  <c r="F23" i="10"/>
  <c r="F25" s="1"/>
  <c r="L23"/>
  <c r="L25" s="1"/>
  <c r="I24" i="6"/>
  <c r="I26" s="1"/>
  <c r="I23" i="10"/>
  <c r="I25" s="1"/>
</calcChain>
</file>

<file path=xl/sharedStrings.xml><?xml version="1.0" encoding="utf-8"?>
<sst xmlns="http://schemas.openxmlformats.org/spreadsheetml/2006/main" count="182" uniqueCount="76">
  <si>
    <t>o-e</t>
  </si>
  <si>
    <t>(o-e)^2</t>
  </si>
  <si>
    <t>MLE</t>
  </si>
  <si>
    <t>MOP</t>
  </si>
  <si>
    <t>((o-e)^2)/e</t>
  </si>
  <si>
    <t>X</t>
  </si>
  <si>
    <t>Number of bins</t>
  </si>
  <si>
    <t>E per bin</t>
  </si>
  <si>
    <t>prob</t>
  </si>
  <si>
    <t>observed (o)</t>
  </si>
  <si>
    <t>expected (e)</t>
  </si>
  <si>
    <t>mean</t>
  </si>
  <si>
    <t>standard deviation</t>
  </si>
  <si>
    <t>median</t>
  </si>
  <si>
    <t>data</t>
  </si>
  <si>
    <t>Bins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</si>
  <si>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</si>
  <si>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</si>
  <si>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</si>
  <si>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</si>
  <si>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</si>
  <si>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</si>
  <si>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</si>
  <si>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</si>
  <si>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</si>
  <si>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</si>
  <si>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10+</t>
  </si>
  <si>
    <t>E</t>
  </si>
  <si>
    <t>O</t>
  </si>
  <si>
    <t>alpha</t>
  </si>
  <si>
    <t>theta</t>
  </si>
  <si>
    <t>percentile</t>
  </si>
  <si>
    <t>mean(x^2)</t>
  </si>
  <si>
    <t>xp (data)</t>
  </si>
  <si>
    <t>xp (theory)</t>
  </si>
  <si>
    <t>MOM</t>
  </si>
  <si>
    <t>mu</t>
  </si>
  <si>
    <t>sum(ln(x))</t>
  </si>
  <si>
    <t>ln(x)</t>
  </si>
  <si>
    <t>sum(x)</t>
  </si>
  <si>
    <t>delta alpha</t>
  </si>
  <si>
    <t>score eqn</t>
  </si>
  <si>
    <t>trigamma</t>
  </si>
  <si>
    <t>digamma(alpha + da)</t>
  </si>
  <si>
    <t>digamma(alpha - da)</t>
  </si>
  <si>
    <t>digamma(alpha)</t>
  </si>
  <si>
    <t>... used in CI calcs</t>
  </si>
  <si>
    <t>Exponential bins (based on MLE)</t>
  </si>
  <si>
    <t>Histogram bins</t>
  </si>
  <si>
    <t>testing gamma MLE</t>
  </si>
  <si>
    <t>testing gamma MOP</t>
  </si>
  <si>
    <t>Exponential bins (based on MOP)</t>
  </si>
  <si>
    <t>testing exponential MLE</t>
  </si>
  <si>
    <t>testing exponential MOP</t>
  </si>
  <si>
    <t>Gamma bins (based on MLE)</t>
  </si>
  <si>
    <t>testing gamma MOM</t>
  </si>
  <si>
    <t>sigma squared</t>
  </si>
  <si>
    <t>EXPONENTIAL</t>
  </si>
  <si>
    <t>GAMMA</t>
  </si>
  <si>
    <t>LOG-NORMAL</t>
  </si>
  <si>
    <t>testing lognormal MLE</t>
  </si>
  <si>
    <t>testing lognormal MOP</t>
  </si>
  <si>
    <t>testing lognormal MOM</t>
  </si>
  <si>
    <t>ln(x)^2</t>
  </si>
  <si>
    <t>sum(ln(x)^2)</t>
  </si>
  <si>
    <t>Lognormal bins (based on MLE)</t>
  </si>
  <si>
    <t>difference</t>
  </si>
  <si>
    <t>Calculating MOP estimates</t>
  </si>
  <si>
    <t>xp</t>
  </si>
  <si>
    <t>Calculating MLE estimates</t>
  </si>
  <si>
    <t>Use solver - set H4=0, by changing D3:D4,</t>
  </si>
  <si>
    <t>subject to constraint: I4=0</t>
  </si>
  <si>
    <t>Use solver - set L4=0, by changing E3</t>
  </si>
  <si>
    <t>LOGNORMAL</t>
  </si>
  <si>
    <t>(highlight entries I3 to I13 and click: ctrl-shift-enter to read in as array)</t>
  </si>
  <si>
    <t>l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</si>
</sst>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0.0000"/>
    <numFmt numFmtId="165" formatCode="0.000"/>
    <numFmt numFmtId="167" formatCode="_-* #,##0.000_-;\-* #,##0.000_-;_-* &quot;-&quot;??_-;_-@_-"/>
    <numFmt numFmtId="168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0" xfId="0" quotePrefix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7" fontId="0" fillId="0" borderId="0" xfId="1" applyNumberFormat="1" applyFont="1"/>
    <xf numFmtId="2" fontId="2" fillId="0" borderId="0" xfId="0" applyNumberFormat="1" applyFont="1"/>
    <xf numFmtId="9" fontId="0" fillId="0" borderId="0" xfId="0" applyNumberFormat="1"/>
    <xf numFmtId="168" fontId="0" fillId="0" borderId="0" xfId="1" applyNumberFormat="1" applyFont="1"/>
    <xf numFmtId="2" fontId="0" fillId="0" borderId="0" xfId="0" applyNumberFormat="1" applyFill="1"/>
    <xf numFmtId="43" fontId="0" fillId="0" borderId="0" xfId="0" applyNumberFormat="1"/>
    <xf numFmtId="0" fontId="3" fillId="0" borderId="0" xfId="0" applyFont="1" applyFill="1"/>
    <xf numFmtId="0" fontId="0" fillId="0" borderId="0" xfId="0" applyFill="1"/>
    <xf numFmtId="43" fontId="0" fillId="0" borderId="0" xfId="1" applyNumberFormat="1" applyFont="1"/>
    <xf numFmtId="0" fontId="0" fillId="6" borderId="0" xfId="0" applyFill="1"/>
    <xf numFmtId="0" fontId="0" fillId="2" borderId="1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0" borderId="3" xfId="0" applyFill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5" xfId="0" applyNumberFormat="1" applyFill="1" applyBorder="1"/>
    <xf numFmtId="0" fontId="0" fillId="0" borderId="7" xfId="0" applyBorder="1"/>
    <xf numFmtId="165" fontId="0" fillId="0" borderId="5" xfId="0" applyNumberFormat="1" applyBorder="1"/>
    <xf numFmtId="43" fontId="0" fillId="0" borderId="8" xfId="1" applyNumberFormat="1" applyFont="1" applyBorder="1"/>
    <xf numFmtId="0" fontId="0" fillId="0" borderId="0" xfId="0" applyBorder="1"/>
    <xf numFmtId="2" fontId="0" fillId="0" borderId="8" xfId="0" applyNumberFormat="1" applyBorder="1"/>
    <xf numFmtId="0" fontId="3" fillId="4" borderId="1" xfId="0" applyFont="1" applyFill="1" applyBorder="1"/>
    <xf numFmtId="0" fontId="3" fillId="3" borderId="3" xfId="0" applyFont="1" applyFill="1" applyBorder="1"/>
    <xf numFmtId="0" fontId="0" fillId="0" borderId="1" xfId="0" applyBorder="1"/>
    <xf numFmtId="0" fontId="3" fillId="3" borderId="2" xfId="0" applyFont="1" applyFill="1" applyBorder="1"/>
    <xf numFmtId="0" fontId="3" fillId="5" borderId="3" xfId="0" applyFont="1" applyFill="1" applyBorder="1"/>
    <xf numFmtId="164" fontId="0" fillId="0" borderId="5" xfId="0" applyNumberFormat="1" applyBorder="1"/>
    <xf numFmtId="0" fontId="0" fillId="0" borderId="0" xfId="0" applyFill="1" applyBorder="1"/>
    <xf numFmtId="2" fontId="0" fillId="0" borderId="7" xfId="0" applyNumberFormat="1" applyBorder="1"/>
    <xf numFmtId="0" fontId="4" fillId="0" borderId="0" xfId="0" applyFont="1" applyBorder="1"/>
    <xf numFmtId="0" fontId="4" fillId="0" borderId="0" xfId="0" applyFont="1" applyFill="1" applyBorder="1"/>
    <xf numFmtId="165" fontId="0" fillId="0" borderId="0" xfId="0" applyNumberFormat="1" applyBorder="1"/>
    <xf numFmtId="165" fontId="0" fillId="0" borderId="7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2" fontId="0" fillId="0" borderId="6" xfId="0" applyNumberFormat="1" applyBorder="1"/>
    <xf numFmtId="0" fontId="0" fillId="0" borderId="0" xfId="0" applyAlignment="1">
      <alignment horizontal="center"/>
    </xf>
    <xf numFmtId="165" fontId="0" fillId="6" borderId="0" xfId="0" applyNumberFormat="1" applyFill="1"/>
    <xf numFmtId="165" fontId="0" fillId="7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67966976"/>
        <c:axId val="168042496"/>
      </c:barChart>
      <c:catAx>
        <c:axId val="167966976"/>
        <c:scaling>
          <c:orientation val="minMax"/>
        </c:scaling>
        <c:axPos val="b"/>
        <c:numFmt formatCode="General" sourceLinked="1"/>
        <c:majorTickMark val="none"/>
        <c:tickLblPos val="nextTo"/>
        <c:crossAx val="168042496"/>
        <c:crosses val="autoZero"/>
        <c:auto val="1"/>
        <c:lblAlgn val="ctr"/>
        <c:lblOffset val="100"/>
      </c:catAx>
      <c:valAx>
        <c:axId val="168042496"/>
        <c:scaling>
          <c:orientation val="minMax"/>
        </c:scaling>
        <c:axPos val="l"/>
        <c:majorGridlines/>
        <c:numFmt formatCode="0.000" sourceLinked="1"/>
        <c:majorTickMark val="none"/>
        <c:tickLblPos val="nextTo"/>
        <c:crossAx val="167966976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lineChart>
        <c:grouping val="standard"/>
        <c:ser>
          <c:idx val="0"/>
          <c:order val="0"/>
          <c:tx>
            <c:v>Exponential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Distributions!$B$9:$B$108</c:f>
              <c:numCache>
                <c:formatCode>0.0000</c:formatCode>
                <c:ptCount val="100"/>
                <c:pt idx="0">
                  <c:v>3.2893524429279508E-2</c:v>
                </c:pt>
                <c:pt idx="1">
                  <c:v>3.1811540479899758E-2</c:v>
                </c:pt>
                <c:pt idx="2">
                  <c:v>3.0765146795991294E-2</c:v>
                </c:pt>
                <c:pt idx="3">
                  <c:v>2.9753172688286922E-2</c:v>
                </c:pt>
                <c:pt idx="4">
                  <c:v>2.8774485975616271E-2</c:v>
                </c:pt>
                <c:pt idx="5">
                  <c:v>2.7827991718237355E-2</c:v>
                </c:pt>
                <c:pt idx="6">
                  <c:v>2.6912630992835584E-2</c:v>
                </c:pt>
                <c:pt idx="7">
                  <c:v>2.6027379707816767E-2</c:v>
                </c:pt>
                <c:pt idx="8">
                  <c:v>2.5171247457567492E-2</c:v>
                </c:pt>
                <c:pt idx="9">
                  <c:v>2.4343276414406478E-2</c:v>
                </c:pt>
                <c:pt idx="10">
                  <c:v>2.3542540256980549E-2</c:v>
                </c:pt>
                <c:pt idx="11">
                  <c:v>2.276814313391029E-2</c:v>
                </c:pt>
                <c:pt idx="12">
                  <c:v>2.2019218661525675E-2</c:v>
                </c:pt>
                <c:pt idx="13">
                  <c:v>2.1294928954569081E-2</c:v>
                </c:pt>
                <c:pt idx="14">
                  <c:v>2.0594463688782261E-2</c:v>
                </c:pt>
                <c:pt idx="15">
                  <c:v>1.9917039194327302E-2</c:v>
                </c:pt>
                <c:pt idx="16">
                  <c:v>1.9261897579029852E-2</c:v>
                </c:pt>
                <c:pt idx="17">
                  <c:v>1.8628305880459717E-2</c:v>
                </c:pt>
                <c:pt idx="18">
                  <c:v>1.8015555245904813E-2</c:v>
                </c:pt>
                <c:pt idx="19">
                  <c:v>1.7422960139316546E-2</c:v>
                </c:pt>
                <c:pt idx="20">
                  <c:v>1.6849857574343652E-2</c:v>
                </c:pt>
                <c:pt idx="21">
                  <c:v>1.6295606372591864E-2</c:v>
                </c:pt>
                <c:pt idx="22">
                  <c:v>1.575958644628539E-2</c:v>
                </c:pt>
                <c:pt idx="23">
                  <c:v>1.524119810451896E-2</c:v>
                </c:pt>
                <c:pt idx="24">
                  <c:v>1.4739861382336517E-2</c:v>
                </c:pt>
                <c:pt idx="25">
                  <c:v>1.4255015391872572E-2</c:v>
                </c:pt>
                <c:pt idx="26">
                  <c:v>1.3786117694840061E-2</c:v>
                </c:pt>
                <c:pt idx="27">
                  <c:v>1.3332643695660007E-2</c:v>
                </c:pt>
                <c:pt idx="28">
                  <c:v>1.2894086054549891E-2</c:v>
                </c:pt>
                <c:pt idx="29">
                  <c:v>1.2469954119921467E-2</c:v>
                </c:pt>
                <c:pt idx="30">
                  <c:v>1.2059773379445637E-2</c:v>
                </c:pt>
                <c:pt idx="31">
                  <c:v>1.1663084929177336E-2</c:v>
                </c:pt>
                <c:pt idx="32">
                  <c:v>1.1279444960138663E-2</c:v>
                </c:pt>
                <c:pt idx="33">
                  <c:v>1.0908424261793725E-2</c:v>
                </c:pt>
                <c:pt idx="34">
                  <c:v>1.0549607741853428E-2</c:v>
                </c:pt>
                <c:pt idx="35">
                  <c:v>1.0202593961877393E-2</c:v>
                </c:pt>
                <c:pt idx="36">
                  <c:v>9.8669946881504433E-3</c:v>
                </c:pt>
                <c:pt idx="37">
                  <c:v>9.5424344573322717E-3</c:v>
                </c:pt>
                <c:pt idx="38">
                  <c:v>9.2285501563950101E-3</c:v>
                </c:pt>
                <c:pt idx="39">
                  <c:v>8.9249906163789694E-3</c:v>
                </c:pt>
                <c:pt idx="40">
                  <c:v>8.6314162195079147E-3</c:v>
                </c:pt>
                <c:pt idx="41">
                  <c:v>8.3474985192323325E-3</c:v>
                </c:pt>
                <c:pt idx="42">
                  <c:v>8.0729198727664819E-3</c:v>
                </c:pt>
                <c:pt idx="43">
                  <c:v>7.8073730857159962E-3</c:v>
                </c:pt>
                <c:pt idx="44">
                  <c:v>7.5505610683925806E-3</c:v>
                </c:pt>
                <c:pt idx="45">
                  <c:v>7.3021965034346659E-3</c:v>
                </c:pt>
                <c:pt idx="46">
                  <c:v>7.0620015243615386E-3</c:v>
                </c:pt>
                <c:pt idx="47">
                  <c:v>6.829707404700347E-3</c:v>
                </c:pt>
                <c:pt idx="48">
                  <c:v>6.605054257338927E-3</c:v>
                </c:pt>
                <c:pt idx="49">
                  <c:v>6.3877907437684955E-3</c:v>
                </c:pt>
                <c:pt idx="50">
                  <c:v>6.1776737928892489E-3</c:v>
                </c:pt>
                <c:pt idx="51">
                  <c:v>5.9744683290666734E-3</c:v>
                </c:pt>
                <c:pt idx="52">
                  <c:v>5.7779470091325891E-3</c:v>
                </c:pt>
                <c:pt idx="53">
                  <c:v>5.5878899680366079E-3</c:v>
                </c:pt>
                <c:pt idx="54">
                  <c:v>5.4040845728647868E-3</c:v>
                </c:pt>
                <c:pt idx="55">
                  <c:v>5.2263251849494763E-3</c:v>
                </c:pt>
                <c:pt idx="56">
                  <c:v>5.0544129298029095E-3</c:v>
                </c:pt>
                <c:pt idx="57">
                  <c:v>4.8881554746208478E-3</c:v>
                </c:pt>
                <c:pt idx="58">
                  <c:v>4.7273668131022628E-3</c:v>
                </c:pt>
                <c:pt idx="59">
                  <c:v>4.5718670573492437E-3</c:v>
                </c:pt>
                <c:pt idx="60">
                  <c:v>4.4214822366109852E-3</c:v>
                </c:pt>
                <c:pt idx="61">
                  <c:v>4.2760441026473694E-3</c:v>
                </c:pt>
                <c:pt idx="62">
                  <c:v>4.1353899414962036E-3</c:v>
                </c:pt>
                <c:pt idx="63">
                  <c:v>3.9993623914311716E-3</c:v>
                </c:pt>
                <c:pt idx="64">
                  <c:v>3.8678092669068853E-3</c:v>
                </c:pt>
                <c:pt idx="65">
                  <c:v>3.7405833882981909E-3</c:v>
                </c:pt>
                <c:pt idx="66">
                  <c:v>3.617542417235553E-3</c:v>
                </c:pt>
                <c:pt idx="67">
                  <c:v>3.4985486973601043E-3</c:v>
                </c:pt>
                <c:pt idx="68">
                  <c:v>3.3834691003165052E-3</c:v>
                </c:pt>
                <c:pt idx="69">
                  <c:v>3.2721748768095305E-3</c:v>
                </c:pt>
                <c:pt idx="70">
                  <c:v>3.1645415125624021E-3</c:v>
                </c:pt>
                <c:pt idx="71">
                  <c:v>3.0604485890113331E-3</c:v>
                </c:pt>
                <c:pt idx="72">
                  <c:v>2.9597796485841821E-3</c:v>
                </c:pt>
                <c:pt idx="73">
                  <c:v>2.8624220644082321E-3</c:v>
                </c:pt>
                <c:pt idx="74">
                  <c:v>2.7682669143056504E-3</c:v>
                </c:pt>
                <c:pt idx="75">
                  <c:v>2.6772088589332999E-3</c:v>
                </c:pt>
                <c:pt idx="76">
                  <c:v>2.5891460239295672E-3</c:v>
                </c:pt>
                <c:pt idx="77">
                  <c:v>2.5039798859405327E-3</c:v>
                </c:pt>
                <c:pt idx="78">
                  <c:v>2.4216151623918103E-3</c:v>
                </c:pt>
                <c:pt idx="79">
                  <c:v>2.3419597048894847E-3</c:v>
                </c:pt>
                <c:pt idx="80">
                  <c:v>2.264924396124246E-3</c:v>
                </c:pt>
                <c:pt idx="81">
                  <c:v>2.1904230501699207E-3</c:v>
                </c:pt>
                <c:pt idx="82">
                  <c:v>2.1183723160587142E-3</c:v>
                </c:pt>
                <c:pt idx="83">
                  <c:v>2.0486915845300269E-3</c:v>
                </c:pt>
                <c:pt idx="84">
                  <c:v>1.9813028978462599E-3</c:v>
                </c:pt>
                <c:pt idx="85">
                  <c:v>1.9161308625741391E-3</c:v>
                </c:pt>
                <c:pt idx="86">
                  <c:v>1.8531025652364086E-3</c:v>
                </c:pt>
                <c:pt idx="87">
                  <c:v>1.7921474907368617E-3</c:v>
                </c:pt>
                <c:pt idx="88">
                  <c:v>1.7331974434694475E-3</c:v>
                </c:pt>
                <c:pt idx="89">
                  <c:v>1.6761864710218566E-3</c:v>
                </c:pt>
                <c:pt idx="90">
                  <c:v>1.6210507903893223E-3</c:v>
                </c:pt>
                <c:pt idx="91">
                  <c:v>1.5677287166144804E-3</c:v>
                </c:pt>
                <c:pt idx="92">
                  <c:v>1.516160593776128E-3</c:v>
                </c:pt>
                <c:pt idx="93">
                  <c:v>1.4662887282459458E-3</c:v>
                </c:pt>
                <c:pt idx="94">
                  <c:v>1.4180573241431293E-3</c:v>
                </c:pt>
                <c:pt idx="95">
                  <c:v>1.3714124209092127E-3</c:v>
                </c:pt>
                <c:pt idx="96">
                  <c:v>1.3263018329394693E-3</c:v>
                </c:pt>
                <c:pt idx="97">
                  <c:v>1.2826750911970608E-3</c:v>
                </c:pt>
                <c:pt idx="98">
                  <c:v>1.2404833867498688E-3</c:v>
                </c:pt>
                <c:pt idx="99">
                  <c:v>1.1996795161637319E-3</c:v>
                </c:pt>
              </c:numCache>
            </c:numRef>
          </c:val>
        </c:ser>
        <c:ser>
          <c:idx val="1"/>
          <c:order val="1"/>
          <c:tx>
            <c:v>Gamma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Distributions!$C$9:$C$108</c:f>
              <c:numCache>
                <c:formatCode>0.0000</c:formatCode>
                <c:ptCount val="100"/>
                <c:pt idx="0">
                  <c:v>9.8443992561335875E-2</c:v>
                </c:pt>
                <c:pt idx="1">
                  <c:v>5.2238686030417009E-2</c:v>
                </c:pt>
                <c:pt idx="2">
                  <c:v>4.1973851082664299E-2</c:v>
                </c:pt>
                <c:pt idx="3">
                  <c:v>3.6175284509715633E-2</c:v>
                </c:pt>
                <c:pt idx="4">
                  <c:v>3.22215078123754E-2</c:v>
                </c:pt>
                <c:pt idx="5">
                  <c:v>2.9259721643430325E-2</c:v>
                </c:pt>
                <c:pt idx="6">
                  <c:v>2.691090663357959E-2</c:v>
                </c:pt>
                <c:pt idx="7">
                  <c:v>2.4975571786654216E-2</c:v>
                </c:pt>
                <c:pt idx="8">
                  <c:v>2.3336644189453304E-2</c:v>
                </c:pt>
                <c:pt idx="9">
                  <c:v>2.1919920975121965E-2</c:v>
                </c:pt>
                <c:pt idx="10">
                  <c:v>2.0675625391246788E-2</c:v>
                </c:pt>
                <c:pt idx="11">
                  <c:v>1.9568825808833457E-2</c:v>
                </c:pt>
                <c:pt idx="12">
                  <c:v>1.8574127178658584E-2</c:v>
                </c:pt>
                <c:pt idx="13">
                  <c:v>1.7672518568674245E-2</c:v>
                </c:pt>
                <c:pt idx="14">
                  <c:v>1.6849416466887757E-2</c:v>
                </c:pt>
                <c:pt idx="15">
                  <c:v>1.6093408819045918E-2</c:v>
                </c:pt>
                <c:pt idx="16">
                  <c:v>1.5395367190153553E-2</c:v>
                </c:pt>
                <c:pt idx="17">
                  <c:v>1.4747938875383504E-2</c:v>
                </c:pt>
                <c:pt idx="18">
                  <c:v>1.4145067152844581E-2</c:v>
                </c:pt>
                <c:pt idx="19">
                  <c:v>1.3581725812638279E-2</c:v>
                </c:pt>
                <c:pt idx="20">
                  <c:v>1.3053694905476365E-2</c:v>
                </c:pt>
                <c:pt idx="21">
                  <c:v>1.2557397267048631E-2</c:v>
                </c:pt>
                <c:pt idx="22">
                  <c:v>1.2089774276656473E-2</c:v>
                </c:pt>
                <c:pt idx="23">
                  <c:v>1.1648190119720403E-2</c:v>
                </c:pt>
                <c:pt idx="24">
                  <c:v>1.1230371176593645E-2</c:v>
                </c:pt>
                <c:pt idx="25">
                  <c:v>1.0834281876786034E-2</c:v>
                </c:pt>
                <c:pt idx="26">
                  <c:v>1.0458199167147408E-2</c:v>
                </c:pt>
                <c:pt idx="27">
                  <c:v>1.0100560852962626E-2</c:v>
                </c:pt>
                <c:pt idx="28">
                  <c:v>9.7599884063278575E-3</c:v>
                </c:pt>
                <c:pt idx="29">
                  <c:v>9.4349967046080119E-3</c:v>
                </c:pt>
                <c:pt idx="30">
                  <c:v>9.1253091219778426E-3</c:v>
                </c:pt>
                <c:pt idx="31">
                  <c:v>8.8289718052805277E-3</c:v>
                </c:pt>
                <c:pt idx="32">
                  <c:v>8.5456173492488574E-3</c:v>
                </c:pt>
                <c:pt idx="33">
                  <c:v>8.2741664182961472E-3</c:v>
                </c:pt>
                <c:pt idx="34">
                  <c:v>8.0141327848840538E-3</c:v>
                </c:pt>
                <c:pt idx="35">
                  <c:v>7.764599889829582E-3</c:v>
                </c:pt>
                <c:pt idx="36">
                  <c:v>7.5251854035185417E-3</c:v>
                </c:pt>
                <c:pt idx="37">
                  <c:v>7.2950937579205899E-3</c:v>
                </c:pt>
                <c:pt idx="38">
                  <c:v>7.0740312110062487E-3</c:v>
                </c:pt>
                <c:pt idx="39">
                  <c:v>6.8613433840172267E-3</c:v>
                </c:pt>
                <c:pt idx="40">
                  <c:v>6.6566058332546696E-3</c:v>
                </c:pt>
                <c:pt idx="41">
                  <c:v>6.4595443970107969E-3</c:v>
                </c:pt>
                <c:pt idx="42">
                  <c:v>6.2696315715566886E-3</c:v>
                </c:pt>
                <c:pt idx="43">
                  <c:v>6.0865260718532266E-3</c:v>
                </c:pt>
                <c:pt idx="44">
                  <c:v>5.910019940356448E-3</c:v>
                </c:pt>
                <c:pt idx="45">
                  <c:v>5.7396745740303512E-3</c:v>
                </c:pt>
                <c:pt idx="46">
                  <c:v>5.5752111117167713E-3</c:v>
                </c:pt>
                <c:pt idx="47">
                  <c:v>5.4164760333825779E-3</c:v>
                </c:pt>
                <c:pt idx="48">
                  <c:v>5.2630929825909778E-3</c:v>
                </c:pt>
                <c:pt idx="49">
                  <c:v>5.1148680054564633E-3</c:v>
                </c:pt>
                <c:pt idx="50">
                  <c:v>4.9715457725034717E-3</c:v>
                </c:pt>
                <c:pt idx="51">
                  <c:v>4.8330158250471378E-3</c:v>
                </c:pt>
                <c:pt idx="52">
                  <c:v>4.6989743955131447E-3</c:v>
                </c:pt>
                <c:pt idx="53">
                  <c:v>4.5692715172219733E-3</c:v>
                </c:pt>
                <c:pt idx="54">
                  <c:v>4.4437302633728581E-3</c:v>
                </c:pt>
                <c:pt idx="55">
                  <c:v>4.3221577793911559E-3</c:v>
                </c:pt>
                <c:pt idx="56">
                  <c:v>4.2044756301318209E-3</c:v>
                </c:pt>
                <c:pt idx="57">
                  <c:v>4.0904496369960075E-3</c:v>
                </c:pt>
                <c:pt idx="58">
                  <c:v>3.9799669057639653E-3</c:v>
                </c:pt>
                <c:pt idx="59">
                  <c:v>3.8728921461653742E-3</c:v>
                </c:pt>
                <c:pt idx="60">
                  <c:v>3.7690742334508531E-3</c:v>
                </c:pt>
                <c:pt idx="61">
                  <c:v>3.6684614081380351E-3</c:v>
                </c:pt>
                <c:pt idx="62">
                  <c:v>3.5708634494638902E-3</c:v>
                </c:pt>
                <c:pt idx="63">
                  <c:v>3.4761953292391512E-3</c:v>
                </c:pt>
                <c:pt idx="64">
                  <c:v>3.3843513085778376E-3</c:v>
                </c:pt>
                <c:pt idx="65">
                  <c:v>3.295230509250624E-3</c:v>
                </c:pt>
                <c:pt idx="66">
                  <c:v>3.2087173394429458E-3</c:v>
                </c:pt>
                <c:pt idx="67">
                  <c:v>3.1247799436059376E-3</c:v>
                </c:pt>
                <c:pt idx="68">
                  <c:v>3.0432676482576859E-3</c:v>
                </c:pt>
                <c:pt idx="69">
                  <c:v>2.9641182319454229E-3</c:v>
                </c:pt>
                <c:pt idx="70">
                  <c:v>2.8872511799176159E-3</c:v>
                </c:pt>
                <c:pt idx="71">
                  <c:v>2.812589391641418E-3</c:v>
                </c:pt>
                <c:pt idx="72">
                  <c:v>2.740058995796768E-3</c:v>
                </c:pt>
                <c:pt idx="73">
                  <c:v>2.6695891778600878E-3</c:v>
                </c:pt>
                <c:pt idx="74">
                  <c:v>2.6010974213567239E-3</c:v>
                </c:pt>
                <c:pt idx="75">
                  <c:v>2.5345639432559075E-3</c:v>
                </c:pt>
                <c:pt idx="76">
                  <c:v>2.469879007264586E-3</c:v>
                </c:pt>
                <c:pt idx="77">
                  <c:v>2.4069989179670293E-3</c:v>
                </c:pt>
                <c:pt idx="78">
                  <c:v>2.3458659293339457E-3</c:v>
                </c:pt>
                <c:pt idx="79">
                  <c:v>2.2864245308080733E-3</c:v>
                </c:pt>
                <c:pt idx="80">
                  <c:v>2.2286213388617027E-3</c:v>
                </c:pt>
                <c:pt idx="81">
                  <c:v>2.1724049951232782E-3</c:v>
                </c:pt>
                <c:pt idx="82">
                  <c:v>2.1177260705961265E-3</c:v>
                </c:pt>
                <c:pt idx="83">
                  <c:v>2.0645369755245557E-3</c:v>
                </c:pt>
                <c:pt idx="84">
                  <c:v>2.0127815169458385E-3</c:v>
                </c:pt>
                <c:pt idx="85">
                  <c:v>1.9624476395624368E-3</c:v>
                </c:pt>
                <c:pt idx="86">
                  <c:v>1.9134595346208538E-3</c:v>
                </c:pt>
                <c:pt idx="87">
                  <c:v>1.8657876775867166E-3</c:v>
                </c:pt>
                <c:pt idx="88">
                  <c:v>1.8193924928133764E-3</c:v>
                </c:pt>
                <c:pt idx="89">
                  <c:v>1.7742358014589676E-3</c:v>
                </c:pt>
                <c:pt idx="90">
                  <c:v>1.7302807612540327E-3</c:v>
                </c:pt>
                <c:pt idx="91">
                  <c:v>1.6874918094793578E-3</c:v>
                </c:pt>
                <c:pt idx="92">
                  <c:v>1.6458346089445186E-3</c:v>
                </c:pt>
                <c:pt idx="93">
                  <c:v>1.605275996777622E-3</c:v>
                </c:pt>
                <c:pt idx="94">
                  <c:v>1.5657839358476089E-3</c:v>
                </c:pt>
                <c:pt idx="95">
                  <c:v>1.5273274686560256E-3</c:v>
                </c:pt>
                <c:pt idx="96">
                  <c:v>1.4898694058351758E-3</c:v>
                </c:pt>
                <c:pt idx="97">
                  <c:v>1.4534032802956398E-3</c:v>
                </c:pt>
                <c:pt idx="98">
                  <c:v>1.4178779396615271E-3</c:v>
                </c:pt>
                <c:pt idx="99">
                  <c:v>1.3832743212472964E-3</c:v>
                </c:pt>
              </c:numCache>
            </c:numRef>
          </c:val>
        </c:ser>
        <c:ser>
          <c:idx val="2"/>
          <c:order val="2"/>
          <c:tx>
            <c:v>Lognormal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Distributions!$D$9:$D$108</c:f>
              <c:numCache>
                <c:formatCode>0.0000</c:formatCode>
                <c:ptCount val="100"/>
                <c:pt idx="0">
                  <c:v>4.2042637703687102E-2</c:v>
                </c:pt>
                <c:pt idx="1">
                  <c:v>6.6947513885130872E-2</c:v>
                </c:pt>
                <c:pt idx="2">
                  <c:v>6.4095250184137753E-2</c:v>
                </c:pt>
                <c:pt idx="3">
                  <c:v>5.7666180151377033E-2</c:v>
                </c:pt>
                <c:pt idx="4">
                  <c:v>5.1270542122793805E-2</c:v>
                </c:pt>
                <c:pt idx="5">
                  <c:v>4.5595876500992505E-2</c:v>
                </c:pt>
                <c:pt idx="6">
                  <c:v>4.0706111993739746E-2</c:v>
                </c:pt>
                <c:pt idx="7">
                  <c:v>3.6518769741772261E-2</c:v>
                </c:pt>
                <c:pt idx="8">
                  <c:v>3.2926774787015889E-2</c:v>
                </c:pt>
                <c:pt idx="9">
                  <c:v>2.9831082242553708E-2</c:v>
                </c:pt>
                <c:pt idx="10">
                  <c:v>2.7147918168046736E-2</c:v>
                </c:pt>
                <c:pt idx="11">
                  <c:v>2.4808566685953215E-2</c:v>
                </c:pt>
                <c:pt idx="12">
                  <c:v>2.2757206390212281E-2</c:v>
                </c:pt>
                <c:pt idx="13">
                  <c:v>2.0948525725932088E-2</c:v>
                </c:pt>
                <c:pt idx="14">
                  <c:v>1.9345622316523037E-2</c:v>
                </c:pt>
                <c:pt idx="15">
                  <c:v>1.791828550192287E-2</c:v>
                </c:pt>
                <c:pt idx="16">
                  <c:v>1.664163331150037E-2</c:v>
                </c:pt>
                <c:pt idx="17">
                  <c:v>1.5495042971124362E-2</c:v>
                </c:pt>
                <c:pt idx="18">
                  <c:v>1.4461314006585901E-2</c:v>
                </c:pt>
                <c:pt idx="19">
                  <c:v>1.3526012241815266E-2</c:v>
                </c:pt>
                <c:pt idx="20">
                  <c:v>1.2676953515233014E-2</c:v>
                </c:pt>
                <c:pt idx="21">
                  <c:v>1.190379521842766E-2</c:v>
                </c:pt>
                <c:pt idx="22">
                  <c:v>1.1197711243915887E-2</c:v>
                </c:pt>
                <c:pt idx="23">
                  <c:v>1.0551131729242824E-2</c:v>
                </c:pt>
                <c:pt idx="24">
                  <c:v>9.9575334007200311E-3</c:v>
                </c:pt>
                <c:pt idx="25">
                  <c:v>9.4112696567489884E-3</c:v>
                </c:pt>
                <c:pt idx="26">
                  <c:v>8.9074320470174939E-3</c:v>
                </c:pt>
                <c:pt idx="27">
                  <c:v>8.441736704115077E-3</c:v>
                </c:pt>
                <c:pt idx="28">
                  <c:v>8.0104307238583194E-3</c:v>
                </c:pt>
                <c:pt idx="29">
                  <c:v>7.6102145862533277E-3</c:v>
                </c:pt>
                <c:pt idx="30">
                  <c:v>7.2381775470056198E-3</c:v>
                </c:pt>
                <c:pt idx="31">
                  <c:v>6.8917435739177524E-3</c:v>
                </c:pt>
                <c:pt idx="32">
                  <c:v>6.5686259008421732E-3</c:v>
                </c:pt>
                <c:pt idx="33">
                  <c:v>6.2667886593932298E-3</c:v>
                </c:pt>
                <c:pt idx="34">
                  <c:v>5.9844143516509796E-3</c:v>
                </c:pt>
                <c:pt idx="35">
                  <c:v>5.7198761654198016E-3</c:v>
                </c:pt>
                <c:pt idx="36">
                  <c:v>5.4717143219368269E-3</c:v>
                </c:pt>
                <c:pt idx="37">
                  <c:v>5.2386157956497703E-3</c:v>
                </c:pt>
                <c:pt idx="38">
                  <c:v>5.0193968652241239E-3</c:v>
                </c:pt>
                <c:pt idx="39">
                  <c:v>4.8129880509021339E-3</c:v>
                </c:pt>
                <c:pt idx="40">
                  <c:v>4.6184210707037598E-3</c:v>
                </c:pt>
                <c:pt idx="41">
                  <c:v>4.4348175106569965E-3</c:v>
                </c:pt>
                <c:pt idx="42">
                  <c:v>4.2613789552137238E-3</c:v>
                </c:pt>
                <c:pt idx="43">
                  <c:v>4.0973783657145546E-3</c:v>
                </c:pt>
                <c:pt idx="44">
                  <c:v>3.9421525289078385E-3</c:v>
                </c:pt>
                <c:pt idx="45">
                  <c:v>3.7950954257293112E-3</c:v>
                </c:pt>
                <c:pt idx="46">
                  <c:v>3.6556523937860685E-3</c:v>
                </c:pt>
                <c:pt idx="47">
                  <c:v>3.5233149763440608E-3</c:v>
                </c:pt>
                <c:pt idx="48">
                  <c:v>3.3976163666628034E-3</c:v>
                </c:pt>
                <c:pt idx="49">
                  <c:v>3.278127370006545E-3</c:v>
                </c:pt>
                <c:pt idx="50">
                  <c:v>3.1644528168791597E-3</c:v>
                </c:pt>
                <c:pt idx="51">
                  <c:v>3.0562283705467541E-3</c:v>
                </c:pt>
                <c:pt idx="52">
                  <c:v>2.9531176798732739E-3</c:v>
                </c:pt>
                <c:pt idx="53">
                  <c:v>2.8548098352729756E-3</c:v>
                </c:pt>
                <c:pt idx="54">
                  <c:v>2.7610170913113796E-3</c:v>
                </c:pt>
                <c:pt idx="55">
                  <c:v>2.6714728243704133E-3</c:v>
                </c:pt>
                <c:pt idx="56">
                  <c:v>2.5859296979497959E-3</c:v>
                </c:pt>
                <c:pt idx="57">
                  <c:v>2.5041580117473039E-3</c:v>
                </c:pt>
                <c:pt idx="58">
                  <c:v>2.4259442137013476E-3</c:v>
                </c:pt>
                <c:pt idx="59">
                  <c:v>2.3510895568086276E-3</c:v>
                </c:pt>
                <c:pt idx="60">
                  <c:v>2.2794088847937211E-3</c:v>
                </c:pt>
                <c:pt idx="61">
                  <c:v>2.2107295326454501E-3</c:v>
                </c:pt>
                <c:pt idx="62">
                  <c:v>2.1448903297338617E-3</c:v>
                </c:pt>
                <c:pt idx="63">
                  <c:v>2.081740694688361E-3</c:v>
                </c:pt>
                <c:pt idx="64">
                  <c:v>2.0211398124750923E-3</c:v>
                </c:pt>
                <c:pt idx="65">
                  <c:v>1.962955885235429E-3</c:v>
                </c:pt>
                <c:pt idx="66">
                  <c:v>1.9070654494039996E-3</c:v>
                </c:pt>
                <c:pt idx="67">
                  <c:v>1.8533527524728921E-3</c:v>
                </c:pt>
                <c:pt idx="68">
                  <c:v>1.801709183511857E-3</c:v>
                </c:pt>
                <c:pt idx="69">
                  <c:v>1.7520327521880485E-3</c:v>
                </c:pt>
                <c:pt idx="70">
                  <c:v>1.7042276116288058E-3</c:v>
                </c:pt>
                <c:pt idx="71">
                  <c:v>1.658203620933163E-3</c:v>
                </c:pt>
                <c:pt idx="72">
                  <c:v>1.6138759436246097E-3</c:v>
                </c:pt>
                <c:pt idx="73">
                  <c:v>1.5711646786841227E-3</c:v>
                </c:pt>
                <c:pt idx="74">
                  <c:v>1.5299945211894039E-3</c:v>
                </c:pt>
                <c:pt idx="75">
                  <c:v>1.4902944498594861E-3</c:v>
                </c:pt>
                <c:pt idx="76">
                  <c:v>1.451997439098629E-3</c:v>
                </c:pt>
                <c:pt idx="77">
                  <c:v>1.4150401933610279E-3</c:v>
                </c:pt>
                <c:pt idx="78">
                  <c:v>1.3793629018821196E-3</c:v>
                </c:pt>
                <c:pt idx="79">
                  <c:v>1.3449090120052354E-3</c:v>
                </c:pt>
                <c:pt idx="80">
                  <c:v>1.311625019511542E-3</c:v>
                </c:pt>
                <c:pt idx="81">
                  <c:v>1.2794602745092032E-3</c:v>
                </c:pt>
                <c:pt idx="82">
                  <c:v>1.2483668015722538E-3</c:v>
                </c:pt>
                <c:pt idx="83">
                  <c:v>1.2182991329491299E-3</c:v>
                </c:pt>
                <c:pt idx="84">
                  <c:v>1.1892141537648282E-3</c:v>
                </c:pt>
                <c:pt idx="85">
                  <c:v>1.1610709582385859E-3</c:v>
                </c:pt>
                <c:pt idx="86">
                  <c:v>1.1338307160315697E-3</c:v>
                </c:pt>
                <c:pt idx="87">
                  <c:v>1.1074565479194387E-3</c:v>
                </c:pt>
                <c:pt idx="88">
                  <c:v>1.0819134100472638E-3</c:v>
                </c:pt>
                <c:pt idx="89">
                  <c:v>1.0571679861024474E-3</c:v>
                </c:pt>
                <c:pt idx="90">
                  <c:v>1.0331885867896906E-3</c:v>
                </c:pt>
                <c:pt idx="91">
                  <c:v>1.0099450560466794E-3</c:v>
                </c:pt>
                <c:pt idx="92">
                  <c:v>9.8740868349489475E-4</c:v>
                </c:pt>
                <c:pt idx="93">
                  <c:v>9.65552122647928E-4</c:v>
                </c:pt>
                <c:pt idx="94">
                  <c:v>9.4434931445941395E-4</c:v>
                </c:pt>
                <c:pt idx="95">
                  <c:v>9.2377541580168643E-4</c:v>
                </c:pt>
                <c:pt idx="96">
                  <c:v>9.0380673253320776E-4</c:v>
                </c:pt>
                <c:pt idx="97">
                  <c:v>8.8442065680327531E-4</c:v>
                </c:pt>
                <c:pt idx="98">
                  <c:v>8.6559560830656856E-4</c:v>
                </c:pt>
                <c:pt idx="99">
                  <c:v>8.4731097919399367E-4</c:v>
                </c:pt>
              </c:numCache>
            </c:numRef>
          </c:val>
        </c:ser>
        <c:ser>
          <c:idx val="3"/>
          <c:order val="3"/>
          <c:tx>
            <c:v>Weibull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v>Pareto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marker val="1"/>
        <c:axId val="168257792"/>
        <c:axId val="168271872"/>
      </c:lineChart>
      <c:catAx>
        <c:axId val="168257792"/>
        <c:scaling>
          <c:orientation val="minMax"/>
        </c:scaling>
        <c:axPos val="b"/>
        <c:numFmt formatCode="General" sourceLinked="1"/>
        <c:tickLblPos val="nextTo"/>
        <c:crossAx val="168271872"/>
        <c:crosses val="autoZero"/>
        <c:auto val="1"/>
        <c:lblAlgn val="ctr"/>
        <c:lblOffset val="100"/>
      </c:catAx>
      <c:valAx>
        <c:axId val="168271872"/>
        <c:scaling>
          <c:orientation val="minMax"/>
          <c:max val="0.10500000000000002"/>
        </c:scaling>
        <c:axPos val="l"/>
        <c:majorGridlines/>
        <c:numFmt formatCode="0.0000" sourceLinked="1"/>
        <c:tickLblPos val="nextTo"/>
        <c:crossAx val="16825779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8963295880149813"/>
          <c:y val="0.42491331895614959"/>
          <c:w val="8.9841544223566702E-2"/>
          <c:h val="0.15357038968855008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69846272"/>
        <c:axId val="169847808"/>
      </c:barChart>
      <c:lineChart>
        <c:grouping val="standard"/>
        <c:ser>
          <c:idx val="1"/>
          <c:order val="1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Exponential!$C$7:$C$16</c:f>
              <c:numCache>
                <c:formatCode>0.0000</c:formatCode>
                <c:ptCount val="10"/>
                <c:pt idx="0">
                  <c:v>0.28428039665993743</c:v>
                </c:pt>
                <c:pt idx="1">
                  <c:v>0.20346505273480608</c:v>
                </c:pt>
                <c:pt idx="2">
                  <c:v>0.14562392683692027</c:v>
                </c:pt>
                <c:pt idx="3">
                  <c:v>0.10422589915254293</c:v>
                </c:pt>
                <c:pt idx="4">
                  <c:v>7.4596519199219363E-2</c:v>
                </c:pt>
                <c:pt idx="5">
                  <c:v>5.3390191131814618E-2</c:v>
                </c:pt>
                <c:pt idx="6">
                  <c:v>3.8212406419112527E-2</c:v>
                </c:pt>
                <c:pt idx="7">
                  <c:v>2.7349368364956467E-2</c:v>
                </c:pt>
                <c:pt idx="8">
                  <c:v>1.9574479077767881E-2</c:v>
                </c:pt>
                <c:pt idx="9">
                  <c:v>1.4009838401128405E-2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Exponential!$D$7:$D$16</c:f>
              <c:numCache>
                <c:formatCode>0.0000</c:formatCode>
                <c:ptCount val="10"/>
                <c:pt idx="0">
                  <c:v>0.42989532250132156</c:v>
                </c:pt>
                <c:pt idx="1">
                  <c:v>0.24508533419280626</c:v>
                </c:pt>
                <c:pt idx="2">
                  <c:v>0.13972429540964562</c:v>
                </c:pt>
                <c:pt idx="3">
                  <c:v>7.9657474373246148E-2</c:v>
                </c:pt>
                <c:pt idx="4">
                  <c:v>4.5413098737918718E-2</c:v>
                </c:pt>
                <c:pt idx="5">
                  <c:v>2.58902200101968E-2</c:v>
                </c:pt>
                <c:pt idx="6">
                  <c:v>1.4760135529283076E-2</c:v>
                </c:pt>
                <c:pt idx="7">
                  <c:v>8.414822305758721E-3</c:v>
                </c:pt>
                <c:pt idx="8">
                  <c:v>4.7973295568332578E-3</c:v>
                </c:pt>
                <c:pt idx="9">
                  <c:v>2.7349800198533027E-3</c:v>
                </c:pt>
              </c:numCache>
            </c:numRef>
          </c:val>
        </c:ser>
        <c:marker val="1"/>
        <c:axId val="169846272"/>
        <c:axId val="169847808"/>
      </c:lineChart>
      <c:catAx>
        <c:axId val="169846272"/>
        <c:scaling>
          <c:orientation val="minMax"/>
        </c:scaling>
        <c:axPos val="b"/>
        <c:numFmt formatCode="General" sourceLinked="1"/>
        <c:majorTickMark val="none"/>
        <c:tickLblPos val="nextTo"/>
        <c:crossAx val="169847808"/>
        <c:crosses val="autoZero"/>
        <c:auto val="1"/>
        <c:lblAlgn val="ctr"/>
        <c:lblOffset val="100"/>
      </c:catAx>
      <c:valAx>
        <c:axId val="169847808"/>
        <c:scaling>
          <c:orientation val="minMax"/>
        </c:scaling>
        <c:axPos val="l"/>
        <c:majorGridlines/>
        <c:numFmt formatCode="0.000" sourceLinked="1"/>
        <c:majorTickMark val="none"/>
        <c:tickLblPos val="nextTo"/>
        <c:crossAx val="169846272"/>
        <c:crosses val="autoZero"/>
        <c:crossBetween val="between"/>
      </c:valAx>
    </c:plotArea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68172928"/>
        <c:axId val="168182912"/>
      </c:barChart>
      <c:lineChart>
        <c:grouping val="standard"/>
        <c:ser>
          <c:idx val="1"/>
          <c:order val="1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Gamma!$R$11:$R$20</c:f>
              <c:numCache>
                <c:formatCode>0.00</c:formatCode>
                <c:ptCount val="10"/>
                <c:pt idx="0">
                  <c:v>0.63470743237333693</c:v>
                </c:pt>
                <c:pt idx="1">
                  <c:v>8.3228209060204894E-2</c:v>
                </c:pt>
                <c:pt idx="2">
                  <c:v>5.0650173368906759E-2</c:v>
                </c:pt>
                <c:pt idx="3">
                  <c:v>3.599841788321223E-2</c:v>
                </c:pt>
                <c:pt idx="4">
                  <c:v>2.7492454964842761E-2</c:v>
                </c:pt>
                <c:pt idx="5">
                  <c:v>2.1897023041105412E-2</c:v>
                </c:pt>
                <c:pt idx="6">
                  <c:v>1.7929160661754984E-2</c:v>
                </c:pt>
                <c:pt idx="7">
                  <c:v>1.4970796350885163E-2</c:v>
                </c:pt>
                <c:pt idx="8">
                  <c:v>1.2684870089734401E-2</c:v>
                </c:pt>
                <c:pt idx="9">
                  <c:v>1.087056683570109E-2</c:v>
                </c:pt>
              </c:numCache>
            </c:numRef>
          </c:val>
        </c:ser>
        <c:ser>
          <c:idx val="5"/>
          <c:order val="5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Gamma!$S$11:$S$20</c:f>
              <c:numCache>
                <c:formatCode>0.00</c:formatCode>
                <c:ptCount val="10"/>
                <c:pt idx="0">
                  <c:v>0.44541294424101407</c:v>
                </c:pt>
                <c:pt idx="1">
                  <c:v>0.19959399369192166</c:v>
                </c:pt>
                <c:pt idx="2">
                  <c:v>0.12118808697111993</c:v>
                </c:pt>
                <c:pt idx="3">
                  <c:v>7.7568012346042048E-2</c:v>
                </c:pt>
                <c:pt idx="4">
                  <c:v>5.0887659731793655E-2</c:v>
                </c:pt>
                <c:pt idx="5">
                  <c:v>3.3869318634379475E-2</c:v>
                </c:pt>
                <c:pt idx="6">
                  <c:v>2.275746437490922E-2</c:v>
                </c:pt>
                <c:pt idx="7">
                  <c:v>1.5394481082413369E-2</c:v>
                </c:pt>
                <c:pt idx="8">
                  <c:v>1.0466193804461121E-2</c:v>
                </c:pt>
                <c:pt idx="9">
                  <c:v>7.1433884809771753E-3</c:v>
                </c:pt>
              </c:numCache>
            </c:numRef>
          </c:val>
        </c:ser>
        <c:ser>
          <c:idx val="6"/>
          <c:order val="6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Gamma!$T$11:$T$20</c:f>
              <c:numCache>
                <c:formatCode>0.00</c:formatCode>
                <c:ptCount val="10"/>
                <c:pt idx="0">
                  <c:v>0.38745608722474761</c:v>
                </c:pt>
                <c:pt idx="1">
                  <c:v>0.16730402126436666</c:v>
                </c:pt>
                <c:pt idx="2">
                  <c:v>0.11116745475332745</c:v>
                </c:pt>
                <c:pt idx="3">
                  <c:v>7.9308451125979618E-2</c:v>
                </c:pt>
                <c:pt idx="4">
                  <c:v>5.8491650521208971E-2</c:v>
                </c:pt>
                <c:pt idx="5">
                  <c:v>4.3986479872106909E-2</c:v>
                </c:pt>
                <c:pt idx="6">
                  <c:v>3.3505059401372383E-2</c:v>
                </c:pt>
                <c:pt idx="7">
                  <c:v>2.5754318495202155E-2</c:v>
                </c:pt>
                <c:pt idx="8">
                  <c:v>1.9931394043093853E-2</c:v>
                </c:pt>
                <c:pt idx="9">
                  <c:v>1.5506419527998805E-2</c:v>
                </c:pt>
              </c:numCache>
            </c:numRef>
          </c:val>
        </c:ser>
        <c:marker val="1"/>
        <c:axId val="168172928"/>
        <c:axId val="168182912"/>
      </c:lineChart>
      <c:catAx>
        <c:axId val="168172928"/>
        <c:scaling>
          <c:orientation val="minMax"/>
        </c:scaling>
        <c:axPos val="b"/>
        <c:numFmt formatCode="General" sourceLinked="1"/>
        <c:majorTickMark val="none"/>
        <c:tickLblPos val="nextTo"/>
        <c:crossAx val="168182912"/>
        <c:crosses val="autoZero"/>
        <c:auto val="1"/>
        <c:lblAlgn val="ctr"/>
        <c:lblOffset val="100"/>
      </c:catAx>
      <c:valAx>
        <c:axId val="168182912"/>
        <c:scaling>
          <c:orientation val="minMax"/>
          <c:max val="0.70000000000000062"/>
        </c:scaling>
        <c:axPos val="l"/>
        <c:majorGridlines/>
        <c:numFmt formatCode="0.000" sourceLinked="1"/>
        <c:majorTickMark val="none"/>
        <c:tickLblPos val="nextTo"/>
        <c:crossAx val="168172928"/>
        <c:crosses val="autoZero"/>
        <c:crossBetween val="between"/>
      </c:valAx>
    </c:plotArea>
    <c:plotVisOnly val="1"/>
    <c:dispBlanksAs val="gap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68302080"/>
        <c:axId val="168303616"/>
      </c:barChart>
      <c:lineChart>
        <c:grouping val="standard"/>
        <c:ser>
          <c:idx val="1"/>
          <c:order val="1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Lognormal!$R$10:$R$19</c:f>
              <c:numCache>
                <c:formatCode>0.00</c:formatCode>
                <c:ptCount val="10"/>
                <c:pt idx="0">
                  <c:v>0.44622965591024999</c:v>
                </c:pt>
                <c:pt idx="1">
                  <c:v>0.20100922682578715</c:v>
                </c:pt>
                <c:pt idx="2">
                  <c:v>0.10387626030626196</c:v>
                </c:pt>
                <c:pt idx="3">
                  <c:v>6.2405852952700624E-2</c:v>
                </c:pt>
                <c:pt idx="4">
                  <c:v>4.1021797062070653E-2</c:v>
                </c:pt>
                <c:pt idx="5">
                  <c:v>2.8644689059941775E-2</c:v>
                </c:pt>
                <c:pt idx="6">
                  <c:v>2.0895973557577108E-2</c:v>
                </c:pt>
                <c:pt idx="7">
                  <c:v>1.5759479684220312E-2</c:v>
                </c:pt>
                <c:pt idx="8">
                  <c:v>1.2202463469197733E-2</c:v>
                </c:pt>
                <c:pt idx="9">
                  <c:v>9.652458280878351E-3</c:v>
                </c:pt>
              </c:numCache>
            </c:numRef>
          </c:val>
        </c:ser>
        <c:ser>
          <c:idx val="5"/>
          <c:order val="5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Lognormal!$S$10:$S$19</c:f>
              <c:numCache>
                <c:formatCode>0.00</c:formatCode>
                <c:ptCount val="10"/>
                <c:pt idx="0">
                  <c:v>0.48228197293693331</c:v>
                </c:pt>
                <c:pt idx="1">
                  <c:v>0.18539477942307414</c:v>
                </c:pt>
                <c:pt idx="2">
                  <c:v>9.4425277296496968E-2</c:v>
                </c:pt>
                <c:pt idx="3">
                  <c:v>5.6866462080051194E-2</c:v>
                </c:pt>
                <c:pt idx="4">
                  <c:v>3.7661750038561981E-2</c:v>
                </c:pt>
                <c:pt idx="5">
                  <c:v>2.6545832913234979E-2</c:v>
                </c:pt>
                <c:pt idx="6">
                  <c:v>1.956053992398421E-2</c:v>
                </c:pt>
                <c:pt idx="7">
                  <c:v>1.4904038656291974E-2</c:v>
                </c:pt>
                <c:pt idx="8">
                  <c:v>1.1658079147782607E-2</c:v>
                </c:pt>
                <c:pt idx="9">
                  <c:v>9.314455638159358E-3</c:v>
                </c:pt>
              </c:numCache>
            </c:numRef>
          </c:val>
        </c:ser>
        <c:ser>
          <c:idx val="6"/>
          <c:order val="6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Lognormal!$T$10:$T$19</c:f>
              <c:numCache>
                <c:formatCode>0.00</c:formatCode>
                <c:ptCount val="10"/>
                <c:pt idx="0">
                  <c:v>0.46760073931320068</c:v>
                </c:pt>
                <c:pt idx="1">
                  <c:v>0.19305012731961613</c:v>
                </c:pt>
                <c:pt idx="2">
                  <c:v>9.8668208825532622E-2</c:v>
                </c:pt>
                <c:pt idx="3">
                  <c:v>5.9212341231942411E-2</c:v>
                </c:pt>
                <c:pt idx="4">
                  <c:v>3.9003954963725662E-2</c:v>
                </c:pt>
                <c:pt idx="5">
                  <c:v>2.7328220098461031E-2</c:v>
                </c:pt>
                <c:pt idx="6">
                  <c:v>2.0015025277148712E-2</c:v>
                </c:pt>
                <c:pt idx="7">
                  <c:v>1.5159070372266603E-2</c:v>
                </c:pt>
                <c:pt idx="8">
                  <c:v>1.1788405000646263E-2</c:v>
                </c:pt>
                <c:pt idx="9">
                  <c:v>9.3653531560773384E-3</c:v>
                </c:pt>
              </c:numCache>
            </c:numRef>
          </c:val>
        </c:ser>
        <c:marker val="1"/>
        <c:axId val="168302080"/>
        <c:axId val="168303616"/>
      </c:lineChart>
      <c:catAx>
        <c:axId val="168302080"/>
        <c:scaling>
          <c:orientation val="minMax"/>
        </c:scaling>
        <c:axPos val="b"/>
        <c:numFmt formatCode="General" sourceLinked="1"/>
        <c:majorTickMark val="none"/>
        <c:tickLblPos val="nextTo"/>
        <c:crossAx val="168303616"/>
        <c:crosses val="autoZero"/>
        <c:auto val="1"/>
        <c:lblAlgn val="ctr"/>
        <c:lblOffset val="100"/>
      </c:catAx>
      <c:valAx>
        <c:axId val="168303616"/>
        <c:scaling>
          <c:orientation val="minMax"/>
          <c:max val="0.70000000000000062"/>
        </c:scaling>
        <c:axPos val="l"/>
        <c:majorGridlines/>
        <c:numFmt formatCode="0.000" sourceLinked="1"/>
        <c:majorTickMark val="none"/>
        <c:tickLblPos val="nextTo"/>
        <c:crossAx val="168302080"/>
        <c:crosses val="autoZero"/>
        <c:crossBetween val="between"/>
      </c:valAx>
    </c:plotArea>
    <c:plotVisOnly val="1"/>
    <c:dispBlanksAs val="gap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'[1]MLE for gamma'!$A$4:$A$23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'[1]MLE for gamma'!$C$4:$C$23</c:f>
              <c:numCache>
                <c:formatCode>0.000</c:formatCode>
                <c:ptCount val="20"/>
                <c:pt idx="0">
                  <c:v>-1176.2545778091528</c:v>
                </c:pt>
                <c:pt idx="1">
                  <c:v>-1105.2125505897961</c:v>
                </c:pt>
                <c:pt idx="2">
                  <c:v>-1063.0072915327378</c:v>
                </c:pt>
                <c:pt idx="3">
                  <c:v>-1033.2000149233261</c:v>
                </c:pt>
                <c:pt idx="4">
                  <c:v>-1010.5742393384687</c:v>
                </c:pt>
                <c:pt idx="5">
                  <c:v>-992.76591558607731</c:v>
                </c:pt>
                <c:pt idx="6">
                  <c:v>-978.48698127219552</c:v>
                </c:pt>
                <c:pt idx="7">
                  <c:v>-966.94971512525728</c:v>
                </c:pt>
                <c:pt idx="8">
                  <c:v>-957.63236540711875</c:v>
                </c:pt>
                <c:pt idx="9">
                  <c:v>-950.1685067782804</c:v>
                </c:pt>
                <c:pt idx="10">
                  <c:v>-944.28901281104243</c:v>
                </c:pt>
                <c:pt idx="11">
                  <c:v>-939.78911492537907</c:v>
                </c:pt>
                <c:pt idx="12">
                  <c:v>-936.50850624666009</c:v>
                </c:pt>
                <c:pt idx="13">
                  <c:v>-934.31870859259163</c:v>
                </c:pt>
                <c:pt idx="14">
                  <c:v>-933.11471393388922</c:v>
                </c:pt>
                <c:pt idx="15">
                  <c:v>-932.80925963372704</c:v>
                </c:pt>
                <c:pt idx="16">
                  <c:v>-933.32879058328911</c:v>
                </c:pt>
                <c:pt idx="17">
                  <c:v>-934.61053812834973</c:v>
                </c:pt>
                <c:pt idx="18">
                  <c:v>-936.60035983328521</c:v>
                </c:pt>
                <c:pt idx="19">
                  <c:v>-939.25111071568301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'[1]MLE for gamma'!$E$4:$E$23</c:f>
              <c:numCache>
                <c:formatCode>0.000</c:formatCode>
                <c:ptCount val="20"/>
                <c:pt idx="0">
                  <c:v>-1039.3967907425283</c:v>
                </c:pt>
                <c:pt idx="1">
                  <c:v>-975.00897645654709</c:v>
                </c:pt>
                <c:pt idx="2">
                  <c:v>-939.45793033286418</c:v>
                </c:pt>
                <c:pt idx="3">
                  <c:v>-916.30486665682793</c:v>
                </c:pt>
                <c:pt idx="4">
                  <c:v>-900.33330400534601</c:v>
                </c:pt>
                <c:pt idx="5">
                  <c:v>-889.17919318633017</c:v>
                </c:pt>
                <c:pt idx="6">
                  <c:v>-881.55447180582382</c:v>
                </c:pt>
                <c:pt idx="7">
                  <c:v>-876.67141859226103</c:v>
                </c:pt>
                <c:pt idx="8">
                  <c:v>-874.00828180749795</c:v>
                </c:pt>
                <c:pt idx="9">
                  <c:v>-873.19863611203505</c:v>
                </c:pt>
                <c:pt idx="10">
                  <c:v>-873.97335507817252</c:v>
                </c:pt>
                <c:pt idx="11">
                  <c:v>-876.12767012588483</c:v>
                </c:pt>
                <c:pt idx="12">
                  <c:v>-879.50127438054119</c:v>
                </c:pt>
                <c:pt idx="13">
                  <c:v>-883.96568965984829</c:v>
                </c:pt>
                <c:pt idx="14">
                  <c:v>-889.41590793452133</c:v>
                </c:pt>
                <c:pt idx="15">
                  <c:v>-895.76466656773459</c:v>
                </c:pt>
                <c:pt idx="16">
                  <c:v>-902.93841045067211</c:v>
                </c:pt>
                <c:pt idx="17">
                  <c:v>-910.87437092910818</c:v>
                </c:pt>
                <c:pt idx="18">
                  <c:v>-919.51840556741922</c:v>
                </c:pt>
                <c:pt idx="19">
                  <c:v>-928.82336938319236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'[1]MLE for gamma'!$G$4:$G$23</c:f>
              <c:numCache>
                <c:formatCode>0.000</c:formatCode>
                <c:ptCount val="20"/>
                <c:pt idx="0">
                  <c:v>-995.45192244703333</c:v>
                </c:pt>
                <c:pt idx="1">
                  <c:v>-934.95657319889051</c:v>
                </c:pt>
                <c:pt idx="2">
                  <c:v>-903.29799211304601</c:v>
                </c:pt>
                <c:pt idx="3">
                  <c:v>-884.03739347484816</c:v>
                </c:pt>
                <c:pt idx="4">
                  <c:v>-871.95829586120465</c:v>
                </c:pt>
                <c:pt idx="5">
                  <c:v>-864.6966500800271</c:v>
                </c:pt>
                <c:pt idx="6">
                  <c:v>-860.96439373735916</c:v>
                </c:pt>
                <c:pt idx="7">
                  <c:v>-859.97380556163478</c:v>
                </c:pt>
                <c:pt idx="8">
                  <c:v>-861.2031338147101</c:v>
                </c:pt>
                <c:pt idx="9">
                  <c:v>-864.2859531570856</c:v>
                </c:pt>
                <c:pt idx="10">
                  <c:v>-868.95313716106136</c:v>
                </c:pt>
                <c:pt idx="11">
                  <c:v>-874.99991724661197</c:v>
                </c:pt>
                <c:pt idx="12">
                  <c:v>-882.26598653910673</c:v>
                </c:pt>
                <c:pt idx="13">
                  <c:v>-890.62286685625224</c:v>
                </c:pt>
                <c:pt idx="14">
                  <c:v>-899.96555016876357</c:v>
                </c:pt>
                <c:pt idx="15">
                  <c:v>-910.20677383981536</c:v>
                </c:pt>
                <c:pt idx="16">
                  <c:v>-921.27298276059116</c:v>
                </c:pt>
                <c:pt idx="17">
                  <c:v>-933.10140827686575</c:v>
                </c:pt>
                <c:pt idx="18">
                  <c:v>-945.63790795301497</c:v>
                </c:pt>
                <c:pt idx="19">
                  <c:v>-958.83533680662674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'[1]MLE for gamma'!$I$4:$I$23</c:f>
              <c:numCache>
                <c:formatCode>0.000</c:formatCode>
                <c:ptCount val="20"/>
                <c:pt idx="0">
                  <c:v>-974.29500367590367</c:v>
                </c:pt>
                <c:pt idx="1">
                  <c:v>-916.56140232329801</c:v>
                </c:pt>
                <c:pt idx="2">
                  <c:v>-887.66456913299066</c:v>
                </c:pt>
                <c:pt idx="3">
                  <c:v>-871.16571839032986</c:v>
                </c:pt>
                <c:pt idx="4">
                  <c:v>-861.8483686722235</c:v>
                </c:pt>
                <c:pt idx="5">
                  <c:v>-857.34847078658299</c:v>
                </c:pt>
                <c:pt idx="6">
                  <c:v>-856.3779623394521</c:v>
                </c:pt>
                <c:pt idx="7">
                  <c:v>-858.14912205926487</c:v>
                </c:pt>
                <c:pt idx="8">
                  <c:v>-862.14019820787735</c:v>
                </c:pt>
                <c:pt idx="9">
                  <c:v>-867.98476544578989</c:v>
                </c:pt>
                <c:pt idx="10">
                  <c:v>-875.41369734530292</c:v>
                </c:pt>
                <c:pt idx="11">
                  <c:v>-884.22222532639046</c:v>
                </c:pt>
                <c:pt idx="12">
                  <c:v>-894.25004251442249</c:v>
                </c:pt>
                <c:pt idx="13">
                  <c:v>-905.36867072710481</c:v>
                </c:pt>
                <c:pt idx="14">
                  <c:v>-917.47310193515352</c:v>
                </c:pt>
                <c:pt idx="15">
                  <c:v>-930.47607350174223</c:v>
                </c:pt>
                <c:pt idx="16">
                  <c:v>-944.3040303180552</c:v>
                </c:pt>
                <c:pt idx="17">
                  <c:v>-958.89420372986694</c:v>
                </c:pt>
                <c:pt idx="18">
                  <c:v>-974.19245130155332</c:v>
                </c:pt>
                <c:pt idx="19">
                  <c:v>-990.15162805070202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val>
            <c:numRef>
              <c:f>'[1]MLE for gamma'!$K$4:$K$23</c:f>
              <c:numCache>
                <c:formatCode>0.000</c:formatCode>
                <c:ptCount val="20"/>
                <c:pt idx="0">
                  <c:v>-962.08598176852024</c:v>
                </c:pt>
                <c:pt idx="1">
                  <c:v>-906.49455850853087</c:v>
                </c:pt>
                <c:pt idx="2">
                  <c:v>-879.73990341084004</c:v>
                </c:pt>
                <c:pt idx="3">
                  <c:v>-865.38323076079564</c:v>
                </c:pt>
                <c:pt idx="4">
                  <c:v>-858.20805913530558</c:v>
                </c:pt>
                <c:pt idx="5">
                  <c:v>-855.85033934228159</c:v>
                </c:pt>
                <c:pt idx="6">
                  <c:v>-857.02200898776709</c:v>
                </c:pt>
                <c:pt idx="7">
                  <c:v>-860.93534680019627</c:v>
                </c:pt>
                <c:pt idx="8">
                  <c:v>-867.06860104142515</c:v>
                </c:pt>
                <c:pt idx="9">
                  <c:v>-875.0553463719541</c:v>
                </c:pt>
                <c:pt idx="10">
                  <c:v>-884.62645636408342</c:v>
                </c:pt>
                <c:pt idx="11">
                  <c:v>-895.57716243778759</c:v>
                </c:pt>
                <c:pt idx="12">
                  <c:v>-907.74715771843603</c:v>
                </c:pt>
                <c:pt idx="13">
                  <c:v>-921.00796402373476</c:v>
                </c:pt>
                <c:pt idx="14">
                  <c:v>-935.25457332439987</c:v>
                </c:pt>
                <c:pt idx="15">
                  <c:v>-950.39972298360499</c:v>
                </c:pt>
                <c:pt idx="16">
                  <c:v>-966.36985789253436</c:v>
                </c:pt>
                <c:pt idx="17">
                  <c:v>-983.10220939696251</c:v>
                </c:pt>
                <c:pt idx="18">
                  <c:v>-1000.5426350612653</c:v>
                </c:pt>
                <c:pt idx="19">
                  <c:v>-1018.6439899030304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val>
            <c:numRef>
              <c:f>'[1]MLE for gamma'!$M$4:$M$23</c:f>
              <c:numCache>
                <c:formatCode>0.000</c:formatCode>
                <c:ptCount val="20"/>
                <c:pt idx="0">
                  <c:v>-954.2688020470755</c:v>
                </c:pt>
                <c:pt idx="1">
                  <c:v>-900.42766573230801</c:v>
                </c:pt>
                <c:pt idx="2">
                  <c:v>-875.42329757983907</c:v>
                </c:pt>
                <c:pt idx="3">
                  <c:v>-862.81691187501679</c:v>
                </c:pt>
                <c:pt idx="4">
                  <c:v>-857.39202719474861</c:v>
                </c:pt>
                <c:pt idx="5">
                  <c:v>-856.78459434694651</c:v>
                </c:pt>
                <c:pt idx="6">
                  <c:v>-859.70655093765413</c:v>
                </c:pt>
                <c:pt idx="7">
                  <c:v>-865.37017569530531</c:v>
                </c:pt>
                <c:pt idx="8">
                  <c:v>-873.25371688175596</c:v>
                </c:pt>
                <c:pt idx="9">
                  <c:v>-882.99074915750703</c:v>
                </c:pt>
                <c:pt idx="10">
                  <c:v>-894.31214609485824</c:v>
                </c:pt>
                <c:pt idx="11">
                  <c:v>-907.01313911378429</c:v>
                </c:pt>
                <c:pt idx="12">
                  <c:v>-920.93342133965484</c:v>
                </c:pt>
                <c:pt idx="13">
                  <c:v>-935.94451459017546</c:v>
                </c:pt>
                <c:pt idx="14">
                  <c:v>-951.94141083606246</c:v>
                </c:pt>
                <c:pt idx="15">
                  <c:v>-968.83684744048969</c:v>
                </c:pt>
                <c:pt idx="16">
                  <c:v>-986.55726929464095</c:v>
                </c:pt>
                <c:pt idx="17">
                  <c:v>-1005.039907744291</c:v>
                </c:pt>
                <c:pt idx="18">
                  <c:v>-1024.2306203538155</c:v>
                </c:pt>
                <c:pt idx="19">
                  <c:v>-1044.0822621408029</c:v>
                </c:pt>
              </c:numCache>
            </c:numRef>
          </c:val>
        </c:ser>
        <c:ser>
          <c:idx val="6"/>
          <c:order val="6"/>
          <c:marker>
            <c:symbol val="none"/>
          </c:marker>
          <c:val>
            <c:numRef>
              <c:f>'[1]MLE for gamma'!$O$4:$O$23</c:f>
              <c:numCache>
                <c:formatCode>0.000</c:formatCode>
                <c:ptCount val="20"/>
                <c:pt idx="0">
                  <c:v>-948.91474381151238</c:v>
                </c:pt>
                <c:pt idx="1">
                  <c:v>-896.55345402308672</c:v>
                </c:pt>
                <c:pt idx="2">
                  <c:v>-873.02893239695948</c:v>
                </c:pt>
                <c:pt idx="3">
                  <c:v>-861.90239321847866</c:v>
                </c:pt>
                <c:pt idx="4">
                  <c:v>-857.9573550645523</c:v>
                </c:pt>
                <c:pt idx="5">
                  <c:v>-858.82976874309202</c:v>
                </c:pt>
                <c:pt idx="6">
                  <c:v>-863.23157186014112</c:v>
                </c:pt>
                <c:pt idx="7">
                  <c:v>-870.37504314413388</c:v>
                </c:pt>
                <c:pt idx="8">
                  <c:v>-879.73843085692636</c:v>
                </c:pt>
                <c:pt idx="9">
                  <c:v>-890.95530965901901</c:v>
                </c:pt>
                <c:pt idx="10">
                  <c:v>-903.75655312271203</c:v>
                </c:pt>
                <c:pt idx="11">
                  <c:v>-917.93739266797991</c:v>
                </c:pt>
                <c:pt idx="12">
                  <c:v>-933.33752142019182</c:v>
                </c:pt>
                <c:pt idx="13">
                  <c:v>-949.82846119705425</c:v>
                </c:pt>
                <c:pt idx="14">
                  <c:v>-967.30520396928284</c:v>
                </c:pt>
                <c:pt idx="15">
                  <c:v>-985.68048710005166</c:v>
                </c:pt>
                <c:pt idx="16">
                  <c:v>-1004.8807554805447</c:v>
                </c:pt>
                <c:pt idx="17">
                  <c:v>-1024.8432404565365</c:v>
                </c:pt>
                <c:pt idx="18">
                  <c:v>-1045.5137995924028</c:v>
                </c:pt>
                <c:pt idx="19">
                  <c:v>-1066.8452879057318</c:v>
                </c:pt>
              </c:numCache>
            </c:numRef>
          </c:val>
        </c:ser>
        <c:marker val="1"/>
        <c:axId val="170417536"/>
        <c:axId val="119538816"/>
      </c:lineChart>
      <c:catAx>
        <c:axId val="170417536"/>
        <c:scaling>
          <c:orientation val="minMax"/>
        </c:scaling>
        <c:axPos val="b"/>
        <c:numFmt formatCode="General" sourceLinked="1"/>
        <c:tickLblPos val="nextTo"/>
        <c:crossAx val="119538816"/>
        <c:crosses val="autoZero"/>
        <c:auto val="1"/>
        <c:lblAlgn val="ctr"/>
        <c:lblOffset val="100"/>
      </c:catAx>
      <c:valAx>
        <c:axId val="119538816"/>
        <c:scaling>
          <c:orientation val="minMax"/>
          <c:max val="-800"/>
        </c:scaling>
        <c:axPos val="l"/>
        <c:majorGridlines/>
        <c:numFmt formatCode="0.000" sourceLinked="1"/>
        <c:tickLblPos val="nextTo"/>
        <c:crossAx val="170417536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lineChart>
        <c:grouping val="standard"/>
        <c:ser>
          <c:idx val="1"/>
          <c:order val="0"/>
          <c:tx>
            <c:v>3000</c:v>
          </c:tx>
          <c:marker>
            <c:symbol val="none"/>
          </c:marker>
          <c:cat>
            <c:numRef>
              <c:f>'[1]MLE for gamma'!$R$4:$R$23</c:f>
              <c:numCache>
                <c:formatCode>General</c:formatCode>
                <c:ptCount val="20"/>
                <c:pt idx="0">
                  <c:v>0.5</c:v>
                </c:pt>
                <c:pt idx="1">
                  <c:v>0.52500000000000002</c:v>
                </c:pt>
                <c:pt idx="2">
                  <c:v>0.55000000000000004</c:v>
                </c:pt>
                <c:pt idx="3">
                  <c:v>0.57499999999999996</c:v>
                </c:pt>
                <c:pt idx="4">
                  <c:v>0.6</c:v>
                </c:pt>
                <c:pt idx="5">
                  <c:v>0.625</c:v>
                </c:pt>
                <c:pt idx="6">
                  <c:v>0.65</c:v>
                </c:pt>
                <c:pt idx="7">
                  <c:v>0.67500000000000004</c:v>
                </c:pt>
                <c:pt idx="8">
                  <c:v>0.7</c:v>
                </c:pt>
                <c:pt idx="9">
                  <c:v>0.72499999999999998</c:v>
                </c:pt>
                <c:pt idx="10">
                  <c:v>0.75</c:v>
                </c:pt>
                <c:pt idx="11">
                  <c:v>0.77500000000000002</c:v>
                </c:pt>
                <c:pt idx="12">
                  <c:v>0.8</c:v>
                </c:pt>
                <c:pt idx="13">
                  <c:v>0.82499999999999996</c:v>
                </c:pt>
                <c:pt idx="14">
                  <c:v>0.85</c:v>
                </c:pt>
                <c:pt idx="15">
                  <c:v>0.875</c:v>
                </c:pt>
                <c:pt idx="16">
                  <c:v>0.9</c:v>
                </c:pt>
                <c:pt idx="17">
                  <c:v>0.92500000000000004</c:v>
                </c:pt>
                <c:pt idx="18">
                  <c:v>0.95</c:v>
                </c:pt>
                <c:pt idx="19">
                  <c:v>0.97499999999999998</c:v>
                </c:pt>
              </c:numCache>
            </c:numRef>
          </c:cat>
          <c:val>
            <c:numRef>
              <c:f>'[1]MLE for gamma'!$T$4:$T$23</c:f>
              <c:numCache>
                <c:formatCode>0.000</c:formatCode>
                <c:ptCount val="20"/>
                <c:pt idx="0">
                  <c:v>-871.95829586120465</c:v>
                </c:pt>
                <c:pt idx="1">
                  <c:v>-869.75358967149953</c:v>
                </c:pt>
                <c:pt idx="2">
                  <c:v>-867.82169270957615</c:v>
                </c:pt>
                <c:pt idx="3">
                  <c:v>-866.14205519192012</c:v>
                </c:pt>
                <c:pt idx="4">
                  <c:v>-864.6966500800271</c:v>
                </c:pt>
                <c:pt idx="5">
                  <c:v>-863.46956586355429</c:v>
                </c:pt>
                <c:pt idx="6">
                  <c:v>-862.44667892816165</c:v>
                </c:pt>
                <c:pt idx="7">
                  <c:v>-861.61538749905242</c:v>
                </c:pt>
                <c:pt idx="8">
                  <c:v>-860.96439373735916</c:v>
                </c:pt>
                <c:pt idx="9">
                  <c:v>-860.48352386422687</c:v>
                </c:pt>
                <c:pt idx="10">
                  <c:v>-860.1635785901899</c:v>
                </c:pt>
                <c:pt idx="11">
                  <c:v>-859.9962078995909</c:v>
                </c:pt>
                <c:pt idx="12">
                  <c:v>-859.97380556163478</c:v>
                </c:pt>
                <c:pt idx="13">
                  <c:v>-860.0894197360393</c:v>
                </c:pt>
                <c:pt idx="14">
                  <c:v>-860.33667679961252</c:v>
                </c:pt>
                <c:pt idx="15">
                  <c:v>-860.70971610257618</c:v>
                </c:pt>
                <c:pt idx="16">
                  <c:v>-861.2031338147101</c:v>
                </c:pt>
                <c:pt idx="17">
                  <c:v>-861.81193437372292</c:v>
                </c:pt>
                <c:pt idx="18">
                  <c:v>-862.5314883254805</c:v>
                </c:pt>
                <c:pt idx="19">
                  <c:v>-863.3574955653504</c:v>
                </c:pt>
              </c:numCache>
            </c:numRef>
          </c:val>
        </c:ser>
        <c:ser>
          <c:idx val="2"/>
          <c:order val="1"/>
          <c:tx>
            <c:v>4000</c:v>
          </c:tx>
          <c:marker>
            <c:symbol val="none"/>
          </c:marker>
          <c:val>
            <c:numRef>
              <c:f>'[1]MLE for gamma'!$V$4:$V$23</c:f>
              <c:numCache>
                <c:formatCode>0.000</c:formatCode>
                <c:ptCount val="20"/>
                <c:pt idx="0">
                  <c:v>-861.8483686722235</c:v>
                </c:pt>
                <c:pt idx="1">
                  <c:v>-860.33409945640267</c:v>
                </c:pt>
                <c:pt idx="2">
                  <c:v>-859.09263946836359</c:v>
                </c:pt>
                <c:pt idx="3">
                  <c:v>-858.10343892459184</c:v>
                </c:pt>
                <c:pt idx="4">
                  <c:v>-857.34847078658299</c:v>
                </c:pt>
                <c:pt idx="5">
                  <c:v>-856.81182354399448</c:v>
                </c:pt>
                <c:pt idx="6">
                  <c:v>-856.47937358248612</c:v>
                </c:pt>
                <c:pt idx="7">
                  <c:v>-856.33851912726118</c:v>
                </c:pt>
                <c:pt idx="8">
                  <c:v>-856.3779623394521</c:v>
                </c:pt>
                <c:pt idx="9">
                  <c:v>-856.58752944020421</c:v>
                </c:pt>
                <c:pt idx="10">
                  <c:v>-856.95802114005153</c:v>
                </c:pt>
                <c:pt idx="11">
                  <c:v>-857.4810874233367</c:v>
                </c:pt>
                <c:pt idx="12">
                  <c:v>-858.14912205926487</c:v>
                </c:pt>
                <c:pt idx="13">
                  <c:v>-858.95517320755368</c:v>
                </c:pt>
                <c:pt idx="14">
                  <c:v>-859.89286724501119</c:v>
                </c:pt>
                <c:pt idx="15">
                  <c:v>-860.95634352185914</c:v>
                </c:pt>
                <c:pt idx="16">
                  <c:v>-862.14019820787735</c:v>
                </c:pt>
                <c:pt idx="17">
                  <c:v>-863.43943574077446</c:v>
                </c:pt>
                <c:pt idx="18">
                  <c:v>-864.84942666641632</c:v>
                </c:pt>
                <c:pt idx="19">
                  <c:v>-866.36587088017052</c:v>
                </c:pt>
              </c:numCache>
            </c:numRef>
          </c:val>
        </c:ser>
        <c:ser>
          <c:idx val="3"/>
          <c:order val="2"/>
          <c:tx>
            <c:v>5000</c:v>
          </c:tx>
          <c:marker>
            <c:symbol val="none"/>
          </c:marker>
          <c:val>
            <c:numRef>
              <c:f>'[1]MLE for gamma'!$X$4:$X$23</c:f>
              <c:numCache>
                <c:formatCode>0.000</c:formatCode>
                <c:ptCount val="20"/>
                <c:pt idx="0">
                  <c:v>-858.20805913530558</c:v>
                </c:pt>
                <c:pt idx="1">
                  <c:v>-857.2293344426389</c:v>
                </c:pt>
                <c:pt idx="2">
                  <c:v>-856.52341897775386</c:v>
                </c:pt>
                <c:pt idx="3">
                  <c:v>-856.06976295713616</c:v>
                </c:pt>
                <c:pt idx="4">
                  <c:v>-855.85033934228159</c:v>
                </c:pt>
                <c:pt idx="5">
                  <c:v>-855.84923662284723</c:v>
                </c:pt>
                <c:pt idx="6">
                  <c:v>-856.05233118449291</c:v>
                </c:pt>
                <c:pt idx="7">
                  <c:v>-856.44702125242213</c:v>
                </c:pt>
                <c:pt idx="8">
                  <c:v>-857.02200898776709</c:v>
                </c:pt>
                <c:pt idx="9">
                  <c:v>-857.76712061167325</c:v>
                </c:pt>
                <c:pt idx="10">
                  <c:v>-858.67315683467473</c:v>
                </c:pt>
                <c:pt idx="11">
                  <c:v>-859.73176764111406</c:v>
                </c:pt>
                <c:pt idx="12">
                  <c:v>-860.93534680019627</c:v>
                </c:pt>
                <c:pt idx="13">
                  <c:v>-862.27694247163925</c:v>
                </c:pt>
                <c:pt idx="14">
                  <c:v>-863.75018103225079</c:v>
                </c:pt>
                <c:pt idx="15">
                  <c:v>-865.3492018322529</c:v>
                </c:pt>
                <c:pt idx="16">
                  <c:v>-867.06860104142515</c:v>
                </c:pt>
                <c:pt idx="17">
                  <c:v>-868.90338309747642</c:v>
                </c:pt>
                <c:pt idx="18">
                  <c:v>-870.84891854627233</c:v>
                </c:pt>
                <c:pt idx="19">
                  <c:v>-872.90090728318069</c:v>
                </c:pt>
              </c:numCache>
            </c:numRef>
          </c:val>
        </c:ser>
        <c:ser>
          <c:idx val="4"/>
          <c:order val="3"/>
          <c:tx>
            <c:v>6000</c:v>
          </c:tx>
          <c:marker>
            <c:symbol val="none"/>
          </c:marker>
          <c:val>
            <c:numRef>
              <c:f>'[1]MLE for gamma'!$Z$4:$Z$23</c:f>
              <c:numCache>
                <c:formatCode>0.000</c:formatCode>
                <c:ptCount val="20"/>
                <c:pt idx="0">
                  <c:v>-857.39202719474861</c:v>
                </c:pt>
                <c:pt idx="1">
                  <c:v>-856.85087423838763</c:v>
                </c:pt>
                <c:pt idx="2">
                  <c:v>-856.58253050980807</c:v>
                </c:pt>
                <c:pt idx="3">
                  <c:v>-856.56644622549584</c:v>
                </c:pt>
                <c:pt idx="4">
                  <c:v>-856.78459434694651</c:v>
                </c:pt>
                <c:pt idx="5">
                  <c:v>-857.22106336381762</c:v>
                </c:pt>
                <c:pt idx="6">
                  <c:v>-857.861729661769</c:v>
                </c:pt>
                <c:pt idx="7">
                  <c:v>-858.69399146600358</c:v>
                </c:pt>
                <c:pt idx="8">
                  <c:v>-859.70655093765413</c:v>
                </c:pt>
                <c:pt idx="9">
                  <c:v>-860.88923429786564</c:v>
                </c:pt>
                <c:pt idx="10">
                  <c:v>-862.23284225717271</c:v>
                </c:pt>
                <c:pt idx="11">
                  <c:v>-863.7290247999174</c:v>
                </c:pt>
                <c:pt idx="12">
                  <c:v>-865.37017569530531</c:v>
                </c:pt>
                <c:pt idx="13">
                  <c:v>-867.14934310305352</c:v>
                </c:pt>
                <c:pt idx="14">
                  <c:v>-869.06015339997066</c:v>
                </c:pt>
                <c:pt idx="15">
                  <c:v>-871.09674593627824</c:v>
                </c:pt>
                <c:pt idx="16">
                  <c:v>-873.25371688175596</c:v>
                </c:pt>
                <c:pt idx="17">
                  <c:v>-875.52607067411282</c:v>
                </c:pt>
                <c:pt idx="18">
                  <c:v>-877.9091778592142</c:v>
                </c:pt>
                <c:pt idx="19">
                  <c:v>-880.39873833242791</c:v>
                </c:pt>
              </c:numCache>
            </c:numRef>
          </c:val>
        </c:ser>
        <c:marker val="1"/>
        <c:axId val="119556352"/>
        <c:axId val="119562240"/>
      </c:lineChart>
      <c:catAx>
        <c:axId val="119556352"/>
        <c:scaling>
          <c:orientation val="minMax"/>
        </c:scaling>
        <c:axPos val="b"/>
        <c:numFmt formatCode="General" sourceLinked="1"/>
        <c:tickLblPos val="nextTo"/>
        <c:crossAx val="119562240"/>
        <c:crosses val="autoZero"/>
        <c:auto val="1"/>
        <c:lblAlgn val="ctr"/>
        <c:lblOffset val="100"/>
      </c:catAx>
      <c:valAx>
        <c:axId val="119562240"/>
        <c:scaling>
          <c:orientation val="minMax"/>
        </c:scaling>
        <c:axPos val="l"/>
        <c:majorGridlines/>
        <c:numFmt formatCode="0.000" sourceLinked="1"/>
        <c:tickLblPos val="nextTo"/>
        <c:crossAx val="119556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16</xdr:row>
      <xdr:rowOff>85725</xdr:rowOff>
    </xdr:from>
    <xdr:to>
      <xdr:col>12</xdr:col>
      <xdr:colOff>114300</xdr:colOff>
      <xdr:row>34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6</xdr:row>
      <xdr:rowOff>38100</xdr:rowOff>
    </xdr:from>
    <xdr:to>
      <xdr:col>23</xdr:col>
      <xdr:colOff>380999</xdr:colOff>
      <xdr:row>45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3</xdr:row>
      <xdr:rowOff>123825</xdr:rowOff>
    </xdr:from>
    <xdr:to>
      <xdr:col>25</xdr:col>
      <xdr:colOff>285750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25</xdr:row>
      <xdr:rowOff>133350</xdr:rowOff>
    </xdr:from>
    <xdr:to>
      <xdr:col>23</xdr:col>
      <xdr:colOff>47625</xdr:colOff>
      <xdr:row>43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24</xdr:row>
      <xdr:rowOff>133350</xdr:rowOff>
    </xdr:from>
    <xdr:to>
      <xdr:col>23</xdr:col>
      <xdr:colOff>47625</xdr:colOff>
      <xdr:row>42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24</xdr:row>
      <xdr:rowOff>57149</xdr:rowOff>
    </xdr:from>
    <xdr:to>
      <xdr:col>15</xdr:col>
      <xdr:colOff>47624</xdr:colOff>
      <xdr:row>45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26</xdr:row>
      <xdr:rowOff>123825</xdr:rowOff>
    </xdr:from>
    <xdr:to>
      <xdr:col>7</xdr:col>
      <xdr:colOff>180975</xdr:colOff>
      <xdr:row>32</xdr:row>
      <xdr:rowOff>0</xdr:rowOff>
    </xdr:to>
    <xdr:sp macro="" textlink="">
      <xdr:nvSpPr>
        <xdr:cNvPr id="3" name="Rectangle 2"/>
        <xdr:cNvSpPr/>
      </xdr:nvSpPr>
      <xdr:spPr>
        <a:xfrm>
          <a:off x="2781300" y="5076825"/>
          <a:ext cx="2371725" cy="1019175"/>
        </a:xfrm>
        <a:prstGeom prst="rect">
          <a:avLst/>
        </a:prstGeom>
        <a:noFill/>
        <a:ln w="158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15</xdr:col>
      <xdr:colOff>590550</xdr:colOff>
      <xdr:row>24</xdr:row>
      <xdr:rowOff>57150</xdr:rowOff>
    </xdr:from>
    <xdr:to>
      <xdr:col>26</xdr:col>
      <xdr:colOff>542925</xdr:colOff>
      <xdr:row>45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ction%202.1-2.4%20-%20exponential%20and%20gamm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 data"/>
      <sheetName val="Distributions"/>
      <sheetName val="Exponential"/>
      <sheetName val="Gamma"/>
      <sheetName val="MLE for gamma"/>
    </sheetNames>
    <sheetDataSet>
      <sheetData sheetId="0">
        <row r="6">
          <cell r="D6">
            <v>287024</v>
          </cell>
        </row>
        <row r="8">
          <cell r="D8">
            <v>674.0619028406536</v>
          </cell>
        </row>
      </sheetData>
      <sheetData sheetId="1"/>
      <sheetData sheetId="2"/>
      <sheetData sheetId="3"/>
      <sheetData sheetId="4">
        <row r="4">
          <cell r="A4">
            <v>0.1</v>
          </cell>
          <cell r="C4">
            <v>-1176.2545778091528</v>
          </cell>
          <cell r="E4">
            <v>-1039.3967907425283</v>
          </cell>
          <cell r="G4">
            <v>-995.45192244703333</v>
          </cell>
          <cell r="I4">
            <v>-974.29500367590367</v>
          </cell>
          <cell r="K4">
            <v>-962.08598176852024</v>
          </cell>
          <cell r="M4">
            <v>-954.2688020470755</v>
          </cell>
          <cell r="O4">
            <v>-948.91474381151238</v>
          </cell>
          <cell r="R4">
            <v>0.5</v>
          </cell>
          <cell r="T4">
            <v>-871.95829586120465</v>
          </cell>
          <cell r="V4">
            <v>-861.8483686722235</v>
          </cell>
          <cell r="X4">
            <v>-858.20805913530558</v>
          </cell>
          <cell r="Z4">
            <v>-857.39202719474861</v>
          </cell>
        </row>
        <row r="5">
          <cell r="A5">
            <v>0.2</v>
          </cell>
          <cell r="C5">
            <v>-1105.2125505897961</v>
          </cell>
          <cell r="E5">
            <v>-975.00897645654709</v>
          </cell>
          <cell r="G5">
            <v>-934.95657319889051</v>
          </cell>
          <cell r="I5">
            <v>-916.56140232329801</v>
          </cell>
          <cell r="K5">
            <v>-906.49455850853087</v>
          </cell>
          <cell r="M5">
            <v>-900.42766573230801</v>
          </cell>
          <cell r="O5">
            <v>-896.55345402308672</v>
          </cell>
          <cell r="R5">
            <v>0.52500000000000002</v>
          </cell>
          <cell r="T5">
            <v>-869.75358967149953</v>
          </cell>
          <cell r="V5">
            <v>-860.33409945640267</v>
          </cell>
          <cell r="X5">
            <v>-857.2293344426389</v>
          </cell>
          <cell r="Z5">
            <v>-856.85087423838763</v>
          </cell>
        </row>
        <row r="6">
          <cell r="A6">
            <v>0.3</v>
          </cell>
          <cell r="C6">
            <v>-1063.0072915327378</v>
          </cell>
          <cell r="E6">
            <v>-939.45793033286418</v>
          </cell>
          <cell r="G6">
            <v>-903.29799211304601</v>
          </cell>
          <cell r="I6">
            <v>-887.66456913299066</v>
          </cell>
          <cell r="K6">
            <v>-879.73990341084004</v>
          </cell>
          <cell r="M6">
            <v>-875.42329757983907</v>
          </cell>
          <cell r="O6">
            <v>-873.02893239695948</v>
          </cell>
          <cell r="R6">
            <v>0.55000000000000004</v>
          </cell>
          <cell r="T6">
            <v>-867.82169270957615</v>
          </cell>
          <cell r="V6">
            <v>-859.09263946836359</v>
          </cell>
          <cell r="X6">
            <v>-856.52341897775386</v>
          </cell>
          <cell r="Z6">
            <v>-856.58253050980807</v>
          </cell>
        </row>
        <row r="7">
          <cell r="A7">
            <v>0.4</v>
          </cell>
          <cell r="C7">
            <v>-1033.2000149233261</v>
          </cell>
          <cell r="E7">
            <v>-916.30486665682793</v>
          </cell>
          <cell r="G7">
            <v>-884.03739347484816</v>
          </cell>
          <cell r="I7">
            <v>-871.16571839032986</v>
          </cell>
          <cell r="K7">
            <v>-865.38323076079564</v>
          </cell>
          <cell r="M7">
            <v>-862.81691187501679</v>
          </cell>
          <cell r="O7">
            <v>-861.90239321847866</v>
          </cell>
          <cell r="R7">
            <v>0.57499999999999996</v>
          </cell>
          <cell r="T7">
            <v>-866.14205519192012</v>
          </cell>
          <cell r="V7">
            <v>-858.10343892459184</v>
          </cell>
          <cell r="X7">
            <v>-856.06976295713616</v>
          </cell>
          <cell r="Z7">
            <v>-856.56644622549584</v>
          </cell>
        </row>
        <row r="8">
          <cell r="A8">
            <v>0.5</v>
          </cell>
          <cell r="C8">
            <v>-1010.5742393384687</v>
          </cell>
          <cell r="E8">
            <v>-900.33330400534601</v>
          </cell>
          <cell r="G8">
            <v>-871.95829586120465</v>
          </cell>
          <cell r="I8">
            <v>-861.8483686722235</v>
          </cell>
          <cell r="K8">
            <v>-858.20805913530558</v>
          </cell>
          <cell r="M8">
            <v>-857.39202719474861</v>
          </cell>
          <cell r="O8">
            <v>-857.9573550645523</v>
          </cell>
          <cell r="R8">
            <v>0.6</v>
          </cell>
          <cell r="T8">
            <v>-864.6966500800271</v>
          </cell>
          <cell r="V8">
            <v>-857.34847078658299</v>
          </cell>
          <cell r="X8">
            <v>-855.85033934228159</v>
          </cell>
          <cell r="Z8">
            <v>-856.78459434694651</v>
          </cell>
        </row>
        <row r="9">
          <cell r="A9">
            <v>0.6</v>
          </cell>
          <cell r="C9">
            <v>-992.76591558607731</v>
          </cell>
          <cell r="E9">
            <v>-889.17919318633017</v>
          </cell>
          <cell r="G9">
            <v>-864.6966500800271</v>
          </cell>
          <cell r="I9">
            <v>-857.34847078658299</v>
          </cell>
          <cell r="K9">
            <v>-855.85033934228159</v>
          </cell>
          <cell r="M9">
            <v>-856.78459434694651</v>
          </cell>
          <cell r="O9">
            <v>-858.82976874309202</v>
          </cell>
          <cell r="R9">
            <v>0.625</v>
          </cell>
          <cell r="T9">
            <v>-863.46956586355429</v>
          </cell>
          <cell r="V9">
            <v>-856.81182354399448</v>
          </cell>
          <cell r="X9">
            <v>-855.84923662284723</v>
          </cell>
          <cell r="Z9">
            <v>-857.22106336381762</v>
          </cell>
        </row>
        <row r="10">
          <cell r="A10">
            <v>0.7</v>
          </cell>
          <cell r="C10">
            <v>-978.48698127219552</v>
          </cell>
          <cell r="E10">
            <v>-881.55447180582382</v>
          </cell>
          <cell r="G10">
            <v>-860.96439373735916</v>
          </cell>
          <cell r="I10">
            <v>-856.3779623394521</v>
          </cell>
          <cell r="K10">
            <v>-857.02200898776709</v>
          </cell>
          <cell r="M10">
            <v>-859.70655093765413</v>
          </cell>
          <cell r="O10">
            <v>-863.23157186014112</v>
          </cell>
          <cell r="R10">
            <v>0.65</v>
          </cell>
          <cell r="T10">
            <v>-862.44667892816165</v>
          </cell>
          <cell r="V10">
            <v>-856.47937358248612</v>
          </cell>
          <cell r="X10">
            <v>-856.05233118449291</v>
          </cell>
          <cell r="Z10">
            <v>-857.861729661769</v>
          </cell>
        </row>
        <row r="11">
          <cell r="A11">
            <v>0.8</v>
          </cell>
          <cell r="C11">
            <v>-966.94971512525728</v>
          </cell>
          <cell r="E11">
            <v>-876.67141859226103</v>
          </cell>
          <cell r="G11">
            <v>-859.97380556163478</v>
          </cell>
          <cell r="I11">
            <v>-858.14912205926487</v>
          </cell>
          <cell r="K11">
            <v>-860.93534680019627</v>
          </cell>
          <cell r="M11">
            <v>-865.37017569530531</v>
          </cell>
          <cell r="O11">
            <v>-870.37504314413388</v>
          </cell>
          <cell r="R11">
            <v>0.67500000000000004</v>
          </cell>
          <cell r="T11">
            <v>-861.61538749905242</v>
          </cell>
          <cell r="V11">
            <v>-856.33851912726118</v>
          </cell>
          <cell r="X11">
            <v>-856.44702125242213</v>
          </cell>
          <cell r="Z11">
            <v>-858.69399146600358</v>
          </cell>
        </row>
        <row r="12">
          <cell r="A12">
            <v>0.9</v>
          </cell>
          <cell r="C12">
            <v>-957.63236540711875</v>
          </cell>
          <cell r="E12">
            <v>-874.00828180749795</v>
          </cell>
          <cell r="G12">
            <v>-861.2031338147101</v>
          </cell>
          <cell r="I12">
            <v>-862.14019820787735</v>
          </cell>
          <cell r="K12">
            <v>-867.06860104142515</v>
          </cell>
          <cell r="M12">
            <v>-873.25371688175596</v>
          </cell>
          <cell r="O12">
            <v>-879.73843085692636</v>
          </cell>
          <cell r="R12">
            <v>0.7</v>
          </cell>
          <cell r="T12">
            <v>-860.96439373735916</v>
          </cell>
          <cell r="V12">
            <v>-856.3779623394521</v>
          </cell>
          <cell r="X12">
            <v>-857.02200898776709</v>
          </cell>
          <cell r="Z12">
            <v>-859.70655093765413</v>
          </cell>
        </row>
        <row r="13">
          <cell r="A13">
            <v>1</v>
          </cell>
          <cell r="C13">
            <v>-950.1685067782804</v>
          </cell>
          <cell r="E13">
            <v>-873.19863611203505</v>
          </cell>
          <cell r="G13">
            <v>-864.2859531570856</v>
          </cell>
          <cell r="I13">
            <v>-867.98476544578989</v>
          </cell>
          <cell r="K13">
            <v>-875.0553463719541</v>
          </cell>
          <cell r="M13">
            <v>-882.99074915750703</v>
          </cell>
          <cell r="O13">
            <v>-890.95530965901901</v>
          </cell>
          <cell r="R13">
            <v>0.72499999999999998</v>
          </cell>
          <cell r="T13">
            <v>-860.48352386422687</v>
          </cell>
          <cell r="V13">
            <v>-856.58752944020421</v>
          </cell>
          <cell r="X13">
            <v>-857.76712061167325</v>
          </cell>
          <cell r="Z13">
            <v>-860.88923429786564</v>
          </cell>
        </row>
        <row r="14">
          <cell r="A14">
            <v>1.1000000000000001</v>
          </cell>
          <cell r="C14">
            <v>-944.28901281104243</v>
          </cell>
          <cell r="E14">
            <v>-873.97335507817252</v>
          </cell>
          <cell r="G14">
            <v>-868.95313716106136</v>
          </cell>
          <cell r="I14">
            <v>-875.41369734530292</v>
          </cell>
          <cell r="K14">
            <v>-884.62645636408342</v>
          </cell>
          <cell r="M14">
            <v>-894.31214609485824</v>
          </cell>
          <cell r="O14">
            <v>-903.75655312271203</v>
          </cell>
          <cell r="R14">
            <v>0.75</v>
          </cell>
          <cell r="T14">
            <v>-860.1635785901899</v>
          </cell>
          <cell r="V14">
            <v>-856.95802114005153</v>
          </cell>
          <cell r="X14">
            <v>-858.67315683467473</v>
          </cell>
          <cell r="Z14">
            <v>-862.23284225717271</v>
          </cell>
        </row>
        <row r="15">
          <cell r="A15">
            <v>1.2</v>
          </cell>
          <cell r="C15">
            <v>-939.78911492537907</v>
          </cell>
          <cell r="E15">
            <v>-876.12767012588483</v>
          </cell>
          <cell r="G15">
            <v>-874.99991724661197</v>
          </cell>
          <cell r="I15">
            <v>-884.22222532639046</v>
          </cell>
          <cell r="K15">
            <v>-895.57716243778759</v>
          </cell>
          <cell r="M15">
            <v>-907.01313911378429</v>
          </cell>
          <cell r="O15">
            <v>-917.93739266797991</v>
          </cell>
          <cell r="R15">
            <v>0.77500000000000002</v>
          </cell>
          <cell r="T15">
            <v>-859.9962078995909</v>
          </cell>
          <cell r="V15">
            <v>-857.4810874233367</v>
          </cell>
          <cell r="X15">
            <v>-859.73176764111406</v>
          </cell>
          <cell r="Z15">
            <v>-863.7290247999174</v>
          </cell>
        </row>
        <row r="16">
          <cell r="A16">
            <v>1.3</v>
          </cell>
          <cell r="C16">
            <v>-936.50850624666009</v>
          </cell>
          <cell r="E16">
            <v>-879.50127438054119</v>
          </cell>
          <cell r="G16">
            <v>-882.26598653910673</v>
          </cell>
          <cell r="I16">
            <v>-894.25004251442249</v>
          </cell>
          <cell r="K16">
            <v>-907.74715771843603</v>
          </cell>
          <cell r="M16">
            <v>-920.93342133965484</v>
          </cell>
          <cell r="O16">
            <v>-933.33752142019182</v>
          </cell>
          <cell r="R16">
            <v>0.8</v>
          </cell>
          <cell r="T16">
            <v>-859.97380556163478</v>
          </cell>
          <cell r="V16">
            <v>-858.14912205926487</v>
          </cell>
          <cell r="X16">
            <v>-860.93534680019627</v>
          </cell>
          <cell r="Z16">
            <v>-865.37017569530531</v>
          </cell>
        </row>
        <row r="17">
          <cell r="A17">
            <v>1.4</v>
          </cell>
          <cell r="C17">
            <v>-934.31870859259163</v>
          </cell>
          <cell r="E17">
            <v>-883.96568965984829</v>
          </cell>
          <cell r="G17">
            <v>-890.62286685625224</v>
          </cell>
          <cell r="I17">
            <v>-905.36867072710481</v>
          </cell>
          <cell r="K17">
            <v>-921.00796402373476</v>
          </cell>
          <cell r="M17">
            <v>-935.94451459017546</v>
          </cell>
          <cell r="O17">
            <v>-949.82846119705425</v>
          </cell>
          <cell r="R17">
            <v>0.82499999999999996</v>
          </cell>
          <cell r="T17">
            <v>-860.0894197360393</v>
          </cell>
          <cell r="V17">
            <v>-858.95517320755368</v>
          </cell>
          <cell r="X17">
            <v>-862.27694247163925</v>
          </cell>
          <cell r="Z17">
            <v>-867.14934310305352</v>
          </cell>
        </row>
        <row r="18">
          <cell r="A18">
            <v>1.5</v>
          </cell>
          <cell r="C18">
            <v>-933.11471393388922</v>
          </cell>
          <cell r="E18">
            <v>-889.41590793452133</v>
          </cell>
          <cell r="G18">
            <v>-899.96555016876357</v>
          </cell>
          <cell r="I18">
            <v>-917.47310193515352</v>
          </cell>
          <cell r="K18">
            <v>-935.25457332439987</v>
          </cell>
          <cell r="M18">
            <v>-951.94141083606246</v>
          </cell>
          <cell r="O18">
            <v>-967.30520396928284</v>
          </cell>
          <cell r="R18">
            <v>0.85</v>
          </cell>
          <cell r="T18">
            <v>-860.33667679961252</v>
          </cell>
          <cell r="V18">
            <v>-859.89286724501119</v>
          </cell>
          <cell r="X18">
            <v>-863.75018103225079</v>
          </cell>
          <cell r="Z18">
            <v>-869.06015339997066</v>
          </cell>
        </row>
        <row r="19">
          <cell r="A19">
            <v>1.6</v>
          </cell>
          <cell r="C19">
            <v>-932.80925963372704</v>
          </cell>
          <cell r="E19">
            <v>-895.76466656773459</v>
          </cell>
          <cell r="G19">
            <v>-910.20677383981536</v>
          </cell>
          <cell r="I19">
            <v>-930.47607350174223</v>
          </cell>
          <cell r="K19">
            <v>-950.39972298360499</v>
          </cell>
          <cell r="M19">
            <v>-968.83684744048969</v>
          </cell>
          <cell r="O19">
            <v>-985.68048710005166</v>
          </cell>
          <cell r="R19">
            <v>0.875</v>
          </cell>
          <cell r="T19">
            <v>-860.70971610257618</v>
          </cell>
          <cell r="V19">
            <v>-860.95634352185914</v>
          </cell>
          <cell r="X19">
            <v>-865.3492018322529</v>
          </cell>
          <cell r="Z19">
            <v>-871.09674593627824</v>
          </cell>
        </row>
        <row r="20">
          <cell r="A20">
            <v>1.7</v>
          </cell>
          <cell r="C20">
            <v>-933.32879058328911</v>
          </cell>
          <cell r="E20">
            <v>-902.93841045067211</v>
          </cell>
          <cell r="G20">
            <v>-921.27298276059116</v>
          </cell>
          <cell r="I20">
            <v>-944.3040303180552</v>
          </cell>
          <cell r="K20">
            <v>-966.36985789253436</v>
          </cell>
          <cell r="M20">
            <v>-986.55726929464095</v>
          </cell>
          <cell r="O20">
            <v>-1004.8807554805447</v>
          </cell>
          <cell r="R20">
            <v>0.9</v>
          </cell>
          <cell r="T20">
            <v>-861.2031338147101</v>
          </cell>
          <cell r="V20">
            <v>-862.14019820787735</v>
          </cell>
          <cell r="X20">
            <v>-867.06860104142515</v>
          </cell>
          <cell r="Z20">
            <v>-873.25371688175596</v>
          </cell>
        </row>
        <row r="21">
          <cell r="A21">
            <v>1.8</v>
          </cell>
          <cell r="C21">
            <v>-934.61053812834973</v>
          </cell>
          <cell r="E21">
            <v>-910.87437092910818</v>
          </cell>
          <cell r="G21">
            <v>-933.10140827686575</v>
          </cell>
          <cell r="I21">
            <v>-958.89420372986694</v>
          </cell>
          <cell r="K21">
            <v>-983.10220939696251</v>
          </cell>
          <cell r="M21">
            <v>-1005.039907744291</v>
          </cell>
          <cell r="O21">
            <v>-1024.8432404565365</v>
          </cell>
          <cell r="R21">
            <v>0.92500000000000004</v>
          </cell>
          <cell r="T21">
            <v>-861.81193437372292</v>
          </cell>
          <cell r="V21">
            <v>-863.43943574077446</v>
          </cell>
          <cell r="X21">
            <v>-868.90338309747642</v>
          </cell>
          <cell r="Z21">
            <v>-875.52607067411282</v>
          </cell>
        </row>
        <row r="22">
          <cell r="A22">
            <v>1.9</v>
          </cell>
          <cell r="C22">
            <v>-936.60035983328521</v>
          </cell>
          <cell r="E22">
            <v>-919.51840556741922</v>
          </cell>
          <cell r="G22">
            <v>-945.63790795301497</v>
          </cell>
          <cell r="I22">
            <v>-974.19245130155332</v>
          </cell>
          <cell r="K22">
            <v>-1000.5426350612653</v>
          </cell>
          <cell r="M22">
            <v>-1024.2306203538155</v>
          </cell>
          <cell r="O22">
            <v>-1045.5137995924028</v>
          </cell>
          <cell r="R22">
            <v>0.95</v>
          </cell>
          <cell r="T22">
            <v>-862.5314883254805</v>
          </cell>
          <cell r="V22">
            <v>-864.84942666641632</v>
          </cell>
          <cell r="X22">
            <v>-870.84891854627233</v>
          </cell>
          <cell r="Z22">
            <v>-877.9091778592142</v>
          </cell>
        </row>
        <row r="23">
          <cell r="A23">
            <v>2</v>
          </cell>
          <cell r="C23">
            <v>-939.25111071568301</v>
          </cell>
          <cell r="E23">
            <v>-928.82336938319236</v>
          </cell>
          <cell r="G23">
            <v>-958.83533680662674</v>
          </cell>
          <cell r="I23">
            <v>-990.15162805070202</v>
          </cell>
          <cell r="K23">
            <v>-1018.6439899030304</v>
          </cell>
          <cell r="M23">
            <v>-1044.0822621408029</v>
          </cell>
          <cell r="O23">
            <v>-1066.8452879057318</v>
          </cell>
          <cell r="R23">
            <v>0.97499999999999998</v>
          </cell>
          <cell r="T23">
            <v>-863.3574955653504</v>
          </cell>
          <cell r="V23">
            <v>-866.36587088017052</v>
          </cell>
          <cell r="X23">
            <v>-872.90090728318069</v>
          </cell>
          <cell r="Z23">
            <v>-880.39873833242791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workbookViewId="0">
      <selection activeCell="N13" sqref="N13"/>
    </sheetView>
  </sheetViews>
  <sheetFormatPr defaultRowHeight="15"/>
  <cols>
    <col min="3" max="3" width="17.85546875" bestFit="1" customWidth="1"/>
    <col min="4" max="4" width="14.28515625" bestFit="1" customWidth="1"/>
  </cols>
  <sheetData>
    <row r="1" spans="1:26">
      <c r="A1" t="s">
        <v>14</v>
      </c>
      <c r="I1" t="s">
        <v>74</v>
      </c>
      <c r="Y1" t="s">
        <v>38</v>
      </c>
      <c r="Z1" t="s">
        <v>63</v>
      </c>
    </row>
    <row r="2" spans="1:26">
      <c r="A2">
        <v>24</v>
      </c>
      <c r="C2" t="s">
        <v>11</v>
      </c>
      <c r="D2" s="3">
        <f>AVERAGE(A2:A97)</f>
        <v>2989.8333333333335</v>
      </c>
      <c r="G2" t="s">
        <v>15</v>
      </c>
      <c r="Y2">
        <f>LN(A2)</f>
        <v>3.1780538303479458</v>
      </c>
      <c r="Z2">
        <f>Y2^2</f>
        <v>10.100026148589249</v>
      </c>
    </row>
    <row r="3" spans="1:26">
      <c r="A3">
        <v>26</v>
      </c>
      <c r="C3" t="s">
        <v>12</v>
      </c>
      <c r="D3" s="3">
        <f>STDEV(A2:A97)</f>
        <v>6856.1095822272828</v>
      </c>
      <c r="G3">
        <v>0</v>
      </c>
      <c r="H3">
        <v>1000</v>
      </c>
      <c r="I3" s="18">
        <f t="array" ref="I3:I13">FREQUENCY(A$2:A$97,H$3:H$13)</f>
        <v>43</v>
      </c>
      <c r="K3" s="5" t="s">
        <v>16</v>
      </c>
      <c r="L3" s="2">
        <f t="shared" ref="L3:L13" si="0">I3/96</f>
        <v>0.44791666666666669</v>
      </c>
      <c r="Y3">
        <f t="shared" ref="Y3:Y66" si="1">LN(A3)</f>
        <v>3.2580965380214821</v>
      </c>
      <c r="Z3">
        <f t="shared" ref="Z3:Z66" si="2">Y3^2</f>
        <v>10.615193051067568</v>
      </c>
    </row>
    <row r="4" spans="1:26">
      <c r="A4">
        <v>73</v>
      </c>
      <c r="C4" t="s">
        <v>13</v>
      </c>
      <c r="D4" s="3">
        <f>MEDIAN(A2:A97)</f>
        <v>1233.5</v>
      </c>
      <c r="G4">
        <v>1000</v>
      </c>
      <c r="H4">
        <v>2000</v>
      </c>
      <c r="I4" s="18">
        <v>20</v>
      </c>
      <c r="K4" s="5" t="s">
        <v>17</v>
      </c>
      <c r="L4" s="2">
        <f t="shared" si="0"/>
        <v>0.20833333333333334</v>
      </c>
      <c r="Y4">
        <f t="shared" si="1"/>
        <v>4.290459441148391</v>
      </c>
      <c r="Z4">
        <f t="shared" si="2"/>
        <v>18.408042216139364</v>
      </c>
    </row>
    <row r="5" spans="1:26">
      <c r="A5">
        <v>84</v>
      </c>
      <c r="G5">
        <v>2000</v>
      </c>
      <c r="H5">
        <v>3000</v>
      </c>
      <c r="I5" s="18">
        <v>11</v>
      </c>
      <c r="K5" s="5" t="s">
        <v>18</v>
      </c>
      <c r="L5" s="2">
        <f t="shared" si="0"/>
        <v>0.11458333333333333</v>
      </c>
      <c r="Y5">
        <f t="shared" si="1"/>
        <v>4.4308167988433134</v>
      </c>
      <c r="Z5">
        <f t="shared" si="2"/>
        <v>19.632137504912105</v>
      </c>
    </row>
    <row r="6" spans="1:26">
      <c r="A6">
        <v>102</v>
      </c>
      <c r="C6" t="s">
        <v>39</v>
      </c>
      <c r="D6" s="12">
        <f>D2*96</f>
        <v>287024</v>
      </c>
      <c r="G6">
        <v>3000</v>
      </c>
      <c r="H6">
        <v>4000</v>
      </c>
      <c r="I6" s="18">
        <v>7</v>
      </c>
      <c r="K6" s="5" t="s">
        <v>19</v>
      </c>
      <c r="L6" s="2">
        <f t="shared" si="0"/>
        <v>7.2916666666666671E-2</v>
      </c>
      <c r="Y6">
        <f t="shared" si="1"/>
        <v>4.6249728132842707</v>
      </c>
      <c r="Z6">
        <f t="shared" si="2"/>
        <v>21.390373523618621</v>
      </c>
    </row>
    <row r="7" spans="1:26">
      <c r="A7">
        <v>115</v>
      </c>
      <c r="C7" t="s">
        <v>32</v>
      </c>
      <c r="D7" s="12">
        <f>SUMSQ(A2:A97)/96</f>
        <v>55455693.645833336</v>
      </c>
      <c r="G7">
        <v>4000</v>
      </c>
      <c r="H7">
        <v>5000</v>
      </c>
      <c r="I7" s="18">
        <v>2</v>
      </c>
      <c r="K7" s="5" t="s">
        <v>20</v>
      </c>
      <c r="L7" s="2">
        <f t="shared" si="0"/>
        <v>2.0833333333333332E-2</v>
      </c>
      <c r="Y7">
        <f t="shared" si="1"/>
        <v>4.7449321283632502</v>
      </c>
      <c r="Z7">
        <f t="shared" si="2"/>
        <v>22.514380902773802</v>
      </c>
    </row>
    <row r="8" spans="1:26">
      <c r="A8">
        <v>132</v>
      </c>
      <c r="C8" t="s">
        <v>37</v>
      </c>
      <c r="D8" s="12">
        <f>SUM(Y2:Y97)</f>
        <v>674.0619028406536</v>
      </c>
      <c r="G8">
        <v>5000</v>
      </c>
      <c r="H8">
        <v>6000</v>
      </c>
      <c r="I8" s="18">
        <v>3</v>
      </c>
      <c r="K8" s="5" t="s">
        <v>21</v>
      </c>
      <c r="L8" s="2">
        <f t="shared" si="0"/>
        <v>3.125E-2</v>
      </c>
      <c r="Y8">
        <f t="shared" si="1"/>
        <v>4.8828019225863706</v>
      </c>
      <c r="Z8">
        <f t="shared" si="2"/>
        <v>23.841754615213159</v>
      </c>
    </row>
    <row r="9" spans="1:26">
      <c r="A9">
        <v>159</v>
      </c>
      <c r="C9" t="s">
        <v>64</v>
      </c>
      <c r="D9" s="6">
        <f>SUM(Z2:Z97)</f>
        <v>4920.7389301708199</v>
      </c>
      <c r="G9">
        <v>6000</v>
      </c>
      <c r="H9">
        <v>7000</v>
      </c>
      <c r="I9" s="18">
        <v>1</v>
      </c>
      <c r="K9" s="5" t="s">
        <v>22</v>
      </c>
      <c r="L9" s="2">
        <f t="shared" si="0"/>
        <v>1.0416666666666666E-2</v>
      </c>
      <c r="Y9">
        <f t="shared" si="1"/>
        <v>5.0689042022202315</v>
      </c>
      <c r="Z9">
        <f t="shared" si="2"/>
        <v>25.693789811285921</v>
      </c>
    </row>
    <row r="10" spans="1:26">
      <c r="A10">
        <v>207</v>
      </c>
      <c r="D10" s="14"/>
      <c r="G10">
        <v>7000</v>
      </c>
      <c r="H10">
        <v>8000</v>
      </c>
      <c r="I10" s="18">
        <v>3</v>
      </c>
      <c r="K10" s="5" t="s">
        <v>23</v>
      </c>
      <c r="L10" s="2">
        <f t="shared" si="0"/>
        <v>3.125E-2</v>
      </c>
      <c r="Y10">
        <f t="shared" si="1"/>
        <v>5.3327187932653688</v>
      </c>
      <c r="Z10">
        <f t="shared" si="2"/>
        <v>28.437889728045651</v>
      </c>
    </row>
    <row r="11" spans="1:26">
      <c r="A11">
        <v>240</v>
      </c>
      <c r="C11" t="s">
        <v>31</v>
      </c>
      <c r="D11" s="11">
        <v>0.25</v>
      </c>
      <c r="E11" s="11">
        <v>0.75</v>
      </c>
      <c r="G11">
        <v>8000</v>
      </c>
      <c r="H11">
        <v>9000</v>
      </c>
      <c r="I11" s="18">
        <v>1</v>
      </c>
      <c r="K11" s="5" t="s">
        <v>24</v>
      </c>
      <c r="L11" s="2">
        <f t="shared" si="0"/>
        <v>1.0416666666666666E-2</v>
      </c>
      <c r="Y11">
        <f t="shared" si="1"/>
        <v>5.4806389233419912</v>
      </c>
      <c r="Z11">
        <f t="shared" si="2"/>
        <v>30.03740300805126</v>
      </c>
    </row>
    <row r="12" spans="1:26">
      <c r="A12">
        <v>241</v>
      </c>
      <c r="C12" t="s">
        <v>68</v>
      </c>
      <c r="D12" s="13">
        <f>'X data'!A25+0.25*('X data'!A26-'X data'!A25)</f>
        <v>401</v>
      </c>
      <c r="E12" s="13">
        <f>'X data'!A73+0.75*('X data'!A74-'X data'!A73)</f>
        <v>2836.75</v>
      </c>
      <c r="G12">
        <v>9000</v>
      </c>
      <c r="H12">
        <v>10000</v>
      </c>
      <c r="I12" s="18">
        <v>1</v>
      </c>
      <c r="K12" s="5" t="s">
        <v>25</v>
      </c>
      <c r="L12" s="2">
        <f t="shared" si="0"/>
        <v>1.0416666666666666E-2</v>
      </c>
      <c r="Y12">
        <f t="shared" si="1"/>
        <v>5.4847969334906548</v>
      </c>
      <c r="Z12">
        <f t="shared" si="2"/>
        <v>30.082997401628489</v>
      </c>
    </row>
    <row r="13" spans="1:26">
      <c r="A13">
        <v>254</v>
      </c>
      <c r="G13">
        <v>10000</v>
      </c>
      <c r="I13" s="18">
        <v>4</v>
      </c>
      <c r="K13" s="5" t="s">
        <v>26</v>
      </c>
      <c r="L13" s="2">
        <f t="shared" si="0"/>
        <v>4.1666666666666664E-2</v>
      </c>
      <c r="Y13">
        <f t="shared" si="1"/>
        <v>5.5373342670185366</v>
      </c>
      <c r="Z13">
        <f t="shared" si="2"/>
        <v>30.662070784697715</v>
      </c>
    </row>
    <row r="14" spans="1:26">
      <c r="A14">
        <v>268</v>
      </c>
      <c r="Y14">
        <f t="shared" si="1"/>
        <v>5.5909869805108565</v>
      </c>
      <c r="Z14">
        <f t="shared" si="2"/>
        <v>31.259135416241904</v>
      </c>
    </row>
    <row r="15" spans="1:26">
      <c r="A15">
        <v>272</v>
      </c>
      <c r="Y15">
        <f t="shared" si="1"/>
        <v>5.6058020662959978</v>
      </c>
      <c r="Z15">
        <f t="shared" si="2"/>
        <v>31.425016806488479</v>
      </c>
    </row>
    <row r="16" spans="1:26">
      <c r="A16">
        <v>282</v>
      </c>
      <c r="Y16">
        <f t="shared" si="1"/>
        <v>5.6419070709381138</v>
      </c>
      <c r="Z16">
        <f t="shared" si="2"/>
        <v>31.831115397101488</v>
      </c>
    </row>
    <row r="17" spans="1:26">
      <c r="A17">
        <v>300</v>
      </c>
      <c r="Y17">
        <f t="shared" si="1"/>
        <v>5.7037824746562009</v>
      </c>
      <c r="Z17">
        <f t="shared" si="2"/>
        <v>32.533134518195219</v>
      </c>
    </row>
    <row r="18" spans="1:26">
      <c r="A18">
        <v>302</v>
      </c>
      <c r="Y18">
        <f t="shared" si="1"/>
        <v>5.7104270173748697</v>
      </c>
      <c r="Z18">
        <f t="shared" si="2"/>
        <v>32.608976720764851</v>
      </c>
    </row>
    <row r="19" spans="1:26">
      <c r="A19">
        <v>329</v>
      </c>
      <c r="Y19">
        <f t="shared" si="1"/>
        <v>5.7960577507653719</v>
      </c>
      <c r="Z19">
        <f t="shared" si="2"/>
        <v>33.594285450207344</v>
      </c>
    </row>
    <row r="20" spans="1:26">
      <c r="A20">
        <v>346</v>
      </c>
      <c r="Y20">
        <f t="shared" si="1"/>
        <v>5.8464387750577247</v>
      </c>
      <c r="Z20">
        <f t="shared" si="2"/>
        <v>34.18084635049847</v>
      </c>
    </row>
    <row r="21" spans="1:26">
      <c r="A21">
        <v>359</v>
      </c>
      <c r="Y21">
        <f t="shared" si="1"/>
        <v>5.8833223884882786</v>
      </c>
      <c r="Z21">
        <f t="shared" si="2"/>
        <v>34.613482326887421</v>
      </c>
    </row>
    <row r="22" spans="1:26">
      <c r="A22">
        <v>367</v>
      </c>
      <c r="Y22">
        <f t="shared" si="1"/>
        <v>5.9053618480545707</v>
      </c>
      <c r="Z22">
        <f t="shared" si="2"/>
        <v>34.873298556458494</v>
      </c>
    </row>
    <row r="23" spans="1:26">
      <c r="A23">
        <v>375</v>
      </c>
      <c r="Y23">
        <f t="shared" si="1"/>
        <v>5.9269260259704106</v>
      </c>
      <c r="Z23">
        <f t="shared" si="2"/>
        <v>35.128452117325402</v>
      </c>
    </row>
    <row r="24" spans="1:26">
      <c r="A24">
        <v>378</v>
      </c>
      <c r="Y24">
        <f t="shared" si="1"/>
        <v>5.934894195619588</v>
      </c>
      <c r="Z24">
        <f t="shared" si="2"/>
        <v>35.222969113199078</v>
      </c>
    </row>
    <row r="25" spans="1:26">
      <c r="A25">
        <v>384</v>
      </c>
      <c r="Y25">
        <f t="shared" si="1"/>
        <v>5.9506425525877269</v>
      </c>
      <c r="Z25">
        <f t="shared" si="2"/>
        <v>35.410146788667781</v>
      </c>
    </row>
    <row r="26" spans="1:26">
      <c r="A26">
        <v>452</v>
      </c>
      <c r="Y26">
        <f t="shared" si="1"/>
        <v>6.1136821798322316</v>
      </c>
      <c r="Z26">
        <f t="shared" si="2"/>
        <v>37.377109795998187</v>
      </c>
    </row>
    <row r="27" spans="1:26">
      <c r="A27">
        <v>475</v>
      </c>
      <c r="Y27">
        <f t="shared" si="1"/>
        <v>6.1633148040346413</v>
      </c>
      <c r="Z27">
        <f t="shared" si="2"/>
        <v>37.986449373632567</v>
      </c>
    </row>
    <row r="28" spans="1:26">
      <c r="A28">
        <v>495</v>
      </c>
      <c r="Y28">
        <f t="shared" si="1"/>
        <v>6.2045577625686903</v>
      </c>
      <c r="Z28">
        <f t="shared" si="2"/>
        <v>38.496537029051389</v>
      </c>
    </row>
    <row r="29" spans="1:26">
      <c r="A29">
        <v>503</v>
      </c>
      <c r="N29" s="2"/>
      <c r="Y29">
        <f t="shared" si="1"/>
        <v>6.2205901700997392</v>
      </c>
      <c r="Z29">
        <f t="shared" si="2"/>
        <v>38.695742064341502</v>
      </c>
    </row>
    <row r="30" spans="1:26">
      <c r="A30">
        <v>531</v>
      </c>
      <c r="Y30">
        <f t="shared" si="1"/>
        <v>6.2747620212419388</v>
      </c>
      <c r="Z30">
        <f t="shared" si="2"/>
        <v>39.372638423220224</v>
      </c>
    </row>
    <row r="31" spans="1:26">
      <c r="A31">
        <v>543</v>
      </c>
      <c r="N31" s="2"/>
      <c r="Y31">
        <f t="shared" si="1"/>
        <v>6.2971093199339352</v>
      </c>
      <c r="Z31">
        <f t="shared" si="2"/>
        <v>39.653585787198828</v>
      </c>
    </row>
    <row r="32" spans="1:26">
      <c r="A32">
        <v>563</v>
      </c>
      <c r="Y32">
        <f t="shared" si="1"/>
        <v>6.3332796281396906</v>
      </c>
      <c r="Z32">
        <f t="shared" si="2"/>
        <v>40.110430848209219</v>
      </c>
    </row>
    <row r="33" spans="1:26">
      <c r="A33">
        <v>594</v>
      </c>
      <c r="N33" s="3"/>
      <c r="Y33">
        <f t="shared" si="1"/>
        <v>6.3868793193626452</v>
      </c>
      <c r="Z33">
        <f t="shared" si="2"/>
        <v>40.792227440102245</v>
      </c>
    </row>
    <row r="34" spans="1:26">
      <c r="A34">
        <v>609</v>
      </c>
      <c r="Y34">
        <f t="shared" si="1"/>
        <v>6.4118182677098972</v>
      </c>
      <c r="Z34">
        <f t="shared" si="2"/>
        <v>41.111413498138347</v>
      </c>
    </row>
    <row r="35" spans="1:26">
      <c r="A35">
        <v>671</v>
      </c>
      <c r="Y35">
        <f t="shared" si="1"/>
        <v>6.508769136971682</v>
      </c>
      <c r="Z35">
        <f t="shared" si="2"/>
        <v>42.364075678395096</v>
      </c>
    </row>
    <row r="36" spans="1:26">
      <c r="A36">
        <v>687</v>
      </c>
      <c r="Y36">
        <f t="shared" si="1"/>
        <v>6.5323342922223491</v>
      </c>
      <c r="Z36">
        <f t="shared" si="2"/>
        <v>42.671391305344059</v>
      </c>
    </row>
    <row r="37" spans="1:26">
      <c r="A37">
        <v>691</v>
      </c>
      <c r="Y37">
        <f t="shared" si="1"/>
        <v>6.5381398237676702</v>
      </c>
      <c r="Z37">
        <f t="shared" si="2"/>
        <v>42.747272355136744</v>
      </c>
    </row>
    <row r="38" spans="1:26">
      <c r="A38">
        <v>716</v>
      </c>
      <c r="Y38">
        <f t="shared" si="1"/>
        <v>6.5736801669606457</v>
      </c>
      <c r="Z38">
        <f t="shared" si="2"/>
        <v>43.213270937491743</v>
      </c>
    </row>
    <row r="39" spans="1:26">
      <c r="A39">
        <v>757</v>
      </c>
      <c r="Y39">
        <f t="shared" si="1"/>
        <v>6.6293632534374485</v>
      </c>
      <c r="Z39">
        <f t="shared" si="2"/>
        <v>43.948457146026755</v>
      </c>
    </row>
    <row r="40" spans="1:26">
      <c r="A40">
        <v>821</v>
      </c>
      <c r="Y40">
        <f t="shared" si="1"/>
        <v>6.7105231094524278</v>
      </c>
      <c r="Z40">
        <f t="shared" si="2"/>
        <v>45.031120402495077</v>
      </c>
    </row>
    <row r="41" spans="1:26">
      <c r="A41">
        <v>829</v>
      </c>
      <c r="Y41">
        <f t="shared" si="1"/>
        <v>6.7202201551352951</v>
      </c>
      <c r="Z41">
        <f t="shared" si="2"/>
        <v>45.161358933486653</v>
      </c>
    </row>
    <row r="42" spans="1:26">
      <c r="A42">
        <v>885</v>
      </c>
      <c r="Y42">
        <f t="shared" si="1"/>
        <v>6.7855876450079293</v>
      </c>
      <c r="Z42">
        <f t="shared" si="2"/>
        <v>46.044199688084255</v>
      </c>
    </row>
    <row r="43" spans="1:26">
      <c r="A43">
        <v>893</v>
      </c>
      <c r="Y43">
        <f t="shared" si="1"/>
        <v>6.7945865808764987</v>
      </c>
      <c r="Z43">
        <f t="shared" si="2"/>
        <v>46.166406805026988</v>
      </c>
    </row>
    <row r="44" spans="1:26">
      <c r="A44">
        <v>968</v>
      </c>
      <c r="Y44">
        <f t="shared" si="1"/>
        <v>6.8752320872765766</v>
      </c>
      <c r="Z44">
        <f t="shared" si="2"/>
        <v>47.268816253917436</v>
      </c>
    </row>
    <row r="45" spans="1:26">
      <c r="A45">
        <v>1053</v>
      </c>
      <c r="Y45">
        <f t="shared" si="1"/>
        <v>6.9593985121339754</v>
      </c>
      <c r="Z45">
        <f t="shared" si="2"/>
        <v>48.433227650692594</v>
      </c>
    </row>
    <row r="46" spans="1:26">
      <c r="A46">
        <v>1081</v>
      </c>
      <c r="Y46">
        <f t="shared" si="1"/>
        <v>6.9856418176392081</v>
      </c>
      <c r="Z46">
        <f t="shared" si="2"/>
        <v>48.799191604349616</v>
      </c>
    </row>
    <row r="47" spans="1:26">
      <c r="A47">
        <v>1083</v>
      </c>
      <c r="Y47">
        <f t="shared" si="1"/>
        <v>6.9874902470009905</v>
      </c>
      <c r="Z47">
        <f t="shared" si="2"/>
        <v>48.82501995193396</v>
      </c>
    </row>
    <row r="48" spans="1:26">
      <c r="A48">
        <v>1150</v>
      </c>
      <c r="Y48">
        <f t="shared" si="1"/>
        <v>7.0475172213572961</v>
      </c>
      <c r="Z48">
        <f t="shared" si="2"/>
        <v>49.667498985327661</v>
      </c>
    </row>
    <row r="49" spans="1:26">
      <c r="A49">
        <v>1205</v>
      </c>
      <c r="Y49">
        <f t="shared" si="1"/>
        <v>7.0942348459247553</v>
      </c>
      <c r="Z49">
        <f t="shared" si="2"/>
        <v>50.328168049133033</v>
      </c>
    </row>
    <row r="50" spans="1:26">
      <c r="A50">
        <v>1262</v>
      </c>
      <c r="Y50">
        <f t="shared" si="1"/>
        <v>7.1404530431011581</v>
      </c>
      <c r="Z50">
        <f t="shared" si="2"/>
        <v>50.986069660732589</v>
      </c>
    </row>
    <row r="51" spans="1:26">
      <c r="A51">
        <v>1270</v>
      </c>
      <c r="Y51">
        <f t="shared" si="1"/>
        <v>7.1467721794526371</v>
      </c>
      <c r="Z51">
        <f t="shared" si="2"/>
        <v>51.076352584998197</v>
      </c>
    </row>
    <row r="52" spans="1:26">
      <c r="A52">
        <v>1351</v>
      </c>
      <c r="Y52">
        <f t="shared" si="1"/>
        <v>7.2086003379601991</v>
      </c>
      <c r="Z52">
        <f t="shared" si="2"/>
        <v>51.963918832439894</v>
      </c>
    </row>
    <row r="53" spans="1:26">
      <c r="A53">
        <v>1385</v>
      </c>
      <c r="Y53">
        <f t="shared" si="1"/>
        <v>7.233455418621439</v>
      </c>
      <c r="Z53">
        <f t="shared" si="2"/>
        <v>52.322877293183858</v>
      </c>
    </row>
    <row r="54" spans="1:26">
      <c r="A54">
        <v>1498</v>
      </c>
      <c r="Y54">
        <f t="shared" si="1"/>
        <v>7.3118861640771646</v>
      </c>
      <c r="Z54">
        <f t="shared" si="2"/>
        <v>53.463679276423072</v>
      </c>
    </row>
    <row r="55" spans="1:26">
      <c r="A55">
        <v>1546</v>
      </c>
      <c r="Y55">
        <f t="shared" si="1"/>
        <v>7.3434262291473669</v>
      </c>
      <c r="Z55">
        <f t="shared" si="2"/>
        <v>53.925908782929518</v>
      </c>
    </row>
    <row r="56" spans="1:26">
      <c r="A56">
        <v>1565</v>
      </c>
      <c r="Y56">
        <f t="shared" si="1"/>
        <v>7.3556411029742534</v>
      </c>
      <c r="Z56">
        <f t="shared" si="2"/>
        <v>54.105456035764291</v>
      </c>
    </row>
    <row r="57" spans="1:26">
      <c r="A57">
        <v>1635</v>
      </c>
      <c r="Y57">
        <f t="shared" si="1"/>
        <v>7.399398083331354</v>
      </c>
      <c r="Z57">
        <f t="shared" si="2"/>
        <v>54.751091995607716</v>
      </c>
    </row>
    <row r="58" spans="1:26">
      <c r="A58">
        <v>1671</v>
      </c>
      <c r="Y58">
        <f t="shared" si="1"/>
        <v>7.4211775285953934</v>
      </c>
      <c r="Z58">
        <f t="shared" si="2"/>
        <v>55.073875910929232</v>
      </c>
    </row>
    <row r="59" spans="1:26">
      <c r="A59">
        <v>1706</v>
      </c>
      <c r="Y59">
        <f t="shared" si="1"/>
        <v>7.4419067280516247</v>
      </c>
      <c r="Z59">
        <f t="shared" si="2"/>
        <v>55.381975749020036</v>
      </c>
    </row>
    <row r="60" spans="1:26">
      <c r="A60">
        <v>1820</v>
      </c>
      <c r="Y60">
        <f t="shared" si="1"/>
        <v>7.506591780070841</v>
      </c>
      <c r="Z60">
        <f t="shared" si="2"/>
        <v>56.348920152627116</v>
      </c>
    </row>
    <row r="61" spans="1:26">
      <c r="A61">
        <v>1829</v>
      </c>
      <c r="Y61">
        <f t="shared" si="1"/>
        <v>7.511524648390866</v>
      </c>
      <c r="Z61">
        <f t="shared" si="2"/>
        <v>56.423002543383525</v>
      </c>
    </row>
    <row r="62" spans="1:26">
      <c r="A62">
        <v>1855</v>
      </c>
      <c r="Y62">
        <f t="shared" si="1"/>
        <v>7.5256399750415355</v>
      </c>
      <c r="Z62">
        <f t="shared" si="2"/>
        <v>56.635257033943162</v>
      </c>
    </row>
    <row r="63" spans="1:26">
      <c r="A63">
        <v>1873</v>
      </c>
      <c r="Y63">
        <f t="shared" si="1"/>
        <v>7.5352967024440884</v>
      </c>
      <c r="Z63">
        <f t="shared" si="2"/>
        <v>56.780696393864751</v>
      </c>
    </row>
    <row r="64" spans="1:26">
      <c r="A64">
        <v>1914</v>
      </c>
      <c r="Y64">
        <f t="shared" si="1"/>
        <v>7.5569505720128998</v>
      </c>
      <c r="Z64">
        <f t="shared" si="2"/>
        <v>57.107501947846096</v>
      </c>
    </row>
    <row r="65" spans="1:26">
      <c r="A65">
        <v>2030</v>
      </c>
      <c r="Y65">
        <f t="shared" si="1"/>
        <v>7.6157910720358331</v>
      </c>
      <c r="Z65">
        <f t="shared" si="2"/>
        <v>58.000273652900702</v>
      </c>
    </row>
    <row r="66" spans="1:26">
      <c r="A66">
        <v>2066</v>
      </c>
      <c r="Y66">
        <f t="shared" si="1"/>
        <v>7.633369649679584</v>
      </c>
      <c r="Z66">
        <f t="shared" si="2"/>
        <v>58.268332208649412</v>
      </c>
    </row>
    <row r="67" spans="1:26">
      <c r="A67">
        <v>2240</v>
      </c>
      <c r="Y67">
        <f t="shared" ref="Y67:Y97" si="3">LN(A67)</f>
        <v>7.7142311448490855</v>
      </c>
      <c r="Z67">
        <f t="shared" ref="Z67:Z97" si="4">Y67^2</f>
        <v>59.509362156159632</v>
      </c>
    </row>
    <row r="68" spans="1:26">
      <c r="A68">
        <v>2413</v>
      </c>
      <c r="Y68">
        <f t="shared" si="3"/>
        <v>7.7886260656250315</v>
      </c>
      <c r="Z68">
        <f t="shared" si="4"/>
        <v>60.662695990133656</v>
      </c>
    </row>
    <row r="69" spans="1:26">
      <c r="A69">
        <v>2421</v>
      </c>
      <c r="Y69">
        <f t="shared" si="3"/>
        <v>7.7919359569380582</v>
      </c>
      <c r="Z69">
        <f t="shared" si="4"/>
        <v>60.71426595702421</v>
      </c>
    </row>
    <row r="70" spans="1:26">
      <c r="A70">
        <v>2521</v>
      </c>
      <c r="Y70">
        <f t="shared" si="3"/>
        <v>7.8324109271879196</v>
      </c>
      <c r="Z70">
        <f t="shared" si="4"/>
        <v>61.346660932332725</v>
      </c>
    </row>
    <row r="71" spans="1:26">
      <c r="A71">
        <v>2586</v>
      </c>
      <c r="Y71">
        <f t="shared" si="3"/>
        <v>7.8578675593318028</v>
      </c>
      <c r="Z71">
        <f t="shared" si="4"/>
        <v>61.746082579999147</v>
      </c>
    </row>
    <row r="72" spans="1:26">
      <c r="A72">
        <v>2727</v>
      </c>
      <c r="Y72">
        <f t="shared" si="3"/>
        <v>7.9109573828455888</v>
      </c>
      <c r="Z72">
        <f t="shared" si="4"/>
        <v>62.583246713199131</v>
      </c>
    </row>
    <row r="73" spans="1:26">
      <c r="A73">
        <v>2797</v>
      </c>
      <c r="Y73">
        <f t="shared" si="3"/>
        <v>7.9363026932019594</v>
      </c>
      <c r="Z73">
        <f t="shared" si="4"/>
        <v>62.984900438124676</v>
      </c>
    </row>
    <row r="74" spans="1:26">
      <c r="A74">
        <v>2850</v>
      </c>
      <c r="Y74">
        <f t="shared" si="3"/>
        <v>7.9550742732626958</v>
      </c>
      <c r="Z74">
        <f t="shared" si="4"/>
        <v>63.283206693126004</v>
      </c>
    </row>
    <row r="75" spans="1:26">
      <c r="A75">
        <v>2989</v>
      </c>
      <c r="Y75">
        <f t="shared" si="3"/>
        <v>8.0026941622839374</v>
      </c>
      <c r="Z75">
        <f t="shared" si="4"/>
        <v>64.043113855053406</v>
      </c>
    </row>
    <row r="76" spans="1:26">
      <c r="A76">
        <v>3110</v>
      </c>
      <c r="Y76">
        <f t="shared" si="3"/>
        <v>8.0423780051732798</v>
      </c>
      <c r="Z76">
        <f t="shared" si="4"/>
        <v>64.679843978094951</v>
      </c>
    </row>
    <row r="77" spans="1:26">
      <c r="A77">
        <v>3166</v>
      </c>
      <c r="Y77">
        <f t="shared" si="3"/>
        <v>8.0602242404409576</v>
      </c>
      <c r="Z77">
        <f t="shared" si="4"/>
        <v>64.967214806192018</v>
      </c>
    </row>
    <row r="78" spans="1:26">
      <c r="A78">
        <v>3383</v>
      </c>
      <c r="Y78">
        <f t="shared" si="3"/>
        <v>8.1265181687807093</v>
      </c>
      <c r="Z78">
        <f t="shared" si="4"/>
        <v>66.040297547522968</v>
      </c>
    </row>
    <row r="79" spans="1:26">
      <c r="A79">
        <v>3443</v>
      </c>
      <c r="Y79">
        <f t="shared" si="3"/>
        <v>8.1440984633385245</v>
      </c>
      <c r="Z79">
        <f t="shared" si="4"/>
        <v>66.326339780552914</v>
      </c>
    </row>
    <row r="80" spans="1:26">
      <c r="A80">
        <v>3512</v>
      </c>
      <c r="Y80">
        <f t="shared" si="3"/>
        <v>8.1639409547550077</v>
      </c>
      <c r="Z80">
        <f t="shared" si="4"/>
        <v>66.649931912726103</v>
      </c>
    </row>
    <row r="81" spans="1:26">
      <c r="A81">
        <v>3515</v>
      </c>
      <c r="Y81">
        <f t="shared" si="3"/>
        <v>8.1647948042447656</v>
      </c>
      <c r="Z81">
        <f t="shared" si="4"/>
        <v>66.663874195422324</v>
      </c>
    </row>
    <row r="82" spans="1:26">
      <c r="A82">
        <v>3531</v>
      </c>
      <c r="Y82">
        <f t="shared" si="3"/>
        <v>8.1693363959283865</v>
      </c>
      <c r="Z82">
        <f t="shared" si="4"/>
        <v>66.738057149840202</v>
      </c>
    </row>
    <row r="83" spans="1:26">
      <c r="A83">
        <v>4068</v>
      </c>
      <c r="Y83">
        <f t="shared" si="3"/>
        <v>8.3109067571684498</v>
      </c>
      <c r="Z83">
        <f t="shared" si="4"/>
        <v>69.071171126348204</v>
      </c>
    </row>
    <row r="84" spans="1:26">
      <c r="A84">
        <v>4527</v>
      </c>
      <c r="Y84">
        <f t="shared" si="3"/>
        <v>8.4178147474359584</v>
      </c>
      <c r="Z84">
        <f t="shared" si="4"/>
        <v>70.859605122150313</v>
      </c>
    </row>
    <row r="85" spans="1:26">
      <c r="A85">
        <v>5006</v>
      </c>
      <c r="Y85">
        <f t="shared" si="3"/>
        <v>8.518392471991719</v>
      </c>
      <c r="Z85">
        <f t="shared" si="4"/>
        <v>72.563010306885189</v>
      </c>
    </row>
    <row r="86" spans="1:26">
      <c r="A86">
        <v>5065</v>
      </c>
      <c r="Y86">
        <f t="shared" si="3"/>
        <v>8.5301094166827838</v>
      </c>
      <c r="Z86">
        <f t="shared" si="4"/>
        <v>72.762766660580297</v>
      </c>
    </row>
    <row r="87" spans="1:26">
      <c r="A87">
        <v>5481</v>
      </c>
      <c r="Y87">
        <f t="shared" si="3"/>
        <v>8.6090428450461172</v>
      </c>
      <c r="Z87">
        <f t="shared" si="4"/>
        <v>74.115618707839744</v>
      </c>
    </row>
    <row r="88" spans="1:26">
      <c r="A88">
        <v>6046</v>
      </c>
      <c r="Y88">
        <f t="shared" si="3"/>
        <v>8.7071521753394041</v>
      </c>
      <c r="Z88">
        <f t="shared" si="4"/>
        <v>75.814499004517714</v>
      </c>
    </row>
    <row r="89" spans="1:26">
      <c r="A89">
        <v>7003</v>
      </c>
      <c r="Y89">
        <f t="shared" si="3"/>
        <v>8.8540939076555176</v>
      </c>
      <c r="Z89">
        <f t="shared" si="4"/>
        <v>78.394978925582549</v>
      </c>
    </row>
    <row r="90" spans="1:26">
      <c r="A90">
        <v>7245</v>
      </c>
      <c r="Y90">
        <f t="shared" si="3"/>
        <v>8.8880668547547828</v>
      </c>
      <c r="Z90">
        <f t="shared" si="4"/>
        <v>78.997732414590573</v>
      </c>
    </row>
    <row r="91" spans="1:26">
      <c r="A91">
        <v>7477</v>
      </c>
      <c r="Y91">
        <f t="shared" si="3"/>
        <v>8.9195869209999152</v>
      </c>
      <c r="Z91">
        <f t="shared" si="4"/>
        <v>79.559030841272744</v>
      </c>
    </row>
    <row r="92" spans="1:26">
      <c r="A92">
        <v>8738</v>
      </c>
      <c r="Y92">
        <f t="shared" si="3"/>
        <v>9.0754366095113816</v>
      </c>
      <c r="Z92">
        <f t="shared" si="4"/>
        <v>82.36354965325944</v>
      </c>
    </row>
    <row r="93" spans="1:26">
      <c r="A93">
        <v>9197</v>
      </c>
      <c r="Y93">
        <f t="shared" si="3"/>
        <v>9.1266326229026973</v>
      </c>
      <c r="Z93">
        <f t="shared" si="4"/>
        <v>83.295423033431774</v>
      </c>
    </row>
    <row r="94" spans="1:26">
      <c r="A94">
        <v>16370</v>
      </c>
      <c r="Y94">
        <f t="shared" si="3"/>
        <v>9.7032056703651808</v>
      </c>
      <c r="Z94">
        <f t="shared" si="4"/>
        <v>94.152200281406991</v>
      </c>
    </row>
    <row r="95" spans="1:26">
      <c r="A95">
        <v>17605</v>
      </c>
      <c r="Y95">
        <f t="shared" si="3"/>
        <v>9.7759382315891532</v>
      </c>
      <c r="Z95">
        <f t="shared" si="4"/>
        <v>95.568968307846461</v>
      </c>
    </row>
    <row r="96" spans="1:26">
      <c r="A96">
        <v>25318</v>
      </c>
      <c r="Y96">
        <f t="shared" si="3"/>
        <v>10.139270884196774</v>
      </c>
      <c r="Z96">
        <f t="shared" si="4"/>
        <v>102.80481406312043</v>
      </c>
    </row>
    <row r="97" spans="1:26">
      <c r="A97">
        <v>58524</v>
      </c>
      <c r="Y97">
        <f t="shared" si="3"/>
        <v>10.977192205498053</v>
      </c>
      <c r="Z97">
        <f t="shared" si="4"/>
        <v>120.49874871644721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workbookViewId="0">
      <selection activeCell="Y24" sqref="Y24"/>
    </sheetView>
  </sheetViews>
  <sheetFormatPr defaultRowHeight="15"/>
  <cols>
    <col min="1" max="1" width="14.140625" bestFit="1" customWidth="1"/>
    <col min="2" max="2" width="14.140625" customWidth="1"/>
    <col min="3" max="3" width="11.42578125" customWidth="1"/>
    <col min="4" max="4" width="14.140625" customWidth="1"/>
  </cols>
  <sheetData>
    <row r="1" spans="1:4">
      <c r="B1" t="s">
        <v>57</v>
      </c>
      <c r="C1" t="s">
        <v>58</v>
      </c>
      <c r="D1" t="s">
        <v>59</v>
      </c>
    </row>
    <row r="3" spans="1:4">
      <c r="B3" t="s">
        <v>30</v>
      </c>
      <c r="C3" t="s">
        <v>29</v>
      </c>
      <c r="D3" t="s">
        <v>36</v>
      </c>
    </row>
    <row r="4" spans="1:4">
      <c r="B4" s="6">
        <f>Exponential!C4</f>
        <v>2989.8333333333335</v>
      </c>
      <c r="C4" s="2">
        <f>Gamma!E3</f>
        <v>0.62567277948074018</v>
      </c>
      <c r="D4" s="2">
        <f>Lognormal!E3</f>
        <v>7.0214781545901417</v>
      </c>
    </row>
    <row r="5" spans="1:4">
      <c r="C5" t="s">
        <v>30</v>
      </c>
      <c r="D5" t="s">
        <v>56</v>
      </c>
    </row>
    <row r="6" spans="1:4">
      <c r="C6" s="6">
        <f>Gamma!E4</f>
        <v>4778.5894342641259</v>
      </c>
      <c r="D6" s="3">
        <f>Lognormal!E4</f>
        <v>1.956541713892797</v>
      </c>
    </row>
    <row r="7" spans="1:4">
      <c r="B7" s="2"/>
    </row>
    <row r="8" spans="1:4">
      <c r="A8" t="s">
        <v>5</v>
      </c>
    </row>
    <row r="9" spans="1:4">
      <c r="A9">
        <v>100</v>
      </c>
      <c r="B9" s="1">
        <f>EXPONDIST(A9,1/B4,TRUE)</f>
        <v>3.2893524429279508E-2</v>
      </c>
      <c r="C9" s="1">
        <f>GAMMADIST(A9,C$4,C$6,TRUE)</f>
        <v>9.8443992561335875E-2</v>
      </c>
      <c r="D9" s="1">
        <f>NORMDIST(LN(A9),D$4,SQRT(D$6),TRUE)</f>
        <v>4.2042637703687102E-2</v>
      </c>
    </row>
    <row r="10" spans="1:4">
      <c r="A10">
        <v>200</v>
      </c>
      <c r="B10" s="1">
        <f>EXPONDIST(A10,1/B$4,TRUE)-EXPONDIST(A9,1/B$4,TRUE)</f>
        <v>3.1811540479899758E-2</v>
      </c>
      <c r="C10" s="1">
        <f>GAMMADIST(A10,C$4,C$6,TRUE)-GAMMADIST(A9,C$4,C$6,TRUE)</f>
        <v>5.2238686030417009E-2</v>
      </c>
      <c r="D10" s="1">
        <f>NORMDIST(LN(A10),D$4,SQRT(D$6),TRUE)-NORMDIST(LN(A9),D$4,SQRT(D$6),TRUE)</f>
        <v>6.6947513885130872E-2</v>
      </c>
    </row>
    <row r="11" spans="1:4">
      <c r="A11">
        <v>300</v>
      </c>
      <c r="B11" s="1">
        <f t="shared" ref="B11:B74" si="0">EXPONDIST(A11,1/B$4,TRUE)-EXPONDIST(A10,1/B$4,TRUE)</f>
        <v>3.0765146795991294E-2</v>
      </c>
      <c r="C11" s="1">
        <f t="shared" ref="C11:C74" si="1">GAMMADIST(A11,C$4,C$6,TRUE)-GAMMADIST(A10,C$4,C$6,TRUE)</f>
        <v>4.1973851082664299E-2</v>
      </c>
      <c r="D11" s="1">
        <f t="shared" ref="D11:D74" si="2">NORMDIST(LN(A11),D$4,SQRT(D$6),TRUE)-NORMDIST(LN(A10),D$4,SQRT(D$6),TRUE)</f>
        <v>6.4095250184137753E-2</v>
      </c>
    </row>
    <row r="12" spans="1:4">
      <c r="A12">
        <v>400</v>
      </c>
      <c r="B12" s="1">
        <f>EXPONDIST(A12,1/B$4,TRUE)-EXPONDIST(A11,1/B$4,TRUE)</f>
        <v>2.9753172688286922E-2</v>
      </c>
      <c r="C12" s="1">
        <f>GAMMADIST(A12,C$4,C$6,TRUE)-GAMMADIST(A11,C$4,C$6,TRUE)</f>
        <v>3.6175284509715633E-2</v>
      </c>
      <c r="D12" s="1">
        <f t="shared" si="2"/>
        <v>5.7666180151377033E-2</v>
      </c>
    </row>
    <row r="13" spans="1:4">
      <c r="A13">
        <v>500</v>
      </c>
      <c r="B13" s="1">
        <f t="shared" si="0"/>
        <v>2.8774485975616271E-2</v>
      </c>
      <c r="C13" s="1">
        <f t="shared" si="1"/>
        <v>3.22215078123754E-2</v>
      </c>
      <c r="D13" s="1">
        <f t="shared" si="2"/>
        <v>5.1270542122793805E-2</v>
      </c>
    </row>
    <row r="14" spans="1:4">
      <c r="A14">
        <v>600</v>
      </c>
      <c r="B14" s="1">
        <f t="shared" si="0"/>
        <v>2.7827991718237355E-2</v>
      </c>
      <c r="C14" s="1">
        <f t="shared" si="1"/>
        <v>2.9259721643430325E-2</v>
      </c>
      <c r="D14" s="1">
        <f t="shared" si="2"/>
        <v>4.5595876500992505E-2</v>
      </c>
    </row>
    <row r="15" spans="1:4">
      <c r="A15">
        <v>700</v>
      </c>
      <c r="B15" s="1">
        <f t="shared" si="0"/>
        <v>2.6912630992835584E-2</v>
      </c>
      <c r="C15" s="1">
        <f t="shared" si="1"/>
        <v>2.691090663357959E-2</v>
      </c>
      <c r="D15" s="1">
        <f t="shared" si="2"/>
        <v>4.0706111993739746E-2</v>
      </c>
    </row>
    <row r="16" spans="1:4">
      <c r="A16">
        <v>800</v>
      </c>
      <c r="B16" s="1">
        <f t="shared" si="0"/>
        <v>2.6027379707816767E-2</v>
      </c>
      <c r="C16" s="1">
        <f t="shared" si="1"/>
        <v>2.4975571786654216E-2</v>
      </c>
      <c r="D16" s="1">
        <f t="shared" si="2"/>
        <v>3.6518769741772261E-2</v>
      </c>
    </row>
    <row r="17" spans="1:4">
      <c r="A17">
        <v>900</v>
      </c>
      <c r="B17" s="1">
        <f t="shared" si="0"/>
        <v>2.5171247457567492E-2</v>
      </c>
      <c r="C17" s="1">
        <f t="shared" si="1"/>
        <v>2.3336644189453304E-2</v>
      </c>
      <c r="D17" s="1">
        <f t="shared" si="2"/>
        <v>3.2926774787015889E-2</v>
      </c>
    </row>
    <row r="18" spans="1:4">
      <c r="A18">
        <v>1000</v>
      </c>
      <c r="B18" s="1">
        <f t="shared" si="0"/>
        <v>2.4343276414406478E-2</v>
      </c>
      <c r="C18" s="1">
        <f t="shared" si="1"/>
        <v>2.1919920975121965E-2</v>
      </c>
      <c r="D18" s="1">
        <f t="shared" si="2"/>
        <v>2.9831082242553708E-2</v>
      </c>
    </row>
    <row r="19" spans="1:4">
      <c r="A19">
        <v>1100</v>
      </c>
      <c r="B19" s="1">
        <f t="shared" si="0"/>
        <v>2.3542540256980549E-2</v>
      </c>
      <c r="C19" s="1">
        <f t="shared" si="1"/>
        <v>2.0675625391246788E-2</v>
      </c>
      <c r="D19" s="1">
        <f t="shared" si="2"/>
        <v>2.7147918168046736E-2</v>
      </c>
    </row>
    <row r="20" spans="1:4">
      <c r="A20">
        <v>1200</v>
      </c>
      <c r="B20" s="1">
        <f t="shared" si="0"/>
        <v>2.276814313391029E-2</v>
      </c>
      <c r="C20" s="1">
        <f t="shared" si="1"/>
        <v>1.9568825808833457E-2</v>
      </c>
      <c r="D20" s="1">
        <f t="shared" si="2"/>
        <v>2.4808566685953215E-2</v>
      </c>
    </row>
    <row r="21" spans="1:4">
      <c r="A21">
        <v>1300</v>
      </c>
      <c r="B21" s="1">
        <f t="shared" si="0"/>
        <v>2.2019218661525675E-2</v>
      </c>
      <c r="C21" s="1">
        <f t="shared" si="1"/>
        <v>1.8574127178658584E-2</v>
      </c>
      <c r="D21" s="1">
        <f t="shared" si="2"/>
        <v>2.2757206390212281E-2</v>
      </c>
    </row>
    <row r="22" spans="1:4">
      <c r="A22">
        <v>1400</v>
      </c>
      <c r="B22" s="1">
        <f t="shared" si="0"/>
        <v>2.1294928954569081E-2</v>
      </c>
      <c r="C22" s="1">
        <f t="shared" si="1"/>
        <v>1.7672518568674245E-2</v>
      </c>
      <c r="D22" s="1">
        <f t="shared" si="2"/>
        <v>2.0948525725932088E-2</v>
      </c>
    </row>
    <row r="23" spans="1:4">
      <c r="A23">
        <v>1500</v>
      </c>
      <c r="B23" s="1">
        <f t="shared" si="0"/>
        <v>2.0594463688782261E-2</v>
      </c>
      <c r="C23" s="1">
        <f t="shared" si="1"/>
        <v>1.6849416466887757E-2</v>
      </c>
      <c r="D23" s="1">
        <f t="shared" si="2"/>
        <v>1.9345622316523037E-2</v>
      </c>
    </row>
    <row r="24" spans="1:4">
      <c r="A24">
        <v>1600</v>
      </c>
      <c r="B24" s="1">
        <f t="shared" si="0"/>
        <v>1.9917039194327302E-2</v>
      </c>
      <c r="C24" s="1">
        <f t="shared" si="1"/>
        <v>1.6093408819045918E-2</v>
      </c>
      <c r="D24" s="1">
        <f t="shared" si="2"/>
        <v>1.791828550192287E-2</v>
      </c>
    </row>
    <row r="25" spans="1:4">
      <c r="A25">
        <v>1700</v>
      </c>
      <c r="B25" s="1">
        <f t="shared" si="0"/>
        <v>1.9261897579029852E-2</v>
      </c>
      <c r="C25" s="1">
        <f t="shared" si="1"/>
        <v>1.5395367190153553E-2</v>
      </c>
      <c r="D25" s="1">
        <f t="shared" si="2"/>
        <v>1.664163331150037E-2</v>
      </c>
    </row>
    <row r="26" spans="1:4">
      <c r="A26">
        <v>1800</v>
      </c>
      <c r="B26" s="1">
        <f t="shared" si="0"/>
        <v>1.8628305880459717E-2</v>
      </c>
      <c r="C26" s="1">
        <f t="shared" si="1"/>
        <v>1.4747938875383504E-2</v>
      </c>
      <c r="D26" s="1">
        <f t="shared" si="2"/>
        <v>1.5495042971124362E-2</v>
      </c>
    </row>
    <row r="27" spans="1:4">
      <c r="A27">
        <v>1900</v>
      </c>
      <c r="B27" s="1">
        <f t="shared" si="0"/>
        <v>1.8015555245904813E-2</v>
      </c>
      <c r="C27" s="1">
        <f t="shared" si="1"/>
        <v>1.4145067152844581E-2</v>
      </c>
      <c r="D27" s="1">
        <f t="shared" si="2"/>
        <v>1.4461314006585901E-2</v>
      </c>
    </row>
    <row r="28" spans="1:4">
      <c r="A28">
        <v>2000</v>
      </c>
      <c r="B28" s="1">
        <f t="shared" si="0"/>
        <v>1.7422960139316546E-2</v>
      </c>
      <c r="C28" s="1">
        <f t="shared" si="1"/>
        <v>1.3581725812638279E-2</v>
      </c>
      <c r="D28" s="1">
        <f t="shared" si="2"/>
        <v>1.3526012241815266E-2</v>
      </c>
    </row>
    <row r="29" spans="1:4">
      <c r="A29">
        <v>2100</v>
      </c>
      <c r="B29" s="1">
        <f t="shared" si="0"/>
        <v>1.6849857574343652E-2</v>
      </c>
      <c r="C29" s="1">
        <f t="shared" si="1"/>
        <v>1.3053694905476365E-2</v>
      </c>
      <c r="D29" s="1">
        <f t="shared" si="2"/>
        <v>1.2676953515233014E-2</v>
      </c>
    </row>
    <row r="30" spans="1:4">
      <c r="A30">
        <v>2200</v>
      </c>
      <c r="B30" s="1">
        <f t="shared" si="0"/>
        <v>1.6295606372591864E-2</v>
      </c>
      <c r="C30" s="1">
        <f t="shared" si="1"/>
        <v>1.2557397267048631E-2</v>
      </c>
      <c r="D30" s="1">
        <f t="shared" si="2"/>
        <v>1.190379521842766E-2</v>
      </c>
    </row>
    <row r="31" spans="1:4">
      <c r="A31">
        <v>2300</v>
      </c>
      <c r="B31" s="1">
        <f t="shared" si="0"/>
        <v>1.575958644628539E-2</v>
      </c>
      <c r="C31" s="1">
        <f t="shared" si="1"/>
        <v>1.2089774276656473E-2</v>
      </c>
      <c r="D31" s="1">
        <f t="shared" si="2"/>
        <v>1.1197711243915887E-2</v>
      </c>
    </row>
    <row r="32" spans="1:4">
      <c r="A32">
        <v>2400</v>
      </c>
      <c r="B32" s="1">
        <f t="shared" si="0"/>
        <v>1.524119810451896E-2</v>
      </c>
      <c r="C32" s="1">
        <f t="shared" si="1"/>
        <v>1.1648190119720403E-2</v>
      </c>
      <c r="D32" s="1">
        <f t="shared" si="2"/>
        <v>1.0551131729242824E-2</v>
      </c>
    </row>
    <row r="33" spans="1:4">
      <c r="A33">
        <v>2500</v>
      </c>
      <c r="B33" s="1">
        <f t="shared" si="0"/>
        <v>1.4739861382336517E-2</v>
      </c>
      <c r="C33" s="1">
        <f t="shared" si="1"/>
        <v>1.1230371176593645E-2</v>
      </c>
      <c r="D33" s="1">
        <f t="shared" si="2"/>
        <v>9.9575334007200311E-3</v>
      </c>
    </row>
    <row r="34" spans="1:4">
      <c r="A34">
        <v>2600</v>
      </c>
      <c r="B34" s="1">
        <f t="shared" si="0"/>
        <v>1.4255015391872572E-2</v>
      </c>
      <c r="C34" s="1">
        <f t="shared" si="1"/>
        <v>1.0834281876786034E-2</v>
      </c>
      <c r="D34" s="1">
        <f t="shared" si="2"/>
        <v>9.4112696567489884E-3</v>
      </c>
    </row>
    <row r="35" spans="1:4">
      <c r="A35">
        <v>2700</v>
      </c>
      <c r="B35" s="1">
        <f t="shared" si="0"/>
        <v>1.3786117694840061E-2</v>
      </c>
      <c r="C35" s="1">
        <f t="shared" si="1"/>
        <v>1.0458199167147408E-2</v>
      </c>
      <c r="D35" s="1">
        <f t="shared" si="2"/>
        <v>8.9074320470174939E-3</v>
      </c>
    </row>
    <row r="36" spans="1:4">
      <c r="A36">
        <v>2800</v>
      </c>
      <c r="B36" s="1">
        <f t="shared" si="0"/>
        <v>1.3332643695660007E-2</v>
      </c>
      <c r="C36" s="1">
        <f t="shared" si="1"/>
        <v>1.0100560852962626E-2</v>
      </c>
      <c r="D36" s="1">
        <f t="shared" si="2"/>
        <v>8.441736704115077E-3</v>
      </c>
    </row>
    <row r="37" spans="1:4">
      <c r="A37">
        <v>2900</v>
      </c>
      <c r="B37" s="1">
        <f t="shared" si="0"/>
        <v>1.2894086054549891E-2</v>
      </c>
      <c r="C37" s="1">
        <f t="shared" si="1"/>
        <v>9.7599884063278575E-3</v>
      </c>
      <c r="D37" s="1">
        <f t="shared" si="2"/>
        <v>8.0104307238583194E-3</v>
      </c>
    </row>
    <row r="38" spans="1:4">
      <c r="A38">
        <v>3000</v>
      </c>
      <c r="B38" s="1">
        <f t="shared" si="0"/>
        <v>1.2469954119921467E-2</v>
      </c>
      <c r="C38" s="1">
        <f t="shared" si="1"/>
        <v>9.4349967046080119E-3</v>
      </c>
      <c r="D38" s="1">
        <f t="shared" si="2"/>
        <v>7.6102145862533277E-3</v>
      </c>
    </row>
    <row r="39" spans="1:4">
      <c r="A39">
        <v>3100</v>
      </c>
      <c r="B39" s="1">
        <f t="shared" si="0"/>
        <v>1.2059773379445637E-2</v>
      </c>
      <c r="C39" s="1">
        <f t="shared" si="1"/>
        <v>9.1253091219778426E-3</v>
      </c>
      <c r="D39" s="1">
        <f t="shared" si="2"/>
        <v>7.2381775470056198E-3</v>
      </c>
    </row>
    <row r="40" spans="1:4">
      <c r="A40">
        <v>3200</v>
      </c>
      <c r="B40" s="1">
        <f t="shared" si="0"/>
        <v>1.1663084929177336E-2</v>
      </c>
      <c r="C40" s="1">
        <f t="shared" si="1"/>
        <v>8.8289718052805277E-3</v>
      </c>
      <c r="D40" s="1">
        <f t="shared" si="2"/>
        <v>6.8917435739177524E-3</v>
      </c>
    </row>
    <row r="41" spans="1:4">
      <c r="A41">
        <v>3300</v>
      </c>
      <c r="B41" s="1">
        <f t="shared" si="0"/>
        <v>1.1279444960138663E-2</v>
      </c>
      <c r="C41" s="1">
        <f t="shared" si="1"/>
        <v>8.5456173492488574E-3</v>
      </c>
      <c r="D41" s="1">
        <f t="shared" si="2"/>
        <v>6.5686259008421732E-3</v>
      </c>
    </row>
    <row r="42" spans="1:4">
      <c r="A42">
        <v>3400</v>
      </c>
      <c r="B42" s="1">
        <f t="shared" si="0"/>
        <v>1.0908424261793725E-2</v>
      </c>
      <c r="C42" s="1">
        <f t="shared" si="1"/>
        <v>8.2741664182961472E-3</v>
      </c>
      <c r="D42" s="1">
        <f t="shared" si="2"/>
        <v>6.2667886593932298E-3</v>
      </c>
    </row>
    <row r="43" spans="1:4">
      <c r="A43">
        <v>3500</v>
      </c>
      <c r="B43" s="1">
        <f t="shared" si="0"/>
        <v>1.0549607741853428E-2</v>
      </c>
      <c r="C43" s="1">
        <f t="shared" si="1"/>
        <v>8.0141327848840538E-3</v>
      </c>
      <c r="D43" s="1">
        <f t="shared" si="2"/>
        <v>5.9844143516509796E-3</v>
      </c>
    </row>
    <row r="44" spans="1:4">
      <c r="A44">
        <v>3600</v>
      </c>
      <c r="B44" s="1">
        <f t="shared" si="0"/>
        <v>1.0202593961877393E-2</v>
      </c>
      <c r="C44" s="1">
        <f t="shared" si="1"/>
        <v>7.764599889829582E-3</v>
      </c>
      <c r="D44" s="1">
        <f t="shared" si="2"/>
        <v>5.7198761654198016E-3</v>
      </c>
    </row>
    <row r="45" spans="1:4">
      <c r="A45">
        <v>3700</v>
      </c>
      <c r="B45" s="1">
        <f t="shared" si="0"/>
        <v>9.8669946881504433E-3</v>
      </c>
      <c r="C45" s="1">
        <f t="shared" si="1"/>
        <v>7.5251854035185417E-3</v>
      </c>
      <c r="D45" s="1">
        <f t="shared" si="2"/>
        <v>5.4717143219368269E-3</v>
      </c>
    </row>
    <row r="46" spans="1:4">
      <c r="A46">
        <v>3800</v>
      </c>
      <c r="B46" s="1">
        <f t="shared" si="0"/>
        <v>9.5424344573322717E-3</v>
      </c>
      <c r="C46" s="1">
        <f t="shared" si="1"/>
        <v>7.2950937579205899E-3</v>
      </c>
      <c r="D46" s="1">
        <f t="shared" si="2"/>
        <v>5.2386157956497703E-3</v>
      </c>
    </row>
    <row r="47" spans="1:4">
      <c r="A47">
        <v>3900</v>
      </c>
      <c r="B47" s="1">
        <f t="shared" si="0"/>
        <v>9.2285501563950101E-3</v>
      </c>
      <c r="C47" s="1">
        <f t="shared" si="1"/>
        <v>7.0740312110062487E-3</v>
      </c>
      <c r="D47" s="1">
        <f t="shared" si="2"/>
        <v>5.0193968652241239E-3</v>
      </c>
    </row>
    <row r="48" spans="1:4">
      <c r="A48">
        <v>4000</v>
      </c>
      <c r="B48" s="1">
        <f t="shared" si="0"/>
        <v>8.9249906163789694E-3</v>
      </c>
      <c r="C48" s="1">
        <f t="shared" si="1"/>
        <v>6.8613433840172267E-3</v>
      </c>
      <c r="D48" s="1">
        <f t="shared" si="2"/>
        <v>4.8129880509021339E-3</v>
      </c>
    </row>
    <row r="49" spans="1:4">
      <c r="A49">
        <v>4100</v>
      </c>
      <c r="B49" s="1">
        <f t="shared" si="0"/>
        <v>8.6314162195079147E-3</v>
      </c>
      <c r="C49" s="1">
        <f t="shared" si="1"/>
        <v>6.6566058332546696E-3</v>
      </c>
      <c r="D49" s="1">
        <f t="shared" si="2"/>
        <v>4.6184210707037598E-3</v>
      </c>
    </row>
    <row r="50" spans="1:4">
      <c r="A50">
        <v>4200</v>
      </c>
      <c r="B50" s="1">
        <f t="shared" si="0"/>
        <v>8.3474985192323325E-3</v>
      </c>
      <c r="C50" s="1">
        <f t="shared" si="1"/>
        <v>6.4595443970107969E-3</v>
      </c>
      <c r="D50" s="1">
        <f t="shared" si="2"/>
        <v>4.4348175106569965E-3</v>
      </c>
    </row>
    <row r="51" spans="1:4">
      <c r="A51">
        <v>4300</v>
      </c>
      <c r="B51" s="1">
        <f t="shared" si="0"/>
        <v>8.0729198727664819E-3</v>
      </c>
      <c r="C51" s="1">
        <f t="shared" si="1"/>
        <v>6.2696315715566886E-3</v>
      </c>
      <c r="D51" s="1">
        <f t="shared" si="2"/>
        <v>4.2613789552137238E-3</v>
      </c>
    </row>
    <row r="52" spans="1:4">
      <c r="A52">
        <v>4400</v>
      </c>
      <c r="B52" s="1">
        <f t="shared" si="0"/>
        <v>7.8073730857159962E-3</v>
      </c>
      <c r="C52" s="1">
        <f t="shared" si="1"/>
        <v>6.0865260718532266E-3</v>
      </c>
      <c r="D52" s="1">
        <f t="shared" si="2"/>
        <v>4.0973783657145546E-3</v>
      </c>
    </row>
    <row r="53" spans="1:4">
      <c r="A53">
        <v>4500</v>
      </c>
      <c r="B53" s="1">
        <f t="shared" si="0"/>
        <v>7.5505610683925806E-3</v>
      </c>
      <c r="C53" s="1">
        <f t="shared" si="1"/>
        <v>5.910019940356448E-3</v>
      </c>
      <c r="D53" s="1">
        <f t="shared" si="2"/>
        <v>3.9421525289078385E-3</v>
      </c>
    </row>
    <row r="54" spans="1:4">
      <c r="A54">
        <v>4600</v>
      </c>
      <c r="B54" s="1">
        <f t="shared" si="0"/>
        <v>7.3021965034346659E-3</v>
      </c>
      <c r="C54" s="1">
        <f t="shared" si="1"/>
        <v>5.7396745740303512E-3</v>
      </c>
      <c r="D54" s="1">
        <f t="shared" si="2"/>
        <v>3.7950954257293112E-3</v>
      </c>
    </row>
    <row r="55" spans="1:4">
      <c r="A55">
        <v>4700</v>
      </c>
      <c r="B55" s="1">
        <f t="shared" si="0"/>
        <v>7.0620015243615386E-3</v>
      </c>
      <c r="C55" s="1">
        <f t="shared" si="1"/>
        <v>5.5752111117167713E-3</v>
      </c>
      <c r="D55" s="1">
        <f t="shared" si="2"/>
        <v>3.6556523937860685E-3</v>
      </c>
    </row>
    <row r="56" spans="1:4">
      <c r="A56">
        <v>4800</v>
      </c>
      <c r="B56" s="1">
        <f t="shared" si="0"/>
        <v>6.829707404700347E-3</v>
      </c>
      <c r="C56" s="1">
        <f t="shared" si="1"/>
        <v>5.4164760333825779E-3</v>
      </c>
      <c r="D56" s="1">
        <f t="shared" si="2"/>
        <v>3.5233149763440608E-3</v>
      </c>
    </row>
    <row r="57" spans="1:4">
      <c r="A57">
        <v>4900</v>
      </c>
      <c r="B57" s="1">
        <f t="shared" si="0"/>
        <v>6.605054257338927E-3</v>
      </c>
      <c r="C57" s="1">
        <f t="shared" si="1"/>
        <v>5.2630929825909778E-3</v>
      </c>
      <c r="D57" s="1">
        <f t="shared" si="2"/>
        <v>3.3976163666628034E-3</v>
      </c>
    </row>
    <row r="58" spans="1:4">
      <c r="A58">
        <v>5000</v>
      </c>
      <c r="B58" s="1">
        <f t="shared" si="0"/>
        <v>6.3877907437684955E-3</v>
      </c>
      <c r="C58" s="1">
        <f t="shared" si="1"/>
        <v>5.1148680054564633E-3</v>
      </c>
      <c r="D58" s="1">
        <f t="shared" si="2"/>
        <v>3.278127370006545E-3</v>
      </c>
    </row>
    <row r="59" spans="1:4">
      <c r="A59">
        <v>5100</v>
      </c>
      <c r="B59" s="1">
        <f t="shared" si="0"/>
        <v>6.1776737928892489E-3</v>
      </c>
      <c r="C59" s="1">
        <f t="shared" si="1"/>
        <v>4.9715457725034717E-3</v>
      </c>
      <c r="D59" s="1">
        <f t="shared" si="2"/>
        <v>3.1644528168791597E-3</v>
      </c>
    </row>
    <row r="60" spans="1:4">
      <c r="A60">
        <v>5200</v>
      </c>
      <c r="B60" s="1">
        <f t="shared" si="0"/>
        <v>5.9744683290666734E-3</v>
      </c>
      <c r="C60" s="1">
        <f t="shared" si="1"/>
        <v>4.8330158250471378E-3</v>
      </c>
      <c r="D60" s="1">
        <f t="shared" si="2"/>
        <v>3.0562283705467541E-3</v>
      </c>
    </row>
    <row r="61" spans="1:4">
      <c r="A61">
        <v>5300</v>
      </c>
      <c r="B61" s="1">
        <f t="shared" si="0"/>
        <v>5.7779470091325891E-3</v>
      </c>
      <c r="C61" s="1">
        <f t="shared" si="1"/>
        <v>4.6989743955131447E-3</v>
      </c>
      <c r="D61" s="1">
        <f t="shared" si="2"/>
        <v>2.9531176798732739E-3</v>
      </c>
    </row>
    <row r="62" spans="1:4">
      <c r="A62">
        <v>5400</v>
      </c>
      <c r="B62" s="1">
        <f t="shared" si="0"/>
        <v>5.5878899680366079E-3</v>
      </c>
      <c r="C62" s="1">
        <f t="shared" si="1"/>
        <v>4.5692715172219733E-3</v>
      </c>
      <c r="D62" s="1">
        <f t="shared" si="2"/>
        <v>2.8548098352729756E-3</v>
      </c>
    </row>
    <row r="63" spans="1:4">
      <c r="A63">
        <v>5500</v>
      </c>
      <c r="B63" s="1">
        <f t="shared" si="0"/>
        <v>5.4040845728647868E-3</v>
      </c>
      <c r="C63" s="1">
        <f t="shared" si="1"/>
        <v>4.4437302633728581E-3</v>
      </c>
      <c r="D63" s="1">
        <f t="shared" si="2"/>
        <v>2.7610170913113796E-3</v>
      </c>
    </row>
    <row r="64" spans="1:4">
      <c r="A64">
        <v>5600</v>
      </c>
      <c r="B64" s="1">
        <f t="shared" si="0"/>
        <v>5.2263251849494763E-3</v>
      </c>
      <c r="C64" s="1">
        <f t="shared" si="1"/>
        <v>4.3221577793911559E-3</v>
      </c>
      <c r="D64" s="1">
        <f t="shared" si="2"/>
        <v>2.6714728243704133E-3</v>
      </c>
    </row>
    <row r="65" spans="1:4">
      <c r="A65">
        <v>5700</v>
      </c>
      <c r="B65" s="1">
        <f t="shared" si="0"/>
        <v>5.0544129298029095E-3</v>
      </c>
      <c r="C65" s="1">
        <f t="shared" si="1"/>
        <v>4.2044756301318209E-3</v>
      </c>
      <c r="D65" s="1">
        <f t="shared" si="2"/>
        <v>2.5859296979497959E-3</v>
      </c>
    </row>
    <row r="66" spans="1:4">
      <c r="A66">
        <v>5800</v>
      </c>
      <c r="B66" s="1">
        <f t="shared" si="0"/>
        <v>4.8881554746208478E-3</v>
      </c>
      <c r="C66" s="1">
        <f t="shared" si="1"/>
        <v>4.0904496369960075E-3</v>
      </c>
      <c r="D66" s="1">
        <f t="shared" si="2"/>
        <v>2.5041580117473039E-3</v>
      </c>
    </row>
    <row r="67" spans="1:4">
      <c r="A67">
        <v>5900</v>
      </c>
      <c r="B67" s="1">
        <f t="shared" si="0"/>
        <v>4.7273668131022628E-3</v>
      </c>
      <c r="C67" s="1">
        <f t="shared" si="1"/>
        <v>3.9799669057639653E-3</v>
      </c>
      <c r="D67" s="1">
        <f t="shared" si="2"/>
        <v>2.4259442137013476E-3</v>
      </c>
    </row>
    <row r="68" spans="1:4">
      <c r="A68">
        <v>6000</v>
      </c>
      <c r="B68" s="1">
        <f t="shared" si="0"/>
        <v>4.5718670573492437E-3</v>
      </c>
      <c r="C68" s="1">
        <f t="shared" si="1"/>
        <v>3.8728921461653742E-3</v>
      </c>
      <c r="D68" s="1">
        <f t="shared" si="2"/>
        <v>2.3510895568086276E-3</v>
      </c>
    </row>
    <row r="69" spans="1:4">
      <c r="A69">
        <v>6100</v>
      </c>
      <c r="B69" s="1">
        <f t="shared" si="0"/>
        <v>4.4214822366109852E-3</v>
      </c>
      <c r="C69" s="1">
        <f t="shared" si="1"/>
        <v>3.7690742334508531E-3</v>
      </c>
      <c r="D69" s="1">
        <f t="shared" si="2"/>
        <v>2.2794088847937211E-3</v>
      </c>
    </row>
    <row r="70" spans="1:4">
      <c r="A70">
        <v>6200</v>
      </c>
      <c r="B70" s="1">
        <f t="shared" si="0"/>
        <v>4.2760441026473694E-3</v>
      </c>
      <c r="C70" s="1">
        <f t="shared" si="1"/>
        <v>3.6684614081380351E-3</v>
      </c>
      <c r="D70" s="1">
        <f t="shared" si="2"/>
        <v>2.2107295326454501E-3</v>
      </c>
    </row>
    <row r="71" spans="1:4">
      <c r="A71">
        <v>6300</v>
      </c>
      <c r="B71" s="1">
        <f t="shared" si="0"/>
        <v>4.1353899414962036E-3</v>
      </c>
      <c r="C71" s="1">
        <f t="shared" si="1"/>
        <v>3.5708634494638902E-3</v>
      </c>
      <c r="D71" s="1">
        <f t="shared" si="2"/>
        <v>2.1448903297338617E-3</v>
      </c>
    </row>
    <row r="72" spans="1:4">
      <c r="A72">
        <v>6400</v>
      </c>
      <c r="B72" s="1">
        <f t="shared" si="0"/>
        <v>3.9993623914311716E-3</v>
      </c>
      <c r="C72" s="1">
        <f t="shared" si="1"/>
        <v>3.4761953292391512E-3</v>
      </c>
      <c r="D72" s="1">
        <f t="shared" si="2"/>
        <v>2.081740694688361E-3</v>
      </c>
    </row>
    <row r="73" spans="1:4">
      <c r="A73">
        <v>6500</v>
      </c>
      <c r="B73" s="1">
        <f t="shared" si="0"/>
        <v>3.8678092669068853E-3</v>
      </c>
      <c r="C73" s="1">
        <f t="shared" si="1"/>
        <v>3.3843513085778376E-3</v>
      </c>
      <c r="D73" s="1">
        <f t="shared" si="2"/>
        <v>2.0211398124750923E-3</v>
      </c>
    </row>
    <row r="74" spans="1:4">
      <c r="A74">
        <v>6600</v>
      </c>
      <c r="B74" s="1">
        <f t="shared" si="0"/>
        <v>3.7405833882981909E-3</v>
      </c>
      <c r="C74" s="1">
        <f t="shared" si="1"/>
        <v>3.295230509250624E-3</v>
      </c>
      <c r="D74" s="1">
        <f t="shared" si="2"/>
        <v>1.962955885235429E-3</v>
      </c>
    </row>
    <row r="75" spans="1:4">
      <c r="A75">
        <v>6700</v>
      </c>
      <c r="B75" s="1">
        <f t="shared" ref="B75:B107" si="3">EXPONDIST(A75,1/B$4,TRUE)-EXPONDIST(A74,1/B$4,TRUE)</f>
        <v>3.617542417235553E-3</v>
      </c>
      <c r="C75" s="1">
        <f t="shared" ref="C75:C108" si="4">GAMMADIST(A75,C$4,C$6,TRUE)-GAMMADIST(A74,C$4,C$6,TRUE)</f>
        <v>3.2087173394429458E-3</v>
      </c>
      <c r="D75" s="1">
        <f t="shared" ref="D75:D108" si="5">NORMDIST(LN(A75),D$4,SQRT(D$6),TRUE)-NORMDIST(LN(A74),D$4,SQRT(D$6),TRUE)</f>
        <v>1.9070654494039996E-3</v>
      </c>
    </row>
    <row r="76" spans="1:4">
      <c r="A76">
        <v>6800</v>
      </c>
      <c r="B76" s="1">
        <f t="shared" si="3"/>
        <v>3.4985486973601043E-3</v>
      </c>
      <c r="C76" s="1">
        <f t="shared" si="4"/>
        <v>3.1247799436059376E-3</v>
      </c>
      <c r="D76" s="1">
        <f t="shared" si="5"/>
        <v>1.8533527524728921E-3</v>
      </c>
    </row>
    <row r="77" spans="1:4">
      <c r="A77">
        <v>6900</v>
      </c>
      <c r="B77" s="1">
        <f t="shared" si="3"/>
        <v>3.3834691003165052E-3</v>
      </c>
      <c r="C77" s="1">
        <f t="shared" si="4"/>
        <v>3.0432676482576859E-3</v>
      </c>
      <c r="D77" s="1">
        <f t="shared" si="5"/>
        <v>1.801709183511857E-3</v>
      </c>
    </row>
    <row r="78" spans="1:4">
      <c r="A78">
        <v>7000</v>
      </c>
      <c r="B78" s="1">
        <f t="shared" si="3"/>
        <v>3.2721748768095305E-3</v>
      </c>
      <c r="C78" s="1">
        <f t="shared" si="4"/>
        <v>2.9641182319454229E-3</v>
      </c>
      <c r="D78" s="1">
        <f t="shared" si="5"/>
        <v>1.7520327521880485E-3</v>
      </c>
    </row>
    <row r="79" spans="1:4">
      <c r="A79">
        <v>7100</v>
      </c>
      <c r="B79" s="1">
        <f t="shared" si="3"/>
        <v>3.1645415125624021E-3</v>
      </c>
      <c r="C79" s="1">
        <f t="shared" si="4"/>
        <v>2.8872511799176159E-3</v>
      </c>
      <c r="D79" s="1">
        <f t="shared" si="5"/>
        <v>1.7042276116288058E-3</v>
      </c>
    </row>
    <row r="80" spans="1:4">
      <c r="A80">
        <v>7200</v>
      </c>
      <c r="B80" s="1">
        <f t="shared" si="3"/>
        <v>3.0604485890113331E-3</v>
      </c>
      <c r="C80" s="1">
        <f t="shared" si="4"/>
        <v>2.812589391641418E-3</v>
      </c>
      <c r="D80" s="1">
        <f t="shared" si="5"/>
        <v>1.658203620933163E-3</v>
      </c>
    </row>
    <row r="81" spans="1:4">
      <c r="A81">
        <v>7300</v>
      </c>
      <c r="B81" s="1">
        <f t="shared" si="3"/>
        <v>2.9597796485841821E-3</v>
      </c>
      <c r="C81" s="1">
        <f t="shared" si="4"/>
        <v>2.740058995796768E-3</v>
      </c>
      <c r="D81" s="1">
        <f t="shared" si="5"/>
        <v>1.6138759436246097E-3</v>
      </c>
    </row>
    <row r="82" spans="1:4">
      <c r="A82">
        <v>7400</v>
      </c>
      <c r="B82" s="1">
        <f t="shared" si="3"/>
        <v>2.8624220644082321E-3</v>
      </c>
      <c r="C82" s="1">
        <f t="shared" si="4"/>
        <v>2.6695891778600878E-3</v>
      </c>
      <c r="D82" s="1">
        <f t="shared" si="5"/>
        <v>1.5711646786841227E-3</v>
      </c>
    </row>
    <row r="83" spans="1:4">
      <c r="A83">
        <v>7500</v>
      </c>
      <c r="B83" s="1">
        <f t="shared" si="3"/>
        <v>2.7682669143056504E-3</v>
      </c>
      <c r="C83" s="1">
        <f t="shared" si="4"/>
        <v>2.6010974213567239E-3</v>
      </c>
      <c r="D83" s="1">
        <f t="shared" si="5"/>
        <v>1.5299945211894039E-3</v>
      </c>
    </row>
    <row r="84" spans="1:4">
      <c r="A84">
        <v>7600</v>
      </c>
      <c r="B84" s="1">
        <f t="shared" si="3"/>
        <v>2.6772088589332999E-3</v>
      </c>
      <c r="C84" s="1">
        <f t="shared" si="4"/>
        <v>2.5345639432559075E-3</v>
      </c>
      <c r="D84" s="1">
        <f t="shared" si="5"/>
        <v>1.4902944498594861E-3</v>
      </c>
    </row>
    <row r="85" spans="1:4">
      <c r="A85">
        <v>7700</v>
      </c>
      <c r="B85" s="1">
        <f t="shared" si="3"/>
        <v>2.5891460239295672E-3</v>
      </c>
      <c r="C85" s="1">
        <f t="shared" si="4"/>
        <v>2.469879007264586E-3</v>
      </c>
      <c r="D85" s="1">
        <f t="shared" si="5"/>
        <v>1.451997439098629E-3</v>
      </c>
    </row>
    <row r="86" spans="1:4">
      <c r="A86">
        <v>7800</v>
      </c>
      <c r="B86" s="1">
        <f t="shared" si="3"/>
        <v>2.5039798859405327E-3</v>
      </c>
      <c r="C86" s="1">
        <f t="shared" si="4"/>
        <v>2.4069989179670293E-3</v>
      </c>
      <c r="D86" s="1">
        <f t="shared" si="5"/>
        <v>1.4150401933610279E-3</v>
      </c>
    </row>
    <row r="87" spans="1:4">
      <c r="A87">
        <v>7900</v>
      </c>
      <c r="B87" s="1">
        <f t="shared" si="3"/>
        <v>2.4216151623918103E-3</v>
      </c>
      <c r="C87" s="1">
        <f t="shared" si="4"/>
        <v>2.3458659293339457E-3</v>
      </c>
      <c r="D87" s="1">
        <f t="shared" si="5"/>
        <v>1.3793629018821196E-3</v>
      </c>
    </row>
    <row r="88" spans="1:4">
      <c r="A88">
        <v>8000</v>
      </c>
      <c r="B88" s="1">
        <f t="shared" si="3"/>
        <v>2.3419597048894847E-3</v>
      </c>
      <c r="C88" s="1">
        <f t="shared" si="4"/>
        <v>2.2864245308080733E-3</v>
      </c>
      <c r="D88" s="1">
        <f t="shared" si="5"/>
        <v>1.3449090120052354E-3</v>
      </c>
    </row>
    <row r="89" spans="1:4">
      <c r="A89">
        <v>8100</v>
      </c>
      <c r="B89" s="1">
        <f t="shared" si="3"/>
        <v>2.264924396124246E-3</v>
      </c>
      <c r="C89" s="1">
        <f t="shared" si="4"/>
        <v>2.2286213388617027E-3</v>
      </c>
      <c r="D89" s="1">
        <f t="shared" si="5"/>
        <v>1.311625019511542E-3</v>
      </c>
    </row>
    <row r="90" spans="1:4">
      <c r="A90">
        <v>8200</v>
      </c>
      <c r="B90" s="1">
        <f t="shared" si="3"/>
        <v>2.1904230501699207E-3</v>
      </c>
      <c r="C90" s="1">
        <f t="shared" si="4"/>
        <v>2.1724049951232782E-3</v>
      </c>
      <c r="D90" s="1">
        <f t="shared" si="5"/>
        <v>1.2794602745092032E-3</v>
      </c>
    </row>
    <row r="91" spans="1:4">
      <c r="A91">
        <v>8300</v>
      </c>
      <c r="B91" s="1">
        <f t="shared" si="3"/>
        <v>2.1183723160587142E-3</v>
      </c>
      <c r="C91" s="1">
        <f t="shared" si="4"/>
        <v>2.1177260705961265E-3</v>
      </c>
      <c r="D91" s="1">
        <f t="shared" si="5"/>
        <v>1.2483668015722538E-3</v>
      </c>
    </row>
    <row r="92" spans="1:4">
      <c r="A92">
        <v>8400</v>
      </c>
      <c r="B92" s="1">
        <f t="shared" si="3"/>
        <v>2.0486915845300269E-3</v>
      </c>
      <c r="C92" s="1">
        <f t="shared" si="4"/>
        <v>2.0645369755245557E-3</v>
      </c>
      <c r="D92" s="1">
        <f t="shared" si="5"/>
        <v>1.2182991329491299E-3</v>
      </c>
    </row>
    <row r="93" spans="1:4">
      <c r="A93">
        <v>8500</v>
      </c>
      <c r="B93" s="1">
        <f t="shared" si="3"/>
        <v>1.9813028978462599E-3</v>
      </c>
      <c r="C93" s="1">
        <f t="shared" si="4"/>
        <v>2.0127815169458385E-3</v>
      </c>
      <c r="D93" s="1">
        <f t="shared" si="5"/>
        <v>1.1892141537648282E-3</v>
      </c>
    </row>
    <row r="94" spans="1:4">
      <c r="A94">
        <v>8600</v>
      </c>
      <c r="B94" s="1">
        <f t="shared" si="3"/>
        <v>1.9161308625741391E-3</v>
      </c>
      <c r="C94" s="1">
        <f t="shared" si="4"/>
        <v>1.9624476395624368E-3</v>
      </c>
      <c r="D94" s="1">
        <f t="shared" si="5"/>
        <v>1.1610709582385859E-3</v>
      </c>
    </row>
    <row r="95" spans="1:4">
      <c r="A95">
        <v>8700</v>
      </c>
      <c r="B95" s="1">
        <f t="shared" si="3"/>
        <v>1.8531025652364086E-3</v>
      </c>
      <c r="C95" s="1">
        <f t="shared" si="4"/>
        <v>1.9134595346208538E-3</v>
      </c>
      <c r="D95" s="1">
        <f t="shared" si="5"/>
        <v>1.1338307160315697E-3</v>
      </c>
    </row>
    <row r="96" spans="1:4">
      <c r="A96">
        <v>8800</v>
      </c>
      <c r="B96" s="1">
        <f t="shared" si="3"/>
        <v>1.7921474907368617E-3</v>
      </c>
      <c r="C96" s="1">
        <f t="shared" si="4"/>
        <v>1.8657876775867166E-3</v>
      </c>
      <c r="D96" s="1">
        <f t="shared" si="5"/>
        <v>1.1074565479194387E-3</v>
      </c>
    </row>
    <row r="97" spans="1:4">
      <c r="A97">
        <v>8900</v>
      </c>
      <c r="B97" s="1">
        <f t="shared" si="3"/>
        <v>1.7331974434694475E-3</v>
      </c>
      <c r="C97" s="1">
        <f t="shared" si="4"/>
        <v>1.8193924928133764E-3</v>
      </c>
      <c r="D97" s="1">
        <f t="shared" si="5"/>
        <v>1.0819134100472638E-3</v>
      </c>
    </row>
    <row r="98" spans="1:4">
      <c r="A98">
        <v>9000</v>
      </c>
      <c r="B98" s="1">
        <f t="shared" si="3"/>
        <v>1.6761864710218566E-3</v>
      </c>
      <c r="C98" s="1">
        <f t="shared" si="4"/>
        <v>1.7742358014589676E-3</v>
      </c>
      <c r="D98" s="1">
        <f t="shared" si="5"/>
        <v>1.0571679861024474E-3</v>
      </c>
    </row>
    <row r="99" spans="1:4">
      <c r="A99">
        <v>9100</v>
      </c>
      <c r="B99" s="1">
        <f t="shared" si="3"/>
        <v>1.6210507903893223E-3</v>
      </c>
      <c r="C99" s="1">
        <f t="shared" si="4"/>
        <v>1.7302807612540327E-3</v>
      </c>
      <c r="D99" s="1">
        <f t="shared" si="5"/>
        <v>1.0331885867896906E-3</v>
      </c>
    </row>
    <row r="100" spans="1:4">
      <c r="A100">
        <v>9200</v>
      </c>
      <c r="B100" s="1">
        <f t="shared" si="3"/>
        <v>1.5677287166144804E-3</v>
      </c>
      <c r="C100" s="1">
        <f t="shared" si="4"/>
        <v>1.6874918094793578E-3</v>
      </c>
      <c r="D100" s="1">
        <f t="shared" si="5"/>
        <v>1.0099450560466794E-3</v>
      </c>
    </row>
    <row r="101" spans="1:4">
      <c r="A101">
        <v>9300</v>
      </c>
      <c r="B101" s="1">
        <f t="shared" si="3"/>
        <v>1.516160593776128E-3</v>
      </c>
      <c r="C101" s="1">
        <f t="shared" si="4"/>
        <v>1.6458346089445186E-3</v>
      </c>
      <c r="D101" s="1">
        <f t="shared" si="5"/>
        <v>9.8740868349489475E-4</v>
      </c>
    </row>
    <row r="102" spans="1:4">
      <c r="A102">
        <v>9400</v>
      </c>
      <c r="B102" s="1">
        <f t="shared" si="3"/>
        <v>1.4662887282459458E-3</v>
      </c>
      <c r="C102" s="1">
        <f t="shared" si="4"/>
        <v>1.605275996777622E-3</v>
      </c>
      <c r="D102" s="1">
        <f t="shared" si="5"/>
        <v>9.65552122647928E-4</v>
      </c>
    </row>
    <row r="103" spans="1:4">
      <c r="A103">
        <v>9500</v>
      </c>
      <c r="B103" s="1">
        <f t="shared" si="3"/>
        <v>1.4180573241431293E-3</v>
      </c>
      <c r="C103" s="1">
        <f t="shared" si="4"/>
        <v>1.5657839358476089E-3</v>
      </c>
      <c r="D103" s="1">
        <f t="shared" si="5"/>
        <v>9.4434931445941395E-4</v>
      </c>
    </row>
    <row r="104" spans="1:4">
      <c r="A104">
        <v>9600</v>
      </c>
      <c r="B104" s="1">
        <f t="shared" si="3"/>
        <v>1.3714124209092127E-3</v>
      </c>
      <c r="C104" s="1">
        <f t="shared" si="4"/>
        <v>1.5273274686560256E-3</v>
      </c>
      <c r="D104" s="1">
        <f t="shared" si="5"/>
        <v>9.2377541580168643E-4</v>
      </c>
    </row>
    <row r="105" spans="1:4">
      <c r="A105">
        <v>9700</v>
      </c>
      <c r="B105" s="1">
        <f t="shared" si="3"/>
        <v>1.3263018329394693E-3</v>
      </c>
      <c r="C105" s="1">
        <f t="shared" si="4"/>
        <v>1.4898694058351758E-3</v>
      </c>
      <c r="D105" s="1">
        <f t="shared" si="5"/>
        <v>9.0380673253320776E-4</v>
      </c>
    </row>
    <row r="106" spans="1:4">
      <c r="A106">
        <v>9800</v>
      </c>
      <c r="B106" s="1">
        <f t="shared" si="3"/>
        <v>1.2826750911970608E-3</v>
      </c>
      <c r="C106" s="1">
        <f t="shared" si="4"/>
        <v>1.4534032802956398E-3</v>
      </c>
      <c r="D106" s="1">
        <f t="shared" si="5"/>
        <v>8.8442065680327531E-4</v>
      </c>
    </row>
    <row r="107" spans="1:4">
      <c r="A107">
        <v>9900</v>
      </c>
      <c r="B107" s="1">
        <f t="shared" si="3"/>
        <v>1.2404833867498688E-3</v>
      </c>
      <c r="C107" s="1">
        <f t="shared" si="4"/>
        <v>1.4178779396615271E-3</v>
      </c>
      <c r="D107" s="1">
        <f t="shared" si="5"/>
        <v>8.6559560830656856E-4</v>
      </c>
    </row>
    <row r="108" spans="1:4">
      <c r="A108">
        <v>10000</v>
      </c>
      <c r="B108" s="1">
        <f>EXPONDIST(A108,1/B$4,TRUE)-EXPONDIST(A107,1/B$4,TRUE)</f>
        <v>1.1996795161637319E-3</v>
      </c>
      <c r="C108" s="1">
        <f t="shared" si="4"/>
        <v>1.3832743212472964E-3</v>
      </c>
      <c r="D108" s="1">
        <f t="shared" si="5"/>
        <v>8.4731097919399367E-4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0"/>
  <sheetViews>
    <sheetView workbookViewId="0">
      <selection activeCell="H20" sqref="H20"/>
    </sheetView>
  </sheetViews>
  <sheetFormatPr defaultRowHeight="15"/>
  <cols>
    <col min="1" max="1" width="14.85546875" bestFit="1" customWidth="1"/>
    <col min="2" max="2" width="17.5703125" customWidth="1"/>
    <col min="5" max="5" width="10.85546875" bestFit="1" customWidth="1"/>
    <col min="6" max="6" width="13.140625" customWidth="1"/>
    <col min="8" max="8" width="13.85546875" bestFit="1" customWidth="1"/>
    <col min="10" max="10" width="7.7109375" bestFit="1" customWidth="1"/>
    <col min="11" max="11" width="12" bestFit="1" customWidth="1"/>
    <col min="13" max="13" width="12.28515625" bestFit="1" customWidth="1"/>
    <col min="14" max="14" width="13.85546875" bestFit="1" customWidth="1"/>
    <col min="15" max="15" width="7.5703125" bestFit="1" customWidth="1"/>
    <col min="16" max="16" width="11" customWidth="1"/>
    <col min="18" max="18" width="15.7109375" customWidth="1"/>
  </cols>
  <sheetData>
    <row r="1" spans="1:16">
      <c r="A1" t="s">
        <v>57</v>
      </c>
    </row>
    <row r="3" spans="1:16">
      <c r="B3" s="38"/>
      <c r="C3" s="36" t="s">
        <v>2</v>
      </c>
      <c r="D3" s="37" t="s">
        <v>3</v>
      </c>
    </row>
    <row r="4" spans="1:16">
      <c r="B4" s="23" t="s">
        <v>30</v>
      </c>
      <c r="C4" s="50">
        <f>'X data'!D2</f>
        <v>2989.8333333333335</v>
      </c>
      <c r="D4" s="24">
        <f>'X data'!D4/LN(2)</f>
        <v>1779.5643329365364</v>
      </c>
      <c r="H4" t="s">
        <v>53</v>
      </c>
      <c r="M4" t="s">
        <v>52</v>
      </c>
    </row>
    <row r="6" spans="1:16">
      <c r="B6" s="7" t="s">
        <v>48</v>
      </c>
      <c r="C6" t="s">
        <v>8</v>
      </c>
      <c r="D6" t="s">
        <v>8</v>
      </c>
      <c r="F6" t="s">
        <v>9</v>
      </c>
      <c r="H6" t="s">
        <v>10</v>
      </c>
      <c r="I6" t="s">
        <v>0</v>
      </c>
      <c r="J6" t="s">
        <v>1</v>
      </c>
      <c r="K6" t="s">
        <v>4</v>
      </c>
      <c r="M6" t="s">
        <v>10</v>
      </c>
      <c r="N6" t="s">
        <v>0</v>
      </c>
      <c r="O6" t="s">
        <v>1</v>
      </c>
      <c r="P6" t="s">
        <v>4</v>
      </c>
    </row>
    <row r="7" spans="1:16">
      <c r="A7">
        <f>'X data'!G3</f>
        <v>0</v>
      </c>
      <c r="B7">
        <f>'X data'!H3</f>
        <v>1000</v>
      </c>
      <c r="C7" s="1">
        <f>EXP(-A7/C$4)-EXP(-B7/C$4)</f>
        <v>0.28428039665993743</v>
      </c>
      <c r="D7" s="1">
        <f>EXP(-A7/D$4)-EXP(-B7/D$4)</f>
        <v>0.42989532250132156</v>
      </c>
      <c r="F7">
        <f>'X data'!I3</f>
        <v>43</v>
      </c>
      <c r="H7" s="3">
        <f t="shared" ref="H7:H17" si="0">D7*96</f>
        <v>41.26995096012687</v>
      </c>
      <c r="I7" s="3">
        <f t="shared" ref="I7:I17" si="1">F7-H7</f>
        <v>1.7300490398731299</v>
      </c>
      <c r="J7" s="3">
        <f>I7^2</f>
        <v>2.9930696803659385</v>
      </c>
      <c r="K7" s="3">
        <f>J7/H7</f>
        <v>7.2524187955970792E-2</v>
      </c>
      <c r="M7" s="3">
        <f t="shared" ref="M7:M17" si="2">C7*96</f>
        <v>27.290918079353993</v>
      </c>
      <c r="N7" s="3">
        <f t="shared" ref="N7:N17" si="3">F7-M7</f>
        <v>15.709081920646007</v>
      </c>
      <c r="O7" s="3">
        <f>N7^2</f>
        <v>246.77525478956724</v>
      </c>
      <c r="P7" s="3">
        <f>O7/M7</f>
        <v>9.0423947656145938</v>
      </c>
    </row>
    <row r="8" spans="1:16">
      <c r="A8">
        <f>'X data'!G4</f>
        <v>1000</v>
      </c>
      <c r="B8">
        <f>'X data'!H4</f>
        <v>2000</v>
      </c>
      <c r="C8" s="1">
        <f>EXP(-A8/C$4)-EXP(-B8/C$4)</f>
        <v>0.20346505273480608</v>
      </c>
      <c r="D8" s="1">
        <f t="shared" ref="D8:D16" si="4">EXP(-A8/D$4)-EXP(-B8/D$4)</f>
        <v>0.24508533419280626</v>
      </c>
      <c r="F8">
        <f>'X data'!I4</f>
        <v>20</v>
      </c>
      <c r="H8" s="3">
        <f t="shared" si="0"/>
        <v>23.528192082509399</v>
      </c>
      <c r="I8" s="3">
        <f t="shared" si="1"/>
        <v>-3.5281920825093991</v>
      </c>
      <c r="J8" s="3">
        <f t="shared" ref="J8:J17" si="5">I8^2</f>
        <v>12.448139371082011</v>
      </c>
      <c r="K8" s="3">
        <f t="shared" ref="K8:K17" si="6">J8/H8</f>
        <v>0.52907334857810095</v>
      </c>
      <c r="M8" s="3">
        <f t="shared" si="2"/>
        <v>19.532645062541384</v>
      </c>
      <c r="N8" s="3">
        <f t="shared" si="3"/>
        <v>0.46735493745861589</v>
      </c>
      <c r="O8" s="3">
        <f t="shared" ref="O8:O17" si="7">N8^2</f>
        <v>0.21842063756694677</v>
      </c>
      <c r="P8" s="3">
        <f t="shared" ref="P8:P17" si="8">O8/M8</f>
        <v>1.1182337920316879E-2</v>
      </c>
    </row>
    <row r="9" spans="1:16">
      <c r="A9">
        <f>'X data'!G5</f>
        <v>2000</v>
      </c>
      <c r="B9">
        <f>'X data'!H5</f>
        <v>3000</v>
      </c>
      <c r="C9" s="1">
        <f t="shared" ref="C9:C16" si="9">EXP(-A9/C$4)-EXP(-B9/C$4)</f>
        <v>0.14562392683692027</v>
      </c>
      <c r="D9" s="1">
        <f t="shared" si="4"/>
        <v>0.13972429540964562</v>
      </c>
      <c r="F9">
        <f>'X data'!I5</f>
        <v>11</v>
      </c>
      <c r="H9" s="3">
        <f t="shared" si="0"/>
        <v>13.413532359325981</v>
      </c>
      <c r="I9" s="3">
        <f t="shared" si="1"/>
        <v>-2.4135323593259805</v>
      </c>
      <c r="J9" s="3">
        <f t="shared" si="5"/>
        <v>5.8251384495136342</v>
      </c>
      <c r="K9" s="3">
        <f t="shared" si="6"/>
        <v>0.43427326176788994</v>
      </c>
      <c r="M9" s="3">
        <f t="shared" si="2"/>
        <v>13.979896976344346</v>
      </c>
      <c r="N9" s="3">
        <f t="shared" si="3"/>
        <v>-2.9798969763443459</v>
      </c>
      <c r="O9" s="3">
        <f t="shared" si="7"/>
        <v>8.8797859896261748</v>
      </c>
      <c r="P9" s="3">
        <f t="shared" si="8"/>
        <v>0.63518250561158163</v>
      </c>
    </row>
    <row r="10" spans="1:16">
      <c r="A10">
        <f>'X data'!G6</f>
        <v>3000</v>
      </c>
      <c r="B10">
        <f>'X data'!H6</f>
        <v>4000</v>
      </c>
      <c r="C10" s="1">
        <f t="shared" si="9"/>
        <v>0.10422589915254293</v>
      </c>
      <c r="D10" s="1">
        <f t="shared" si="4"/>
        <v>7.9657474373246148E-2</v>
      </c>
      <c r="F10">
        <f>'X data'!I6</f>
        <v>7</v>
      </c>
      <c r="H10" s="3">
        <f t="shared" si="0"/>
        <v>7.6471175398316298</v>
      </c>
      <c r="I10" s="3">
        <f t="shared" si="1"/>
        <v>-0.64711753983162978</v>
      </c>
      <c r="J10" s="3">
        <f t="shared" si="5"/>
        <v>0.41876111035774094</v>
      </c>
      <c r="K10" s="3">
        <f t="shared" si="6"/>
        <v>5.4760647809653125E-2</v>
      </c>
      <c r="M10" s="3">
        <f t="shared" si="2"/>
        <v>10.005686318644122</v>
      </c>
      <c r="N10" s="3">
        <f t="shared" si="3"/>
        <v>-3.0056863186441216</v>
      </c>
      <c r="O10" s="3">
        <f t="shared" si="7"/>
        <v>9.0341502460844527</v>
      </c>
      <c r="P10" s="3">
        <f t="shared" si="8"/>
        <v>0.90290160598485336</v>
      </c>
    </row>
    <row r="11" spans="1:16">
      <c r="A11">
        <f>'X data'!G7</f>
        <v>4000</v>
      </c>
      <c r="B11">
        <f>'X data'!H7</f>
        <v>5000</v>
      </c>
      <c r="C11" s="1">
        <f t="shared" si="9"/>
        <v>7.4596519199219363E-2</v>
      </c>
      <c r="D11" s="1">
        <f t="shared" si="4"/>
        <v>4.5413098737918718E-2</v>
      </c>
      <c r="F11">
        <f>'X data'!I7</f>
        <v>2</v>
      </c>
      <c r="H11" s="10">
        <f t="shared" si="0"/>
        <v>4.3596574788401972</v>
      </c>
      <c r="I11" s="3">
        <f t="shared" si="1"/>
        <v>-2.3596574788401972</v>
      </c>
      <c r="J11" s="3">
        <f t="shared" si="5"/>
        <v>5.5679834174464755</v>
      </c>
      <c r="K11" s="3">
        <f t="shared" si="6"/>
        <v>1.277160750465133</v>
      </c>
      <c r="M11" s="3">
        <f t="shared" si="2"/>
        <v>7.1612658431250589</v>
      </c>
      <c r="N11" s="3">
        <f t="shared" si="3"/>
        <v>-5.1612658431250589</v>
      </c>
      <c r="O11" s="3">
        <f t="shared" si="7"/>
        <v>26.638665103409426</v>
      </c>
      <c r="P11" s="3">
        <f t="shared" si="8"/>
        <v>3.7198263110121812</v>
      </c>
    </row>
    <row r="12" spans="1:16">
      <c r="A12">
        <f>'X data'!G8</f>
        <v>5000</v>
      </c>
      <c r="B12">
        <f>'X data'!H8</f>
        <v>6000</v>
      </c>
      <c r="C12" s="1">
        <f t="shared" si="9"/>
        <v>5.3390191131814618E-2</v>
      </c>
      <c r="D12" s="1">
        <f t="shared" si="4"/>
        <v>2.58902200101968E-2</v>
      </c>
      <c r="F12">
        <f>'X data'!I8</f>
        <v>3</v>
      </c>
      <c r="H12" s="10">
        <f t="shared" si="0"/>
        <v>2.4854611209788926</v>
      </c>
      <c r="I12" s="3">
        <f t="shared" si="1"/>
        <v>0.5145388790211074</v>
      </c>
      <c r="J12" s="3">
        <f t="shared" si="5"/>
        <v>0.2647502580242978</v>
      </c>
      <c r="K12" s="3">
        <f t="shared" si="6"/>
        <v>0.1065195732854701</v>
      </c>
      <c r="M12" s="3">
        <f t="shared" si="2"/>
        <v>5.1254583486542034</v>
      </c>
      <c r="N12" s="3">
        <f t="shared" si="3"/>
        <v>-2.1254583486542034</v>
      </c>
      <c r="O12" s="3">
        <f t="shared" si="7"/>
        <v>4.5175731918638533</v>
      </c>
      <c r="P12" s="3">
        <f t="shared" si="8"/>
        <v>0.88139886904944553</v>
      </c>
    </row>
    <row r="13" spans="1:16">
      <c r="A13">
        <f>'X data'!G9</f>
        <v>6000</v>
      </c>
      <c r="B13">
        <f>'X data'!H9</f>
        <v>7000</v>
      </c>
      <c r="C13" s="1">
        <f t="shared" si="9"/>
        <v>3.8212406419112527E-2</v>
      </c>
      <c r="D13" s="1">
        <f t="shared" si="4"/>
        <v>1.4760135529283076E-2</v>
      </c>
      <c r="F13">
        <f>'X data'!I9</f>
        <v>1</v>
      </c>
      <c r="H13" s="10">
        <f t="shared" si="0"/>
        <v>1.4169730108111753</v>
      </c>
      <c r="I13" s="3">
        <f t="shared" si="1"/>
        <v>-0.41697301081117533</v>
      </c>
      <c r="J13" s="3">
        <f t="shared" si="5"/>
        <v>0.17386649174493654</v>
      </c>
      <c r="K13" s="3">
        <f t="shared" si="6"/>
        <v>0.12270275468789846</v>
      </c>
      <c r="M13" s="10">
        <f t="shared" si="2"/>
        <v>3.6683910162348026</v>
      </c>
      <c r="N13" s="3">
        <f t="shared" si="3"/>
        <v>-2.6683910162348026</v>
      </c>
      <c r="O13" s="3">
        <f t="shared" si="7"/>
        <v>7.1203106155226026</v>
      </c>
      <c r="P13" s="3">
        <f t="shared" si="8"/>
        <v>1.9409900918443568</v>
      </c>
    </row>
    <row r="14" spans="1:16">
      <c r="A14">
        <f>'X data'!G10</f>
        <v>7000</v>
      </c>
      <c r="B14">
        <f>'X data'!H10</f>
        <v>8000</v>
      </c>
      <c r="C14" s="1">
        <f t="shared" si="9"/>
        <v>2.7349368364956467E-2</v>
      </c>
      <c r="D14" s="1">
        <f t="shared" si="4"/>
        <v>8.414822305758721E-3</v>
      </c>
      <c r="F14">
        <f>'X data'!I10</f>
        <v>3</v>
      </c>
      <c r="H14" s="10">
        <f t="shared" si="0"/>
        <v>0.80782294135283728</v>
      </c>
      <c r="I14" s="3">
        <f t="shared" si="1"/>
        <v>2.1921770586471627</v>
      </c>
      <c r="J14" s="3">
        <f t="shared" si="5"/>
        <v>4.8056402564589256</v>
      </c>
      <c r="K14" s="3">
        <f t="shared" si="6"/>
        <v>5.9488781643302451</v>
      </c>
      <c r="M14" s="10">
        <f t="shared" si="2"/>
        <v>2.6255393630358208</v>
      </c>
      <c r="N14" s="3">
        <f t="shared" si="3"/>
        <v>0.37446063696417919</v>
      </c>
      <c r="O14" s="3">
        <f>N14^2</f>
        <v>0.1402207686356188</v>
      </c>
      <c r="P14" s="3">
        <f>O14/M14</f>
        <v>5.3406462157735986E-2</v>
      </c>
    </row>
    <row r="15" spans="1:16">
      <c r="A15">
        <f>'X data'!G11</f>
        <v>8000</v>
      </c>
      <c r="B15">
        <f>'X data'!H11</f>
        <v>9000</v>
      </c>
      <c r="C15" s="1">
        <f t="shared" si="9"/>
        <v>1.9574479077767881E-2</v>
      </c>
      <c r="D15" s="1">
        <f t="shared" si="4"/>
        <v>4.7973295568332578E-3</v>
      </c>
      <c r="F15">
        <f>'X data'!I11</f>
        <v>1</v>
      </c>
      <c r="H15" s="10">
        <f t="shared" si="0"/>
        <v>0.46054363745599275</v>
      </c>
      <c r="I15" s="3">
        <f t="shared" si="1"/>
        <v>0.5394563625440072</v>
      </c>
      <c r="J15" s="3">
        <f t="shared" si="5"/>
        <v>0.29101316708921132</v>
      </c>
      <c r="K15" s="3">
        <f t="shared" si="6"/>
        <v>0.63189053853125721</v>
      </c>
      <c r="M15" s="10">
        <f t="shared" si="2"/>
        <v>1.8791499914657166</v>
      </c>
      <c r="N15" s="3">
        <f t="shared" si="3"/>
        <v>-0.8791499914657166</v>
      </c>
      <c r="O15" s="3">
        <f t="shared" si="7"/>
        <v>0.77290470749416962</v>
      </c>
      <c r="P15" s="3">
        <f t="shared" si="8"/>
        <v>0.41130548971841907</v>
      </c>
    </row>
    <row r="16" spans="1:16">
      <c r="A16">
        <f>'X data'!G12</f>
        <v>9000</v>
      </c>
      <c r="B16">
        <f>'X data'!H12</f>
        <v>10000</v>
      </c>
      <c r="C16" s="1">
        <f t="shared" si="9"/>
        <v>1.4009838401128405E-2</v>
      </c>
      <c r="D16" s="1">
        <f t="shared" si="4"/>
        <v>2.7349800198533027E-3</v>
      </c>
      <c r="F16">
        <f>'X data'!I12</f>
        <v>1</v>
      </c>
      <c r="H16" s="10">
        <f t="shared" si="0"/>
        <v>0.26255808190591706</v>
      </c>
      <c r="I16" s="3">
        <f t="shared" si="1"/>
        <v>0.73744191809408299</v>
      </c>
      <c r="J16" s="3">
        <f t="shared" si="5"/>
        <v>0.54382058256228016</v>
      </c>
      <c r="K16" s="3">
        <f t="shared" si="6"/>
        <v>2.0712391658815834</v>
      </c>
      <c r="M16" s="10">
        <f t="shared" si="2"/>
        <v>1.3449444865083269</v>
      </c>
      <c r="N16" s="3">
        <f t="shared" si="3"/>
        <v>-0.34494448650832688</v>
      </c>
      <c r="O16" s="3">
        <f t="shared" si="7"/>
        <v>0.11898669877249331</v>
      </c>
      <c r="P16" s="3">
        <f t="shared" si="8"/>
        <v>8.8469598534434854E-2</v>
      </c>
    </row>
    <row r="17" spans="1:23">
      <c r="A17">
        <f>'X data'!G13</f>
        <v>10000</v>
      </c>
      <c r="B17">
        <f>'X data'!H13</f>
        <v>0</v>
      </c>
      <c r="C17" s="1">
        <f>EXP(-A17/C$4)</f>
        <v>3.5271922021794022E-2</v>
      </c>
      <c r="D17" s="1">
        <f>EXP(-A17/D$4)</f>
        <v>3.6269873631365312E-3</v>
      </c>
      <c r="F17">
        <f>'X data'!I13</f>
        <v>4</v>
      </c>
      <c r="H17" s="10">
        <f t="shared" si="0"/>
        <v>0.34819078686110699</v>
      </c>
      <c r="I17" s="3">
        <f t="shared" si="1"/>
        <v>3.6518092131388928</v>
      </c>
      <c r="J17" s="3">
        <f t="shared" si="5"/>
        <v>13.3357105291661</v>
      </c>
      <c r="K17" s="3">
        <f t="shared" si="6"/>
        <v>38.300009742893351</v>
      </c>
      <c r="M17" s="10">
        <f t="shared" si="2"/>
        <v>3.3861045140922261</v>
      </c>
      <c r="N17" s="3">
        <f t="shared" si="3"/>
        <v>0.61389548590777387</v>
      </c>
      <c r="O17" s="3">
        <f t="shared" si="7"/>
        <v>0.37686766761794177</v>
      </c>
      <c r="P17" s="3">
        <f t="shared" si="8"/>
        <v>0.11129829751252537</v>
      </c>
    </row>
    <row r="19" spans="1:23">
      <c r="C19" s="1">
        <f>SUM(C6:C17)</f>
        <v>1.0000000000000002</v>
      </c>
      <c r="D19" s="1">
        <f>SUM(D6:D17)</f>
        <v>1</v>
      </c>
      <c r="F19">
        <f>SUM(F7:F17)</f>
        <v>96</v>
      </c>
      <c r="K19" s="2">
        <f>SUM(K7:K17)</f>
        <v>49.549032136186554</v>
      </c>
      <c r="M19" s="3"/>
      <c r="P19" s="2">
        <f>SUM(P7:P17)</f>
        <v>17.798356334960442</v>
      </c>
    </row>
    <row r="21" spans="1:23">
      <c r="K21" s="4">
        <f>CHIDIST(K19,9)</f>
        <v>1.3093334381032646E-7</v>
      </c>
      <c r="P21" s="1">
        <f>CHIDIST(P19,9)</f>
        <v>3.758635539330285E-2</v>
      </c>
    </row>
    <row r="22" spans="1:23">
      <c r="A22" t="s">
        <v>6</v>
      </c>
      <c r="B22">
        <v>12</v>
      </c>
    </row>
    <row r="23" spans="1:23">
      <c r="A23" t="s">
        <v>7</v>
      </c>
      <c r="B23">
        <f>96/B22</f>
        <v>8</v>
      </c>
    </row>
    <row r="24" spans="1:23">
      <c r="D24" t="s">
        <v>52</v>
      </c>
      <c r="J24" t="s">
        <v>53</v>
      </c>
      <c r="P24" t="s">
        <v>53</v>
      </c>
      <c r="V24" t="s">
        <v>52</v>
      </c>
    </row>
    <row r="25" spans="1:23">
      <c r="B25" s="7" t="s">
        <v>47</v>
      </c>
      <c r="C25" s="8" t="s">
        <v>28</v>
      </c>
      <c r="D25" t="s">
        <v>27</v>
      </c>
      <c r="E25" t="s">
        <v>4</v>
      </c>
      <c r="H25" s="7" t="s">
        <v>47</v>
      </c>
      <c r="I25" s="8" t="s">
        <v>28</v>
      </c>
      <c r="J25" t="s">
        <v>27</v>
      </c>
      <c r="K25" t="s">
        <v>4</v>
      </c>
      <c r="N25" s="7" t="s">
        <v>51</v>
      </c>
      <c r="O25" s="8" t="s">
        <v>28</v>
      </c>
      <c r="P25" t="s">
        <v>27</v>
      </c>
      <c r="Q25" t="s">
        <v>4</v>
      </c>
      <c r="T25" s="7" t="s">
        <v>51</v>
      </c>
      <c r="U25" s="8" t="s">
        <v>28</v>
      </c>
      <c r="V25" t="s">
        <v>27</v>
      </c>
      <c r="W25" t="s">
        <v>4</v>
      </c>
    </row>
    <row r="26" spans="1:23">
      <c r="A26" s="6">
        <v>0</v>
      </c>
      <c r="B26" s="6">
        <f>-C$4*LN(1-B23/F$19)</f>
        <v>260.14951530282821</v>
      </c>
      <c r="C26">
        <f t="array" ref="C26:C37">FREQUENCY('X data'!A2:A97,Exponential!B26:B37)</f>
        <v>12</v>
      </c>
      <c r="D26">
        <f>B$23</f>
        <v>8</v>
      </c>
      <c r="E26" s="3">
        <f>((C26-D26)^2)/D26</f>
        <v>2</v>
      </c>
      <c r="G26" s="6">
        <f>A26</f>
        <v>0</v>
      </c>
      <c r="H26" s="6">
        <f>B26</f>
        <v>260.14951530282821</v>
      </c>
      <c r="I26">
        <f>C26</f>
        <v>12</v>
      </c>
      <c r="J26" s="3">
        <f>(EXP(-G26/D$4)-EXP(-H26/D$4))*F$19</f>
        <v>13.056388444067121</v>
      </c>
      <c r="K26" s="3">
        <f>((I26-J26)^2)/J26</f>
        <v>8.5472069825377181E-2</v>
      </c>
      <c r="M26">
        <v>0</v>
      </c>
      <c r="N26" s="6">
        <f>-D$4*LN(1-B23/F$19)</f>
        <v>154.84234305044006</v>
      </c>
      <c r="O26">
        <f t="array" ref="O26:O37">FREQUENCY('X data'!A2:A97,Exponential!N26:N37)</f>
        <v>7</v>
      </c>
      <c r="P26">
        <f t="shared" ref="P26:P37" si="10">B$23</f>
        <v>8</v>
      </c>
      <c r="Q26" s="3">
        <f t="shared" ref="Q26:Q37" si="11">((O26-P26)^2)/P26</f>
        <v>0.125</v>
      </c>
      <c r="S26" s="6">
        <f>M26</f>
        <v>0</v>
      </c>
      <c r="T26" s="6">
        <f>N26</f>
        <v>154.84234305044006</v>
      </c>
      <c r="U26">
        <f>O26</f>
        <v>7</v>
      </c>
      <c r="V26" s="10">
        <f>(EXP(-S26/C$4)-EXP(-T26/C$4))*F$19</f>
        <v>4.8452539955624125</v>
      </c>
      <c r="W26" s="3">
        <f t="shared" ref="W26:W37" si="12">((U26-V26)^2)/V26</f>
        <v>0.9582429214014444</v>
      </c>
    </row>
    <row r="27" spans="1:23">
      <c r="A27" s="6">
        <f>B26</f>
        <v>260.14951530282821</v>
      </c>
      <c r="B27" s="6">
        <f>-C$4*LN(EXP(-B26/C$4)-B$23/F$19)</f>
        <v>545.11106788779227</v>
      </c>
      <c r="C27">
        <v>18</v>
      </c>
      <c r="D27">
        <f t="shared" ref="D27:D37" si="13">B$23</f>
        <v>8</v>
      </c>
      <c r="E27" s="3">
        <f t="shared" ref="E27:E37" si="14">((C27-D27)^2)/D27</f>
        <v>12.5</v>
      </c>
      <c r="G27" s="6">
        <f t="shared" ref="G27:G37" si="15">A27</f>
        <v>260.14951530282821</v>
      </c>
      <c r="H27" s="6">
        <f t="shared" ref="H27:H36" si="16">B27</f>
        <v>545.11106788779227</v>
      </c>
      <c r="I27">
        <f t="shared" ref="I27:I37" si="17">C27</f>
        <v>18</v>
      </c>
      <c r="J27" s="3">
        <f t="shared" ref="J27:J36" si="18">(EXP(-G27/D$4)-EXP(-H27/D$4))*F$19</f>
        <v>12.272912583993474</v>
      </c>
      <c r="K27" s="3">
        <f t="shared" ref="K27:K36" si="19">((I27-J27)^2)/J27</f>
        <v>2.6725139648886582</v>
      </c>
      <c r="M27" s="6">
        <f>N26</f>
        <v>154.84234305044006</v>
      </c>
      <c r="N27" s="6">
        <f t="shared" ref="N27:N36" si="20">-D$4*LN(EXP(-N26/D$4)-B$23/F$19)</f>
        <v>324.45293959598484</v>
      </c>
      <c r="O27">
        <v>10</v>
      </c>
      <c r="P27">
        <f t="shared" si="10"/>
        <v>8</v>
      </c>
      <c r="Q27" s="3">
        <f t="shared" si="11"/>
        <v>0.5</v>
      </c>
      <c r="S27" s="6">
        <f t="shared" ref="S27:S37" si="21">M27</f>
        <v>154.84234305044006</v>
      </c>
      <c r="T27" s="6">
        <f t="shared" ref="T27:T36" si="22">N27</f>
        <v>324.45293959598484</v>
      </c>
      <c r="U27">
        <f t="shared" ref="U27:U36" si="23">O27</f>
        <v>10</v>
      </c>
      <c r="V27" s="3">
        <f t="shared" ref="V27:V36" si="24">(EXP(-S27/C$4)-EXP(-T27/C$4))*F$19</f>
        <v>5.0271859589954282</v>
      </c>
      <c r="W27" s="3">
        <f t="shared" si="12"/>
        <v>4.9190301866919075</v>
      </c>
    </row>
    <row r="28" spans="1:23">
      <c r="A28" s="6">
        <f>B27</f>
        <v>545.11106788779227</v>
      </c>
      <c r="B28" s="6">
        <f>-C$4*LN(EXP(-B27/C$4)-B$23/F$19)</f>
        <v>860.12144961875015</v>
      </c>
      <c r="C28">
        <v>10</v>
      </c>
      <c r="D28">
        <f t="shared" si="13"/>
        <v>8</v>
      </c>
      <c r="E28" s="3">
        <f t="shared" si="14"/>
        <v>0.5</v>
      </c>
      <c r="G28" s="6">
        <f t="shared" si="15"/>
        <v>545.11106788779227</v>
      </c>
      <c r="H28" s="6">
        <f t="shared" si="16"/>
        <v>860.12144961875015</v>
      </c>
      <c r="I28">
        <f t="shared" si="17"/>
        <v>10</v>
      </c>
      <c r="J28" s="3">
        <f t="shared" si="18"/>
        <v>11.465130765941698</v>
      </c>
      <c r="K28" s="3">
        <f t="shared" si="19"/>
        <v>0.18722927850815427</v>
      </c>
      <c r="M28" s="6">
        <f t="shared" ref="M28:M37" si="25">N27</f>
        <v>324.45293959598484</v>
      </c>
      <c r="N28" s="6">
        <f t="shared" si="20"/>
        <v>511.94875536045413</v>
      </c>
      <c r="O28">
        <v>11</v>
      </c>
      <c r="P28">
        <f t="shared" si="10"/>
        <v>8</v>
      </c>
      <c r="Q28" s="3">
        <f t="shared" si="11"/>
        <v>1.125</v>
      </c>
      <c r="S28" s="6">
        <f t="shared" si="21"/>
        <v>324.45293959598484</v>
      </c>
      <c r="T28" s="6">
        <f t="shared" si="22"/>
        <v>511.94875536045413</v>
      </c>
      <c r="U28">
        <f t="shared" si="23"/>
        <v>11</v>
      </c>
      <c r="V28" s="3">
        <f t="shared" si="24"/>
        <v>5.2352853596494278</v>
      </c>
      <c r="W28" s="3">
        <f t="shared" si="12"/>
        <v>6.3476835743863917</v>
      </c>
    </row>
    <row r="29" spans="1:23">
      <c r="A29" s="6">
        <f t="shared" ref="A29:A37" si="26">B28</f>
        <v>860.12144961875015</v>
      </c>
      <c r="B29" s="6">
        <f t="shared" ref="B29:B33" si="27">-C$4*LN(EXP(-B28/C$4)-B$23/F$19)</f>
        <v>1212.2730957253941</v>
      </c>
      <c r="C29">
        <v>8</v>
      </c>
      <c r="D29">
        <f t="shared" si="13"/>
        <v>8</v>
      </c>
      <c r="E29" s="3">
        <f t="shared" si="14"/>
        <v>0</v>
      </c>
      <c r="G29" s="6">
        <f t="shared" si="15"/>
        <v>860.12144961875015</v>
      </c>
      <c r="H29" s="6">
        <f t="shared" si="16"/>
        <v>1212.2730957253941</v>
      </c>
      <c r="I29">
        <f t="shared" si="17"/>
        <v>8</v>
      </c>
      <c r="J29" s="3">
        <f t="shared" si="18"/>
        <v>10.629588814360595</v>
      </c>
      <c r="K29" s="3">
        <f t="shared" si="19"/>
        <v>0.65051785665204054</v>
      </c>
      <c r="M29" s="6">
        <f t="shared" si="25"/>
        <v>511.94875536045413</v>
      </c>
      <c r="N29" s="6">
        <f t="shared" si="20"/>
        <v>721.55124463954655</v>
      </c>
      <c r="O29">
        <v>9</v>
      </c>
      <c r="P29">
        <f t="shared" si="10"/>
        <v>8</v>
      </c>
      <c r="Q29" s="3">
        <f t="shared" si="11"/>
        <v>0.125</v>
      </c>
      <c r="S29" s="6">
        <f t="shared" si="21"/>
        <v>511.94875536045413</v>
      </c>
      <c r="T29" s="6">
        <f t="shared" si="22"/>
        <v>721.55124463954655</v>
      </c>
      <c r="U29">
        <f t="shared" si="23"/>
        <v>9</v>
      </c>
      <c r="V29" s="3">
        <f t="shared" si="24"/>
        <v>5.4767423740467152</v>
      </c>
      <c r="W29" s="3">
        <f t="shared" si="12"/>
        <v>2.2665561845053284</v>
      </c>
    </row>
    <row r="30" spans="1:23">
      <c r="A30" s="6">
        <f t="shared" si="26"/>
        <v>1212.2730957253941</v>
      </c>
      <c r="B30" s="6">
        <f t="shared" si="27"/>
        <v>1611.5097044406132</v>
      </c>
      <c r="C30">
        <v>7</v>
      </c>
      <c r="D30">
        <f t="shared" si="13"/>
        <v>8</v>
      </c>
      <c r="E30" s="3">
        <f t="shared" si="14"/>
        <v>0.125</v>
      </c>
      <c r="G30" s="6">
        <f t="shared" si="15"/>
        <v>1212.2730957253941</v>
      </c>
      <c r="H30" s="6">
        <f t="shared" si="16"/>
        <v>1611.5097044406132</v>
      </c>
      <c r="I30">
        <f t="shared" si="17"/>
        <v>7</v>
      </c>
      <c r="J30" s="3">
        <f t="shared" si="18"/>
        <v>9.7618624982627917</v>
      </c>
      <c r="K30" s="3">
        <f t="shared" si="19"/>
        <v>0.78139642518708263</v>
      </c>
      <c r="M30" s="6">
        <f t="shared" si="25"/>
        <v>721.55124463954655</v>
      </c>
      <c r="N30" s="6">
        <f t="shared" si="20"/>
        <v>959.17894828149213</v>
      </c>
      <c r="O30">
        <v>5</v>
      </c>
      <c r="P30">
        <f t="shared" si="10"/>
        <v>8</v>
      </c>
      <c r="Q30" s="3">
        <f t="shared" si="11"/>
        <v>1.125</v>
      </c>
      <c r="S30" s="6">
        <f t="shared" si="21"/>
        <v>721.55124463954655</v>
      </c>
      <c r="T30" s="6">
        <f t="shared" si="22"/>
        <v>959.17894828149213</v>
      </c>
      <c r="U30">
        <f t="shared" si="23"/>
        <v>5</v>
      </c>
      <c r="V30" s="3">
        <f t="shared" si="24"/>
        <v>5.7619122436538177</v>
      </c>
      <c r="W30" s="3">
        <f t="shared" si="12"/>
        <v>0.10074958494360441</v>
      </c>
    </row>
    <row r="31" spans="1:23">
      <c r="A31" s="6">
        <f t="shared" si="26"/>
        <v>1611.5097044406132</v>
      </c>
      <c r="B31" s="6">
        <f t="shared" si="27"/>
        <v>2072.3945453441443</v>
      </c>
      <c r="C31">
        <v>10</v>
      </c>
      <c r="D31">
        <f t="shared" si="13"/>
        <v>8</v>
      </c>
      <c r="E31" s="3">
        <f t="shared" si="14"/>
        <v>0.5</v>
      </c>
      <c r="G31" s="6">
        <f t="shared" si="15"/>
        <v>1611.5097044406132</v>
      </c>
      <c r="H31" s="6">
        <f t="shared" si="16"/>
        <v>2072.3945453441443</v>
      </c>
      <c r="I31">
        <f t="shared" si="17"/>
        <v>10</v>
      </c>
      <c r="J31" s="3">
        <f t="shared" si="18"/>
        <v>8.8561120908252562</v>
      </c>
      <c r="K31" s="3">
        <f t="shared" si="19"/>
        <v>0.14774875649007693</v>
      </c>
      <c r="M31" s="6">
        <f t="shared" si="25"/>
        <v>959.17894828149213</v>
      </c>
      <c r="N31" s="6">
        <f t="shared" si="20"/>
        <v>1233.5000000000007</v>
      </c>
      <c r="O31">
        <v>6</v>
      </c>
      <c r="P31">
        <f t="shared" si="10"/>
        <v>8</v>
      </c>
      <c r="Q31" s="3">
        <f t="shared" si="11"/>
        <v>0.5</v>
      </c>
      <c r="S31" s="6">
        <f t="shared" si="21"/>
        <v>959.17894828149213</v>
      </c>
      <c r="T31" s="6">
        <f t="shared" si="22"/>
        <v>1233.5000000000007</v>
      </c>
      <c r="U31">
        <f t="shared" si="23"/>
        <v>6</v>
      </c>
      <c r="V31" s="3">
        <f t="shared" si="24"/>
        <v>6.1063913666647416</v>
      </c>
      <c r="W31" s="3">
        <f t="shared" si="12"/>
        <v>1.8536517267110401E-3</v>
      </c>
    </row>
    <row r="32" spans="1:23">
      <c r="A32" s="6">
        <f t="shared" si="26"/>
        <v>2072.3945453441443</v>
      </c>
      <c r="B32" s="6">
        <f t="shared" si="27"/>
        <v>2617.5056132319364</v>
      </c>
      <c r="C32">
        <v>5</v>
      </c>
      <c r="D32">
        <f t="shared" si="13"/>
        <v>8</v>
      </c>
      <c r="E32" s="3">
        <f t="shared" si="14"/>
        <v>1.125</v>
      </c>
      <c r="G32" s="6">
        <f t="shared" si="15"/>
        <v>2072.3945453441443</v>
      </c>
      <c r="H32" s="6">
        <f t="shared" si="16"/>
        <v>2617.5056132319364</v>
      </c>
      <c r="I32">
        <f t="shared" si="17"/>
        <v>5</v>
      </c>
      <c r="J32" s="3">
        <f t="shared" si="18"/>
        <v>7.9043262692067753</v>
      </c>
      <c r="K32" s="3">
        <f t="shared" si="19"/>
        <v>1.0671511765481609</v>
      </c>
      <c r="M32" s="6">
        <f t="shared" si="25"/>
        <v>1233.5000000000007</v>
      </c>
      <c r="N32" s="6">
        <f t="shared" si="20"/>
        <v>1557.9529395959855</v>
      </c>
      <c r="O32">
        <v>6</v>
      </c>
      <c r="P32">
        <f t="shared" si="10"/>
        <v>8</v>
      </c>
      <c r="Q32" s="3">
        <f t="shared" si="11"/>
        <v>0.5</v>
      </c>
      <c r="S32" s="6">
        <f t="shared" si="21"/>
        <v>1233.5000000000007</v>
      </c>
      <c r="T32" s="6">
        <f t="shared" si="22"/>
        <v>1557.9529395959855</v>
      </c>
      <c r="U32">
        <f t="shared" si="23"/>
        <v>6</v>
      </c>
      <c r="V32" s="3">
        <f t="shared" si="24"/>
        <v>6.5350645795145503</v>
      </c>
      <c r="W32" s="3">
        <f t="shared" si="12"/>
        <v>4.3808917382167564E-2</v>
      </c>
    </row>
    <row r="33" spans="1:23">
      <c r="A33" s="6">
        <f t="shared" si="26"/>
        <v>2617.5056132319364</v>
      </c>
      <c r="B33" s="6">
        <f t="shared" si="27"/>
        <v>3284.6676410695377</v>
      </c>
      <c r="C33">
        <v>6</v>
      </c>
      <c r="D33">
        <f t="shared" si="13"/>
        <v>8</v>
      </c>
      <c r="E33" s="3">
        <f t="shared" si="14"/>
        <v>0.5</v>
      </c>
      <c r="G33" s="6">
        <f t="shared" si="15"/>
        <v>2617.5056132319364</v>
      </c>
      <c r="H33" s="6">
        <f t="shared" si="16"/>
        <v>3284.6676410695377</v>
      </c>
      <c r="I33">
        <f t="shared" si="17"/>
        <v>6</v>
      </c>
      <c r="J33" s="3">
        <f t="shared" si="18"/>
        <v>6.8949345343507344</v>
      </c>
      <c r="K33" s="3">
        <f t="shared" si="19"/>
        <v>0.11615887239877672</v>
      </c>
      <c r="M33" s="6">
        <f t="shared" si="25"/>
        <v>1557.9529395959855</v>
      </c>
      <c r="N33" s="6">
        <f t="shared" si="20"/>
        <v>1955.0512446395471</v>
      </c>
      <c r="O33">
        <v>9</v>
      </c>
      <c r="P33">
        <f t="shared" si="10"/>
        <v>8</v>
      </c>
      <c r="Q33" s="3">
        <f t="shared" si="11"/>
        <v>0.125</v>
      </c>
      <c r="S33" s="6">
        <f t="shared" si="21"/>
        <v>1557.9529395959855</v>
      </c>
      <c r="T33" s="6">
        <f t="shared" si="22"/>
        <v>1955.0512446395471</v>
      </c>
      <c r="U33">
        <f t="shared" si="23"/>
        <v>9</v>
      </c>
      <c r="V33" s="3">
        <f t="shared" si="24"/>
        <v>7.0908299609294012</v>
      </c>
      <c r="W33" s="3">
        <f t="shared" si="12"/>
        <v>0.51403435961212751</v>
      </c>
    </row>
    <row r="34" spans="1:23">
      <c r="A34" s="6">
        <f t="shared" si="26"/>
        <v>3284.6676410695377</v>
      </c>
      <c r="B34" s="6">
        <f t="shared" ref="B34:B35" si="28">-C$4*LN(EXP(-B33/C$4)-B$23/F$19)</f>
        <v>4144.7890906882876</v>
      </c>
      <c r="C34">
        <v>6</v>
      </c>
      <c r="D34">
        <f t="shared" si="13"/>
        <v>8</v>
      </c>
      <c r="E34" s="3">
        <f t="shared" si="14"/>
        <v>0.5</v>
      </c>
      <c r="G34" s="6">
        <f t="shared" si="15"/>
        <v>3284.6676410695377</v>
      </c>
      <c r="H34" s="6">
        <f t="shared" si="16"/>
        <v>4144.7890906882876</v>
      </c>
      <c r="I34">
        <f t="shared" si="17"/>
        <v>6</v>
      </c>
      <c r="J34" s="3">
        <f t="shared" si="18"/>
        <v>5.8099726266003753</v>
      </c>
      <c r="K34" s="3">
        <f t="shared" si="19"/>
        <v>6.2152448835701146E-3</v>
      </c>
      <c r="M34" s="6">
        <f t="shared" si="25"/>
        <v>1955.0512446395471</v>
      </c>
      <c r="N34" s="6">
        <f t="shared" si="20"/>
        <v>2467.0000000000014</v>
      </c>
      <c r="O34">
        <v>5</v>
      </c>
      <c r="P34">
        <f t="shared" si="10"/>
        <v>8</v>
      </c>
      <c r="Q34" s="3">
        <f t="shared" si="11"/>
        <v>1.125</v>
      </c>
      <c r="S34" s="6">
        <f t="shared" si="21"/>
        <v>1955.0512446395471</v>
      </c>
      <c r="T34" s="6">
        <f t="shared" si="22"/>
        <v>2467.0000000000014</v>
      </c>
      <c r="U34">
        <f t="shared" si="23"/>
        <v>5</v>
      </c>
      <c r="V34" s="3">
        <f t="shared" si="24"/>
        <v>7.8562271231551133</v>
      </c>
      <c r="W34" s="3">
        <f t="shared" si="12"/>
        <v>1.0384161826231182</v>
      </c>
    </row>
    <row r="35" spans="1:23">
      <c r="A35" s="6">
        <f t="shared" si="26"/>
        <v>4144.7890906882876</v>
      </c>
      <c r="B35" s="6">
        <f t="shared" si="28"/>
        <v>5357.062186413682</v>
      </c>
      <c r="C35">
        <v>3</v>
      </c>
      <c r="D35">
        <f t="shared" si="13"/>
        <v>8</v>
      </c>
      <c r="E35" s="3">
        <f t="shared" si="14"/>
        <v>3.125</v>
      </c>
      <c r="G35" s="6">
        <f t="shared" si="15"/>
        <v>4144.7890906882876</v>
      </c>
      <c r="H35" s="6">
        <f t="shared" si="16"/>
        <v>5357.062186413682</v>
      </c>
      <c r="I35">
        <f t="shared" si="17"/>
        <v>3</v>
      </c>
      <c r="J35" s="10">
        <f t="shared" si="18"/>
        <v>4.6182950648661709</v>
      </c>
      <c r="K35" s="3">
        <f t="shared" si="19"/>
        <v>0.5670661748950192</v>
      </c>
      <c r="M35" s="6">
        <f t="shared" si="25"/>
        <v>2467.0000000000014</v>
      </c>
      <c r="N35" s="6">
        <f t="shared" si="20"/>
        <v>3188.5512446395487</v>
      </c>
      <c r="O35">
        <v>8</v>
      </c>
      <c r="P35">
        <f t="shared" si="10"/>
        <v>8</v>
      </c>
      <c r="Q35" s="3">
        <f t="shared" si="11"/>
        <v>0</v>
      </c>
      <c r="S35" s="6">
        <f t="shared" si="21"/>
        <v>2467.0000000000014</v>
      </c>
      <c r="T35" s="6">
        <f t="shared" si="22"/>
        <v>3188.5512446395487</v>
      </c>
      <c r="U35">
        <f t="shared" si="23"/>
        <v>8</v>
      </c>
      <c r="V35" s="3">
        <f t="shared" si="24"/>
        <v>9.019664964824214</v>
      </c>
      <c r="W35" s="3">
        <f t="shared" si="12"/>
        <v>0.11527220185503075</v>
      </c>
    </row>
    <row r="36" spans="1:23">
      <c r="A36" s="6">
        <f t="shared" si="26"/>
        <v>5357.062186413682</v>
      </c>
      <c r="B36" s="6">
        <f>-C$4*LN(EXP(-B35/C$4)-B$23/F$19)</f>
        <v>7429.4567317578258</v>
      </c>
      <c r="C36">
        <v>4</v>
      </c>
      <c r="D36">
        <f t="shared" si="13"/>
        <v>8</v>
      </c>
      <c r="E36" s="3">
        <f t="shared" si="14"/>
        <v>2</v>
      </c>
      <c r="G36" s="6">
        <f t="shared" si="15"/>
        <v>5357.062186413682</v>
      </c>
      <c r="H36" s="6">
        <f t="shared" si="16"/>
        <v>7429.4567317578258</v>
      </c>
      <c r="I36">
        <f t="shared" si="17"/>
        <v>4</v>
      </c>
      <c r="J36" s="10">
        <f t="shared" si="18"/>
        <v>3.2542718081585633</v>
      </c>
      <c r="K36" s="3">
        <f t="shared" si="19"/>
        <v>0.17088632077778868</v>
      </c>
      <c r="M36" s="6">
        <f t="shared" si="25"/>
        <v>3188.5512446395487</v>
      </c>
      <c r="N36" s="6">
        <f t="shared" si="20"/>
        <v>4422.0512446395514</v>
      </c>
      <c r="O36">
        <v>6</v>
      </c>
      <c r="P36">
        <f t="shared" si="10"/>
        <v>8</v>
      </c>
      <c r="Q36" s="3">
        <f t="shared" si="11"/>
        <v>0.5</v>
      </c>
      <c r="S36" s="6">
        <f t="shared" si="21"/>
        <v>3188.5512446395487</v>
      </c>
      <c r="T36" s="6">
        <f t="shared" si="22"/>
        <v>4422.0512446395514</v>
      </c>
      <c r="U36">
        <f t="shared" si="23"/>
        <v>6</v>
      </c>
      <c r="V36" s="3">
        <f t="shared" si="24"/>
        <v>11.171001813077426</v>
      </c>
      <c r="W36" s="3">
        <f t="shared" si="12"/>
        <v>2.3936313142074233</v>
      </c>
    </row>
    <row r="37" spans="1:23">
      <c r="A37" s="6">
        <f t="shared" si="26"/>
        <v>7429.4567317578258</v>
      </c>
      <c r="B37" s="6"/>
      <c r="C37">
        <v>7</v>
      </c>
      <c r="D37">
        <f t="shared" si="13"/>
        <v>8</v>
      </c>
      <c r="E37" s="3">
        <f t="shared" si="14"/>
        <v>0.125</v>
      </c>
      <c r="G37" s="6">
        <f t="shared" si="15"/>
        <v>7429.4567317578258</v>
      </c>
      <c r="H37" s="6"/>
      <c r="I37">
        <f t="shared" si="17"/>
        <v>7</v>
      </c>
      <c r="J37" s="10">
        <f>(EXP(-G37/D$4))*F$19</f>
        <v>1.4762044993664456</v>
      </c>
      <c r="K37" s="3">
        <f>((I37-J37)^2)/J37</f>
        <v>20.669437564995032</v>
      </c>
      <c r="M37" s="6">
        <f t="shared" si="25"/>
        <v>4422.0512446395514</v>
      </c>
      <c r="N37" s="6"/>
      <c r="O37">
        <v>14</v>
      </c>
      <c r="P37">
        <f t="shared" si="10"/>
        <v>8</v>
      </c>
      <c r="Q37" s="3">
        <f t="shared" si="11"/>
        <v>4.5</v>
      </c>
      <c r="S37" s="6">
        <f t="shared" si="21"/>
        <v>4422.0512446395514</v>
      </c>
      <c r="T37" s="6"/>
      <c r="U37">
        <f>O37</f>
        <v>14</v>
      </c>
      <c r="V37" s="3">
        <f>(EXP(-S37/C$4))*F$19</f>
        <v>21.87444025992675</v>
      </c>
      <c r="W37" s="3">
        <f t="shared" si="12"/>
        <v>2.8346695353274791</v>
      </c>
    </row>
    <row r="39" spans="1:23">
      <c r="C39" s="6">
        <f>SUM(C26:C37)</f>
        <v>96</v>
      </c>
      <c r="D39" s="6">
        <f>SUM(D26:D37)</f>
        <v>96</v>
      </c>
      <c r="E39" s="3">
        <f>SUM(E26:E37)</f>
        <v>23</v>
      </c>
      <c r="I39" s="6">
        <f>SUM(I26:I37)</f>
        <v>96</v>
      </c>
      <c r="J39" s="6">
        <f>SUM(J26:J37)</f>
        <v>96.000000000000014</v>
      </c>
      <c r="K39" s="3">
        <f>SUM(K26:K37)</f>
        <v>27.121793706049736</v>
      </c>
      <c r="O39" s="6">
        <f>SUM(O26:O37)</f>
        <v>96</v>
      </c>
      <c r="P39" s="6">
        <f>SUM(P26:P37)</f>
        <v>96</v>
      </c>
      <c r="Q39" s="3">
        <f>SUM(Q26:Q37)</f>
        <v>10.25</v>
      </c>
      <c r="U39" s="6">
        <f>SUM(U26:U37)</f>
        <v>96</v>
      </c>
      <c r="V39" s="6">
        <f>SUM(V26:V37)</f>
        <v>96</v>
      </c>
      <c r="W39" s="3">
        <f>SUM(W26:W37)</f>
        <v>21.53394861466273</v>
      </c>
    </row>
    <row r="41" spans="1:23">
      <c r="E41" s="9">
        <f>CHIDIST(E39,10)</f>
        <v>1.0746578385058266E-2</v>
      </c>
      <c r="K41" s="9">
        <f>CHIDIST(K39,10)</f>
        <v>2.4912396351074082E-3</v>
      </c>
      <c r="Q41" s="9">
        <f>CHIDIST(Q39,10)</f>
        <v>0.4188406168390103</v>
      </c>
      <c r="W41" s="9">
        <f>CHIDIST(W39,10)</f>
        <v>1.7663105252269842E-2</v>
      </c>
    </row>
    <row r="46" spans="1:23">
      <c r="B46" s="7"/>
      <c r="H46" s="7"/>
      <c r="N46" s="7"/>
    </row>
    <row r="47" spans="1:23">
      <c r="A47" s="6"/>
      <c r="B47" s="6"/>
      <c r="D47" s="6"/>
      <c r="E47" s="3"/>
      <c r="G47" s="6"/>
      <c r="H47" s="6"/>
      <c r="J47" s="3"/>
      <c r="K47" s="3"/>
      <c r="N47" s="6"/>
      <c r="P47" s="3"/>
      <c r="Q47" s="3"/>
    </row>
    <row r="48" spans="1:23">
      <c r="A48" s="6"/>
      <c r="B48" s="6"/>
      <c r="D48" s="6"/>
      <c r="E48" s="3"/>
      <c r="G48" s="6"/>
      <c r="H48" s="6"/>
      <c r="J48" s="3"/>
      <c r="K48" s="3"/>
      <c r="M48" s="6"/>
      <c r="N48" s="6"/>
      <c r="P48" s="3"/>
      <c r="Q48" s="3"/>
    </row>
    <row r="49" spans="1:17">
      <c r="A49" s="6"/>
      <c r="B49" s="6"/>
      <c r="D49" s="6"/>
      <c r="E49" s="3"/>
      <c r="G49" s="6"/>
      <c r="H49" s="6"/>
      <c r="J49" s="3"/>
      <c r="K49" s="3"/>
      <c r="M49" s="6"/>
      <c r="N49" s="6"/>
      <c r="P49" s="3"/>
      <c r="Q49" s="3"/>
    </row>
    <row r="50" spans="1:17">
      <c r="A50" s="6"/>
      <c r="B50" s="6"/>
      <c r="D50" s="6"/>
      <c r="E50" s="3"/>
      <c r="G50" s="6"/>
      <c r="H50" s="6"/>
      <c r="J50" s="3"/>
      <c r="K50" s="3"/>
      <c r="M50" s="6"/>
      <c r="N50" s="6"/>
      <c r="P50" s="3"/>
      <c r="Q50" s="3"/>
    </row>
    <row r="51" spans="1:17">
      <c r="A51" s="6"/>
      <c r="B51" s="6"/>
      <c r="D51" s="6"/>
      <c r="E51" s="3"/>
      <c r="G51" s="6"/>
      <c r="H51" s="6"/>
      <c r="J51" s="3"/>
      <c r="K51" s="3"/>
      <c r="M51" s="6"/>
      <c r="N51" s="6"/>
      <c r="P51" s="3"/>
      <c r="Q51" s="3"/>
    </row>
    <row r="52" spans="1:17">
      <c r="A52" s="6"/>
      <c r="B52" s="6"/>
      <c r="D52" s="6"/>
      <c r="E52" s="3"/>
      <c r="G52" s="6"/>
      <c r="H52" s="6"/>
      <c r="J52" s="3"/>
      <c r="K52" s="3"/>
      <c r="M52" s="6"/>
      <c r="N52" s="6"/>
      <c r="P52" s="3"/>
      <c r="Q52" s="3"/>
    </row>
    <row r="53" spans="1:17">
      <c r="A53" s="6"/>
      <c r="B53" s="6"/>
      <c r="D53" s="6"/>
      <c r="E53" s="3"/>
      <c r="G53" s="6"/>
      <c r="H53" s="6"/>
      <c r="J53" s="3"/>
      <c r="K53" s="3"/>
      <c r="M53" s="6"/>
      <c r="N53" s="6"/>
      <c r="P53" s="3"/>
      <c r="Q53" s="3"/>
    </row>
    <row r="54" spans="1:17">
      <c r="A54" s="6"/>
      <c r="B54" s="6"/>
      <c r="D54" s="6"/>
      <c r="E54" s="3"/>
      <c r="G54" s="6"/>
      <c r="H54" s="6"/>
      <c r="J54" s="10"/>
      <c r="K54" s="3"/>
      <c r="M54" s="6"/>
      <c r="P54" s="3"/>
      <c r="Q54" s="3"/>
    </row>
    <row r="55" spans="1:17">
      <c r="A55" s="6"/>
      <c r="B55" s="6"/>
    </row>
    <row r="56" spans="1:17">
      <c r="A56" s="6"/>
      <c r="B56" s="6"/>
    </row>
    <row r="57" spans="1:17">
      <c r="A57" s="6"/>
      <c r="B57" s="6"/>
      <c r="D57" s="6"/>
      <c r="E57" s="3"/>
      <c r="K57" s="3"/>
      <c r="Q57" s="3"/>
    </row>
    <row r="58" spans="1:17">
      <c r="A58" s="6"/>
      <c r="B58" s="6"/>
    </row>
    <row r="59" spans="1:17">
      <c r="A59" s="6"/>
      <c r="B59" s="6"/>
      <c r="E59" s="9"/>
      <c r="K59" s="9"/>
      <c r="Q59" s="9"/>
    </row>
    <row r="60" spans="1:17">
      <c r="A60" s="6"/>
      <c r="B60" s="6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>
      <selection activeCell="F42" sqref="F42"/>
    </sheetView>
  </sheetViews>
  <sheetFormatPr defaultRowHeight="15"/>
  <cols>
    <col min="1" max="1" width="14.85546875" bestFit="1" customWidth="1"/>
    <col min="2" max="2" width="18.140625" customWidth="1"/>
    <col min="3" max="3" width="12" bestFit="1" customWidth="1"/>
    <col min="5" max="5" width="10.85546875" bestFit="1" customWidth="1"/>
    <col min="6" max="6" width="15.5703125" bestFit="1" customWidth="1"/>
    <col min="7" max="7" width="11.5703125" customWidth="1"/>
    <col min="8" max="8" width="13.85546875" bestFit="1" customWidth="1"/>
    <col min="9" max="9" width="7.7109375" customWidth="1"/>
    <col min="10" max="10" width="13.85546875" bestFit="1" customWidth="1"/>
    <col min="11" max="11" width="15.5703125" customWidth="1"/>
    <col min="12" max="12" width="13" customWidth="1"/>
    <col min="13" max="13" width="6.7109375" customWidth="1"/>
    <col min="14" max="14" width="15.140625" customWidth="1"/>
    <col min="15" max="15" width="19.7109375" bestFit="1" customWidth="1"/>
    <col min="16" max="16" width="11" customWidth="1"/>
  </cols>
  <sheetData>
    <row r="1" spans="1:23">
      <c r="A1" t="s">
        <v>58</v>
      </c>
      <c r="G1" s="19" t="s">
        <v>67</v>
      </c>
      <c r="H1" s="25"/>
      <c r="I1" s="26"/>
      <c r="J1" s="15"/>
      <c r="K1" s="19" t="s">
        <v>69</v>
      </c>
      <c r="L1" s="20"/>
      <c r="O1" t="s">
        <v>46</v>
      </c>
    </row>
    <row r="2" spans="1:23">
      <c r="B2" s="38"/>
      <c r="C2" s="36" t="s">
        <v>35</v>
      </c>
      <c r="D2" s="39" t="s">
        <v>3</v>
      </c>
      <c r="E2" s="40" t="s">
        <v>2</v>
      </c>
      <c r="G2" s="21" t="s">
        <v>34</v>
      </c>
      <c r="H2" s="28">
        <f>GAMMAINV(25%,D3,D4)</f>
        <v>400.99999990238439</v>
      </c>
      <c r="I2" s="29">
        <f>GAMMAINV(75%,D3,D4)</f>
        <v>2836.7499995572825</v>
      </c>
      <c r="K2" s="21" t="s">
        <v>45</v>
      </c>
      <c r="L2" s="32">
        <f>(GAMMALN(E3+L3)-GAMMALN(E3-L3))/(2*L3)</f>
        <v>-1.4504225236022792</v>
      </c>
      <c r="O2" t="s">
        <v>43</v>
      </c>
      <c r="P2">
        <f>(GAMMALN(Gamma!E3+Gamma!L3+Gamma!L3)-GAMMALN(Gamma!E3+Gamma!L3-Gamma!L3))/(2*Gamma!L3)</f>
        <v>-1.4503885717609408</v>
      </c>
    </row>
    <row r="3" spans="1:23">
      <c r="B3" s="21" t="s">
        <v>29</v>
      </c>
      <c r="C3" s="21">
        <f>96*('X data'!D2^2)/(95*'X data'!D3^2)</f>
        <v>0.19217021940765611</v>
      </c>
      <c r="D3" s="34">
        <v>0.72364713478334719</v>
      </c>
      <c r="E3" s="41">
        <v>0.62567277948074018</v>
      </c>
      <c r="G3" s="21" t="s">
        <v>33</v>
      </c>
      <c r="H3" s="27">
        <f>'X data'!D12</f>
        <v>401</v>
      </c>
      <c r="I3" s="30">
        <f>'X data'!E12</f>
        <v>2836.75</v>
      </c>
      <c r="K3" s="21" t="s">
        <v>40</v>
      </c>
      <c r="L3" s="22">
        <v>1.0000000000000001E-5</v>
      </c>
      <c r="O3" t="s">
        <v>44</v>
      </c>
      <c r="P3">
        <f>(GAMMALN(Gamma!E3-Gamma!L3+Gamma!L3)-GAMMALN(Gamma!E3-Gamma!L3-Gamma!L3))/(2*Gamma!L3)</f>
        <v>-1.4504564763040404</v>
      </c>
    </row>
    <row r="4" spans="1:23">
      <c r="B4" s="21" t="s">
        <v>30</v>
      </c>
      <c r="C4" s="21">
        <f>'X data'!D2/C3</f>
        <v>15558.255293401709</v>
      </c>
      <c r="D4" s="34">
        <v>2848.316675051969</v>
      </c>
      <c r="E4" s="29">
        <f>E5/E3</f>
        <v>4778.5894342641259</v>
      </c>
      <c r="G4" s="23" t="s">
        <v>66</v>
      </c>
      <c r="H4" s="43">
        <f>H2-H3</f>
        <v>-9.7615611593937501E-8</v>
      </c>
      <c r="I4" s="35">
        <f>I2-I3</f>
        <v>-4.427174644661136E-7</v>
      </c>
      <c r="K4" s="23" t="s">
        <v>41</v>
      </c>
      <c r="L4" s="33">
        <f>96*LN(E3)+96-96*LN(E5)-96*L2+'X data'!D8-(1/E5)*'X data'!D6</f>
        <v>-6.056624215489137E-7</v>
      </c>
      <c r="O4" t="s">
        <v>42</v>
      </c>
      <c r="P4">
        <f>(P2-P3)/(2*Gamma!L3)</f>
        <v>3.3952271549786412</v>
      </c>
    </row>
    <row r="5" spans="1:23">
      <c r="B5" s="23" t="s">
        <v>36</v>
      </c>
      <c r="C5" s="23"/>
      <c r="D5" s="31"/>
      <c r="E5" s="35">
        <f>'X data'!D2</f>
        <v>2989.8333333333335</v>
      </c>
      <c r="G5" s="44" t="s">
        <v>70</v>
      </c>
      <c r="H5" s="34"/>
      <c r="I5" s="34"/>
      <c r="K5" s="44" t="s">
        <v>72</v>
      </c>
    </row>
    <row r="6" spans="1:23">
      <c r="G6" s="45" t="s">
        <v>71</v>
      </c>
      <c r="H6" s="34"/>
      <c r="I6" s="34"/>
    </row>
    <row r="7" spans="1:23">
      <c r="G7" s="42"/>
      <c r="H7" s="34"/>
      <c r="I7" s="34"/>
      <c r="K7" s="42"/>
    </row>
    <row r="8" spans="1:23">
      <c r="O8" s="17"/>
    </row>
    <row r="9" spans="1:23">
      <c r="E9" t="s">
        <v>49</v>
      </c>
      <c r="H9" t="s">
        <v>50</v>
      </c>
      <c r="K9" t="s">
        <v>55</v>
      </c>
      <c r="R9" t="s">
        <v>35</v>
      </c>
      <c r="S9" t="s">
        <v>3</v>
      </c>
      <c r="T9" t="s">
        <v>2</v>
      </c>
    </row>
    <row r="10" spans="1:23">
      <c r="B10" s="7" t="s">
        <v>47</v>
      </c>
      <c r="C10" s="8" t="s">
        <v>28</v>
      </c>
      <c r="E10" t="s">
        <v>27</v>
      </c>
      <c r="F10" t="s">
        <v>4</v>
      </c>
      <c r="H10" t="s">
        <v>27</v>
      </c>
      <c r="I10" t="s">
        <v>4</v>
      </c>
      <c r="J10" s="8"/>
      <c r="K10" t="s">
        <v>27</v>
      </c>
      <c r="L10" t="s">
        <v>4</v>
      </c>
      <c r="P10" s="7" t="s">
        <v>48</v>
      </c>
      <c r="R10" s="7"/>
      <c r="S10" s="8"/>
      <c r="U10" s="8"/>
    </row>
    <row r="11" spans="1:23">
      <c r="A11" s="6">
        <v>0</v>
      </c>
      <c r="B11" s="6">
        <f>Exponential!B26</f>
        <v>260.14951530282821</v>
      </c>
      <c r="C11">
        <f t="array" ref="C11:C22">FREQUENCY('X data'!A2:A97,Gamma!B11:B22)</f>
        <v>12</v>
      </c>
      <c r="E11" s="3">
        <f>96*(GAMMADIST(B11,E$3,E$4,TRUE)-GAMMADIST(A11,E$3,E$4,TRUE))</f>
        <v>16.970778370823073</v>
      </c>
      <c r="F11" s="3">
        <f>(($C11-E11)^2)/E11</f>
        <v>1.4559519352584727</v>
      </c>
      <c r="H11" s="3">
        <f>96*(GAMMADIST(B11,D$3,D$4,TRUE)-GAMMADIST(A11,D$3,D$4,TRUE))</f>
        <v>17.906766524662419</v>
      </c>
      <c r="I11" s="3">
        <f>(($C11-H11)^2)/H11</f>
        <v>1.9484193714604934</v>
      </c>
      <c r="K11" s="3">
        <f>96*(GAMMADIST(B11,C$3,C$4,TRUE)-GAMMADIST(A11,C$3,C$4,TRUE))</f>
        <v>47.396471731381709</v>
      </c>
      <c r="L11" s="3">
        <f>(($C11-K11)^2)/K11</f>
        <v>26.434672566585565</v>
      </c>
      <c r="O11">
        <f>'X data'!U6</f>
        <v>0</v>
      </c>
      <c r="P11">
        <f>Exponential!B7</f>
        <v>1000</v>
      </c>
      <c r="Q11" s="3"/>
      <c r="R11" s="3">
        <f>GAMMADIST($P11,C$3,C$4,TRUE)-GAMMADIST($O11,C$3,C$4,TRUE)</f>
        <v>0.63470743237333693</v>
      </c>
      <c r="S11" s="3">
        <f>GAMMADIST($P11,D$3,D$4,TRUE)-GAMMADIST($O11,D$3,D$4,TRUE)</f>
        <v>0.44541294424101407</v>
      </c>
      <c r="T11" s="3">
        <f>GAMMADIST($P11,E$3,E$4,TRUE)-GAMMADIST($O11,E$3,E$4,TRUE)</f>
        <v>0.38745608722474761</v>
      </c>
      <c r="V11" s="10"/>
      <c r="W11" s="3"/>
    </row>
    <row r="12" spans="1:23">
      <c r="A12" s="6">
        <f>B11</f>
        <v>260.14951530282821</v>
      </c>
      <c r="B12" s="6">
        <f>Exponential!B27</f>
        <v>545.11106788779227</v>
      </c>
      <c r="C12">
        <v>18</v>
      </c>
      <c r="E12" s="3">
        <f>96*(GAMMADIST(B12,E$3,E$4,TRUE)-GAMMADIST(A12,E$3,E$4,TRUE))</f>
        <v>9.3885776292649226</v>
      </c>
      <c r="F12" s="3">
        <f t="shared" ref="F12:F22" si="0">((C12-E12)^2)/E12</f>
        <v>7.8985974420709582</v>
      </c>
      <c r="H12" s="3">
        <f>96*(GAMMADIST(B12,D$3,D$4,TRUE)-GAMMADIST(A12,D$3,D$4,TRUE))</f>
        <v>11.456308781106522</v>
      </c>
      <c r="I12" s="3">
        <f t="shared" ref="I12:I21" si="1">(($C12-H12)^2)/H12</f>
        <v>3.7376694000113888</v>
      </c>
      <c r="K12" s="3">
        <f>96*(GAMMADIST(B12,C$3,C$4,TRUE)-GAMMADIST(A12,C$3,C$4,TRUE))</f>
        <v>7.0805576109652932</v>
      </c>
      <c r="L12" s="3">
        <f t="shared" ref="L12:L21" si="2">(($C12-K12)^2)/K12</f>
        <v>16.839665551593864</v>
      </c>
      <c r="M12" s="6"/>
      <c r="O12">
        <f>P11</f>
        <v>1000</v>
      </c>
      <c r="P12">
        <f>Exponential!B8</f>
        <v>2000</v>
      </c>
      <c r="Q12" s="3"/>
      <c r="R12" s="3">
        <f t="shared" ref="R12:T19" si="3">GAMMADIST($P12,C$3,C$4,TRUE)-GAMMADIST($O12,C$3,C$4,TRUE)</f>
        <v>8.3228209060204894E-2</v>
      </c>
      <c r="S12" s="3">
        <f t="shared" si="3"/>
        <v>0.19959399369192166</v>
      </c>
      <c r="T12" s="3">
        <f t="shared" si="3"/>
        <v>0.16730402126436666</v>
      </c>
      <c r="V12" s="3"/>
      <c r="W12" s="3"/>
    </row>
    <row r="13" spans="1:23">
      <c r="A13" s="6">
        <f>B12</f>
        <v>545.11106788779227</v>
      </c>
      <c r="B13" s="6">
        <f>Exponential!B28</f>
        <v>860.12144961875015</v>
      </c>
      <c r="C13">
        <v>10</v>
      </c>
      <c r="E13" s="3">
        <f>96*(GAMMADIST(B13,E$3,E$4,TRUE)-GAMMADIST(A13,E$3,E$4,TRUE))</f>
        <v>7.8560795985788729</v>
      </c>
      <c r="F13" s="3">
        <f t="shared" si="0"/>
        <v>0.5850748620802152</v>
      </c>
      <c r="H13" s="3">
        <f t="shared" ref="H13:H21" si="4">96*(GAMMADIST(B13,D$3,D$4,TRUE)-GAMMADIST(A13,D$3,D$4,TRUE))</f>
        <v>9.7227878019420846</v>
      </c>
      <c r="I13" s="3">
        <f t="shared" si="1"/>
        <v>7.9037622045758475E-3</v>
      </c>
      <c r="K13" s="3">
        <f t="shared" ref="K13:K21" si="5">96*(GAMMADIST(B13,C$3,C$4,TRUE)-GAMMADIST(A13,C$3,C$4,TRUE))</f>
        <v>4.7997136594409433</v>
      </c>
      <c r="L13" s="3">
        <f t="shared" si="2"/>
        <v>5.6342898644822474</v>
      </c>
      <c r="M13" s="6"/>
      <c r="O13">
        <f t="shared" ref="O13:O21" si="6">P12</f>
        <v>2000</v>
      </c>
      <c r="P13">
        <f>Exponential!B9</f>
        <v>3000</v>
      </c>
      <c r="Q13" s="3"/>
      <c r="R13" s="3">
        <f t="shared" si="3"/>
        <v>5.0650173368906759E-2</v>
      </c>
      <c r="S13" s="3">
        <f t="shared" si="3"/>
        <v>0.12118808697111993</v>
      </c>
      <c r="T13" s="3">
        <f t="shared" si="3"/>
        <v>0.11116745475332745</v>
      </c>
      <c r="V13" s="3"/>
      <c r="W13" s="3"/>
    </row>
    <row r="14" spans="1:23">
      <c r="A14" s="6">
        <f t="shared" ref="A14:A22" si="7">B13</f>
        <v>860.12144961875015</v>
      </c>
      <c r="B14" s="6">
        <f>Exponential!B29</f>
        <v>1212.2730957253941</v>
      </c>
      <c r="C14">
        <v>8</v>
      </c>
      <c r="E14" s="3">
        <f>96*(GAMMADIST(B14,E$3,E$4,TRUE)-GAMMADIST(A14,E$3,E$4,TRUE))</f>
        <v>7.0676050117671583</v>
      </c>
      <c r="F14" s="3">
        <f t="shared" si="0"/>
        <v>0.12300636674436187</v>
      </c>
      <c r="H14" s="3">
        <f t="shared" si="4"/>
        <v>8.6720368499057763</v>
      </c>
      <c r="I14" s="3">
        <f t="shared" si="1"/>
        <v>5.2079290649714664E-2</v>
      </c>
      <c r="K14" s="3">
        <f t="shared" si="5"/>
        <v>3.8162008776921503</v>
      </c>
      <c r="L14" s="3">
        <f t="shared" si="2"/>
        <v>4.5868065274408698</v>
      </c>
      <c r="M14" s="6"/>
      <c r="O14">
        <f t="shared" si="6"/>
        <v>3000</v>
      </c>
      <c r="P14">
        <f>Exponential!B10</f>
        <v>4000</v>
      </c>
      <c r="Q14" s="3"/>
      <c r="R14" s="3">
        <f>GAMMADIST($P14,C$3,C$4,TRUE)-GAMMADIST($O14,C$3,C$4,TRUE)</f>
        <v>3.599841788321223E-2</v>
      </c>
      <c r="S14" s="3">
        <f t="shared" si="3"/>
        <v>7.7568012346042048E-2</v>
      </c>
      <c r="T14" s="3">
        <f t="shared" si="3"/>
        <v>7.9308451125979618E-2</v>
      </c>
      <c r="V14" s="3"/>
      <c r="W14" s="3"/>
    </row>
    <row r="15" spans="1:23">
      <c r="A15" s="6">
        <f t="shared" si="7"/>
        <v>1212.2730957253941</v>
      </c>
      <c r="B15" s="6">
        <f>Exponential!B30</f>
        <v>1611.5097044406132</v>
      </c>
      <c r="C15">
        <v>7</v>
      </c>
      <c r="E15" s="3">
        <f t="shared" ref="E15:E21" si="8">96*(GAMMADIST(B15,E$3,E$4,TRUE)-GAMMADIST(A15,E$3,E$4,TRUE))</f>
        <v>6.5918233915511468</v>
      </c>
      <c r="F15" s="3">
        <f t="shared" si="0"/>
        <v>2.5274970791595072E-2</v>
      </c>
      <c r="H15" s="3">
        <f t="shared" si="4"/>
        <v>7.9073499729003522</v>
      </c>
      <c r="I15" s="3">
        <f t="shared" si="1"/>
        <v>0.104116293846078</v>
      </c>
      <c r="K15" s="3">
        <f t="shared" si="5"/>
        <v>3.2819825273627252</v>
      </c>
      <c r="L15" s="3">
        <f t="shared" si="2"/>
        <v>4.2119827913722085</v>
      </c>
      <c r="M15" s="6"/>
      <c r="O15">
        <f t="shared" si="6"/>
        <v>4000</v>
      </c>
      <c r="P15">
        <f>Exponential!B11</f>
        <v>5000</v>
      </c>
      <c r="Q15" s="3"/>
      <c r="R15" s="3">
        <f t="shared" si="3"/>
        <v>2.7492454964842761E-2</v>
      </c>
      <c r="S15" s="3">
        <f t="shared" si="3"/>
        <v>5.0887659731793655E-2</v>
      </c>
      <c r="T15" s="3">
        <f t="shared" si="3"/>
        <v>5.8491650521208971E-2</v>
      </c>
      <c r="V15" s="3"/>
      <c r="W15" s="3"/>
    </row>
    <row r="16" spans="1:23">
      <c r="A16" s="6">
        <f t="shared" si="7"/>
        <v>1611.5097044406132</v>
      </c>
      <c r="B16" s="6">
        <f>Exponential!B31</f>
        <v>2072.3945453441443</v>
      </c>
      <c r="C16">
        <v>10</v>
      </c>
      <c r="E16" s="3">
        <f t="shared" si="8"/>
        <v>6.2942066408334014</v>
      </c>
      <c r="F16" s="3">
        <f t="shared" si="0"/>
        <v>2.1818324698384735</v>
      </c>
      <c r="H16" s="3">
        <f>96*(GAMMADIST(B16,D$3,D$4,TRUE)-GAMMADIST(A16,D$3,D$4,TRUE))</f>
        <v>7.2932426458195039</v>
      </c>
      <c r="I16" s="3">
        <f t="shared" si="1"/>
        <v>1.0045648732953893</v>
      </c>
      <c r="K16" s="3">
        <f t="shared" si="5"/>
        <v>2.9699606673729306</v>
      </c>
      <c r="L16" s="3">
        <f t="shared" si="2"/>
        <v>16.640440245964349</v>
      </c>
      <c r="M16" s="6"/>
      <c r="O16">
        <f t="shared" si="6"/>
        <v>5000</v>
      </c>
      <c r="P16">
        <f>Exponential!B12</f>
        <v>6000</v>
      </c>
      <c r="Q16" s="3"/>
      <c r="R16" s="3">
        <f t="shared" si="3"/>
        <v>2.1897023041105412E-2</v>
      </c>
      <c r="S16" s="3">
        <f t="shared" si="3"/>
        <v>3.3869318634379475E-2</v>
      </c>
      <c r="T16" s="3">
        <f t="shared" si="3"/>
        <v>4.3986479872106909E-2</v>
      </c>
      <c r="V16" s="3"/>
      <c r="W16" s="3"/>
    </row>
    <row r="17" spans="1:23">
      <c r="A17" s="6">
        <f t="shared" si="7"/>
        <v>2072.3945453441443</v>
      </c>
      <c r="B17" s="6">
        <f>Exponential!B32</f>
        <v>2617.5056132319364</v>
      </c>
      <c r="C17">
        <v>5</v>
      </c>
      <c r="E17" s="3">
        <f t="shared" si="8"/>
        <v>6.1219250100597371</v>
      </c>
      <c r="F17" s="3">
        <f t="shared" si="0"/>
        <v>0.20560783187137713</v>
      </c>
      <c r="H17" s="3">
        <f t="shared" si="4"/>
        <v>6.7657693843781992</v>
      </c>
      <c r="I17" s="3">
        <f t="shared" si="1"/>
        <v>0.46084064378642958</v>
      </c>
      <c r="K17" s="3">
        <f t="shared" si="5"/>
        <v>2.7970220868637909</v>
      </c>
      <c r="L17" s="3">
        <f t="shared" si="2"/>
        <v>1.735099521937491</v>
      </c>
      <c r="M17" s="6"/>
      <c r="O17">
        <f t="shared" si="6"/>
        <v>6000</v>
      </c>
      <c r="P17">
        <f>Exponential!B13</f>
        <v>7000</v>
      </c>
      <c r="Q17" s="3"/>
      <c r="R17" s="3">
        <f t="shared" si="3"/>
        <v>1.7929160661754984E-2</v>
      </c>
      <c r="S17" s="3">
        <f t="shared" si="3"/>
        <v>2.275746437490922E-2</v>
      </c>
      <c r="T17" s="3">
        <f t="shared" si="3"/>
        <v>3.3505059401372383E-2</v>
      </c>
      <c r="V17" s="3"/>
      <c r="W17" s="3"/>
    </row>
    <row r="18" spans="1:23">
      <c r="A18" s="6">
        <f t="shared" si="7"/>
        <v>2617.5056132319364</v>
      </c>
      <c r="B18" s="6">
        <f>Exponential!B33</f>
        <v>3284.6676410695377</v>
      </c>
      <c r="C18">
        <v>6</v>
      </c>
      <c r="E18" s="3">
        <f t="shared" si="8"/>
        <v>6.0579762460811963</v>
      </c>
      <c r="F18" s="3">
        <f t="shared" si="0"/>
        <v>5.5484620162414252E-4</v>
      </c>
      <c r="H18" s="3">
        <f t="shared" si="4"/>
        <v>6.2870261470832602</v>
      </c>
      <c r="I18" s="3">
        <f>(($C18-H18)^2)/H18</f>
        <v>1.3103812069826009E-2</v>
      </c>
      <c r="K18" s="3">
        <f t="shared" si="5"/>
        <v>2.7342143643857248</v>
      </c>
      <c r="L18" s="3">
        <f>(($C18-K18)^2)/K18</f>
        <v>3.9007021383199554</v>
      </c>
      <c r="M18" s="6"/>
      <c r="O18">
        <f t="shared" si="6"/>
        <v>7000</v>
      </c>
      <c r="P18">
        <f>Exponential!B14</f>
        <v>8000</v>
      </c>
      <c r="Q18" s="3"/>
      <c r="R18" s="3">
        <f t="shared" si="3"/>
        <v>1.4970796350885163E-2</v>
      </c>
      <c r="S18" s="3">
        <f t="shared" si="3"/>
        <v>1.5394481082413369E-2</v>
      </c>
      <c r="T18" s="3">
        <f t="shared" si="3"/>
        <v>2.5754318495202155E-2</v>
      </c>
      <c r="V18" s="3"/>
      <c r="W18" s="3"/>
    </row>
    <row r="19" spans="1:23">
      <c r="A19" s="6">
        <f t="shared" si="7"/>
        <v>3284.6676410695377</v>
      </c>
      <c r="B19" s="6">
        <f>Exponential!B34</f>
        <v>4144.7890906882876</v>
      </c>
      <c r="C19">
        <v>6</v>
      </c>
      <c r="E19" s="3">
        <f t="shared" si="8"/>
        <v>6.1127616797631106</v>
      </c>
      <c r="F19" s="3">
        <f t="shared" si="0"/>
        <v>2.0801066832186817E-3</v>
      </c>
      <c r="H19" s="3">
        <f t="shared" si="4"/>
        <v>5.8285515053441372</v>
      </c>
      <c r="I19" s="3">
        <f t="shared" si="1"/>
        <v>5.0432060680616472E-3</v>
      </c>
      <c r="K19" s="3">
        <f t="shared" si="5"/>
        <v>2.788019282384667</v>
      </c>
      <c r="L19" s="3">
        <f t="shared" si="2"/>
        <v>3.7004120436026753</v>
      </c>
      <c r="M19" s="6"/>
      <c r="O19">
        <f t="shared" si="6"/>
        <v>8000</v>
      </c>
      <c r="P19">
        <f>Exponential!B15</f>
        <v>9000</v>
      </c>
      <c r="Q19" s="3"/>
      <c r="R19" s="3">
        <f t="shared" si="3"/>
        <v>1.2684870089734401E-2</v>
      </c>
      <c r="S19" s="3">
        <f t="shared" si="3"/>
        <v>1.0466193804461121E-2</v>
      </c>
      <c r="T19" s="3">
        <f t="shared" si="3"/>
        <v>1.9931394043093853E-2</v>
      </c>
      <c r="V19" s="3"/>
      <c r="W19" s="3"/>
    </row>
    <row r="20" spans="1:23">
      <c r="A20" s="6">
        <f t="shared" si="7"/>
        <v>4144.7890906882876</v>
      </c>
      <c r="B20" s="6">
        <f>Exponential!B35</f>
        <v>5357.062186413682</v>
      </c>
      <c r="C20">
        <v>3</v>
      </c>
      <c r="E20" s="3">
        <f t="shared" si="8"/>
        <v>6.3402644063058631</v>
      </c>
      <c r="F20" s="3">
        <f t="shared" si="0"/>
        <v>1.7597635664747722</v>
      </c>
      <c r="H20" s="3">
        <f t="shared" si="4"/>
        <v>5.3600009406537055</v>
      </c>
      <c r="I20" s="3">
        <f t="shared" si="1"/>
        <v>1.0391051235910989</v>
      </c>
      <c r="K20" s="3">
        <f t="shared" si="5"/>
        <v>3.0176211631279521</v>
      </c>
      <c r="L20" s="3">
        <f t="shared" si="2"/>
        <v>1.0289740600176666E-4</v>
      </c>
      <c r="M20" s="6"/>
      <c r="O20">
        <f t="shared" si="6"/>
        <v>9000</v>
      </c>
      <c r="P20">
        <f>Exponential!B16</f>
        <v>10000</v>
      </c>
      <c r="Q20" s="3"/>
      <c r="R20" s="3">
        <f>GAMMADIST($P20,C$3,C$4,TRUE)-GAMMADIST($O20,C$3,C$4,TRUE)</f>
        <v>1.087056683570109E-2</v>
      </c>
      <c r="S20" s="3">
        <f t="shared" ref="S20:T20" si="9">GAMMADIST($P20,D$3,D$4,TRUE)-GAMMADIST($O20,D$3,D$4,TRUE)</f>
        <v>7.1433884809771753E-3</v>
      </c>
      <c r="T20" s="3">
        <f t="shared" si="9"/>
        <v>1.5506419527998805E-2</v>
      </c>
      <c r="V20" s="3"/>
      <c r="W20" s="3"/>
    </row>
    <row r="21" spans="1:23">
      <c r="A21" s="6">
        <f t="shared" si="7"/>
        <v>5357.062186413682</v>
      </c>
      <c r="B21" s="6">
        <f>Exponential!B36</f>
        <v>7429.4567317578258</v>
      </c>
      <c r="C21">
        <v>4</v>
      </c>
      <c r="E21" s="3">
        <f t="shared" si="8"/>
        <v>6.9357865794071252</v>
      </c>
      <c r="F21" s="3">
        <f t="shared" si="0"/>
        <v>1.2426626369122984</v>
      </c>
      <c r="H21" s="3">
        <f t="shared" si="4"/>
        <v>4.8281730313627591</v>
      </c>
      <c r="I21" s="3">
        <f t="shared" si="1"/>
        <v>0.14205592165428121</v>
      </c>
      <c r="K21" s="3">
        <f t="shared" si="5"/>
        <v>3.6685946884066105</v>
      </c>
      <c r="L21" s="3">
        <f t="shared" si="2"/>
        <v>2.9937752703887297E-2</v>
      </c>
      <c r="M21" s="6"/>
      <c r="O21">
        <f t="shared" si="6"/>
        <v>10000</v>
      </c>
      <c r="P21">
        <f>Exponential!B17</f>
        <v>0</v>
      </c>
      <c r="Q21" s="3"/>
      <c r="R21" s="3">
        <f>1-GAMMADIST($O21,C$3,C$4,TRUE)</f>
        <v>8.9570895370315373E-2</v>
      </c>
      <c r="S21" s="3">
        <f>1-GAMMADIST($O21,D$3,D$4,TRUE)</f>
        <v>1.571845664096827E-2</v>
      </c>
      <c r="T21" s="3">
        <f>1-GAMMADIST($O21,E$3,E$4,TRUE)</f>
        <v>5.7588663770595572E-2</v>
      </c>
      <c r="V21" s="3"/>
      <c r="W21" s="3"/>
    </row>
    <row r="22" spans="1:23">
      <c r="A22" s="6">
        <f t="shared" si="7"/>
        <v>7429.4567317578258</v>
      </c>
      <c r="B22" s="6"/>
      <c r="C22">
        <v>7</v>
      </c>
      <c r="E22" s="3">
        <f>96*(1-GAMMADIST(A22,E$3,E$4,TRUE))</f>
        <v>10.262215435564393</v>
      </c>
      <c r="F22" s="3">
        <f t="shared" si="0"/>
        <v>1.0370128764938853</v>
      </c>
      <c r="H22" s="3">
        <f>96*(1-GAMMADIST(A22,D$3,D$4,TRUE))</f>
        <v>3.9719864148412789</v>
      </c>
      <c r="I22" s="3">
        <f>(($C22-H22)^2)/H22</f>
        <v>2.3083830895408943</v>
      </c>
      <c r="K22" s="3">
        <f>96*(1-GAMMADIST(A22,C$3,C$4,TRUE))</f>
        <v>11.649641340615503</v>
      </c>
      <c r="L22" s="3">
        <f>(($C22-K22)^2)/K22</f>
        <v>1.8557794153702669</v>
      </c>
      <c r="M22" s="6"/>
      <c r="Q22" s="3"/>
      <c r="R22" s="3"/>
      <c r="S22" s="3"/>
      <c r="T22" s="3"/>
      <c r="V22" s="3"/>
      <c r="W22" s="3"/>
    </row>
    <row r="24" spans="1:23">
      <c r="C24" s="6">
        <f>SUM(C11:C22)</f>
        <v>96</v>
      </c>
      <c r="E24" s="6">
        <f>SUM(E11:E22)</f>
        <v>96</v>
      </c>
      <c r="F24" s="3">
        <f>SUM(F11:F22)</f>
        <v>16.51741991142125</v>
      </c>
      <c r="H24" s="6">
        <f>SUM(H11:H22)</f>
        <v>96.000000000000014</v>
      </c>
      <c r="I24" s="3">
        <f>SUM(I11:I22)</f>
        <v>10.823284788178231</v>
      </c>
      <c r="J24" s="6"/>
      <c r="K24" s="6">
        <f>SUM(K11:K22)</f>
        <v>96.000000000000014</v>
      </c>
      <c r="L24" s="3">
        <f>SUM(L11:L22)</f>
        <v>85.569891316779376</v>
      </c>
      <c r="Q24" s="3"/>
      <c r="R24" s="3">
        <f>SUM(R11:R21)</f>
        <v>1</v>
      </c>
      <c r="S24" s="3">
        <f t="shared" ref="S24:T24" si="10">SUM(S11:S21)</f>
        <v>1</v>
      </c>
      <c r="T24" s="3">
        <f t="shared" si="10"/>
        <v>1</v>
      </c>
      <c r="U24" s="6"/>
      <c r="V24" s="6"/>
      <c r="W24" s="3"/>
    </row>
    <row r="26" spans="1:23">
      <c r="F26" s="9">
        <f>CHIDIST(F24,9)</f>
        <v>5.6831736249706569E-2</v>
      </c>
      <c r="I26" s="9">
        <f>CHIDIST(I24,9)</f>
        <v>0.28801669080215164</v>
      </c>
      <c r="L26" s="9">
        <f>CHIDIST(L24,9)</f>
        <v>1.2552771469750791E-14</v>
      </c>
      <c r="Q26" s="9"/>
      <c r="W26" s="9"/>
    </row>
    <row r="27" spans="1:23">
      <c r="A27" t="s">
        <v>6</v>
      </c>
      <c r="B27">
        <v>12</v>
      </c>
    </row>
    <row r="28" spans="1:23">
      <c r="A28" t="s">
        <v>7</v>
      </c>
      <c r="B28">
        <f>96/B27</f>
        <v>8</v>
      </c>
    </row>
    <row r="29" spans="1:23">
      <c r="E29" t="s">
        <v>49</v>
      </c>
      <c r="H29" t="s">
        <v>50</v>
      </c>
      <c r="K29" t="s">
        <v>55</v>
      </c>
    </row>
    <row r="30" spans="1:23">
      <c r="B30" s="7" t="s">
        <v>54</v>
      </c>
      <c r="C30" s="8" t="s">
        <v>28</v>
      </c>
      <c r="E30" t="s">
        <v>27</v>
      </c>
      <c r="F30" t="s">
        <v>4</v>
      </c>
      <c r="H30" t="s">
        <v>27</v>
      </c>
      <c r="I30" t="s">
        <v>4</v>
      </c>
      <c r="J30" s="8"/>
      <c r="K30" t="s">
        <v>27</v>
      </c>
      <c r="L30" t="s">
        <v>4</v>
      </c>
    </row>
    <row r="31" spans="1:23">
      <c r="A31" s="6">
        <v>0</v>
      </c>
      <c r="B31" s="6">
        <f>GAMMAINV(B$28/96,E$3,E$4)</f>
        <v>76.386631808730641</v>
      </c>
      <c r="C31">
        <f t="array" ref="C31:C42">FREQUENCY('X data'!A2:A97,Gamma!B31:B42)</f>
        <v>3</v>
      </c>
      <c r="E31">
        <f>96*(GAMMADIST(B31,E$3,E$4,TRUE)-GAMMADIST(A31,E$3,E$4,TRUE))</f>
        <v>7.9999999999999964</v>
      </c>
      <c r="F31" s="3">
        <f t="shared" ref="F31:F42" si="11">((C31-E31)^2)/E31</f>
        <v>3.1249999999999969</v>
      </c>
      <c r="H31" s="3">
        <f>96*(GAMMADIST(B31,D$3,D$4,TRUE)-GAMMADIST(A31,D$3,D$4,TRUE))</f>
        <v>7.5771145318744839</v>
      </c>
      <c r="I31" s="3">
        <f>((C31-H31)^2)/H31</f>
        <v>2.7649017775522275</v>
      </c>
      <c r="K31" s="3">
        <f>96*(GAMMADIST(B31,C$3,C$4,TRUE)-GAMMADIST(A31,C$3,C$4,TRUE))</f>
        <v>37.522811873455247</v>
      </c>
      <c r="L31" s="3">
        <f>((C31-K31)^2)/K31</f>
        <v>31.762665966222929</v>
      </c>
      <c r="N31" s="7"/>
    </row>
    <row r="32" spans="1:23">
      <c r="A32" s="6">
        <f>B31</f>
        <v>76.386631808730641</v>
      </c>
      <c r="B32" s="6">
        <f t="shared" ref="B32:B41" si="12">GAMMAINV((B$28/96)+GAMMADIST(B31,E$3,E$4,TRUE),E$3,E$4)</f>
        <v>236.05068846088994</v>
      </c>
      <c r="C32">
        <v>6</v>
      </c>
      <c r="E32">
        <f t="shared" ref="E32:E41" si="13">96*(GAMMADIST(B32,E$3,E$4,TRUE)-GAMMADIST(A32,E$3,E$4,TRUE))</f>
        <v>7.9999999999999911</v>
      </c>
      <c r="F32" s="3">
        <f t="shared" si="11"/>
        <v>0.49999999999999611</v>
      </c>
      <c r="H32" s="3">
        <f t="shared" ref="H32:H41" si="14">96*(GAMMADIST(B32,D$3,D$4,TRUE)-GAMMADIST(A32,D$3,D$4,TRUE))</f>
        <v>9.1715647686484569</v>
      </c>
      <c r="I32" s="3">
        <f t="shared" ref="I32:I40" si="15">((C32-H32)^2)/H32</f>
        <v>1.0967401240098784</v>
      </c>
      <c r="K32" s="3">
        <f t="shared" ref="K32:K41" si="16">96*(GAMMADIST(B32,C$3,C$4,TRUE)-GAMMADIST(A32,C$3,C$4,TRUE))</f>
        <v>9.0080175606554569</v>
      </c>
      <c r="L32" s="3">
        <f t="shared" ref="L32:L42" si="17">((C32-K32)^2)/K32</f>
        <v>1.0044573719229324</v>
      </c>
      <c r="N32" s="6"/>
      <c r="P32" s="3"/>
      <c r="Q32" s="3"/>
    </row>
    <row r="33" spans="1:17">
      <c r="A33" s="6">
        <f>B32</f>
        <v>236.05068846088994</v>
      </c>
      <c r="B33" s="6">
        <f t="shared" si="12"/>
        <v>464.51800471154411</v>
      </c>
      <c r="C33">
        <v>16</v>
      </c>
      <c r="E33">
        <f t="shared" si="13"/>
        <v>7.9999999999999982</v>
      </c>
      <c r="F33" s="3">
        <f t="shared" si="11"/>
        <v>8.0000000000000053</v>
      </c>
      <c r="H33" s="3">
        <f t="shared" si="14"/>
        <v>9.7050356001460294</v>
      </c>
      <c r="I33" s="3">
        <f t="shared" si="15"/>
        <v>4.0830944293323981</v>
      </c>
      <c r="K33" s="3">
        <f t="shared" si="16"/>
        <v>6.3403651557860936</v>
      </c>
      <c r="L33" s="3">
        <f t="shared" si="17"/>
        <v>14.716588560896978</v>
      </c>
      <c r="M33" s="6"/>
      <c r="N33" s="6"/>
      <c r="P33" s="3"/>
      <c r="Q33" s="3"/>
    </row>
    <row r="34" spans="1:17">
      <c r="A34" s="6">
        <f t="shared" ref="A34:A42" si="18">B33</f>
        <v>464.51800471154411</v>
      </c>
      <c r="B34" s="6">
        <f t="shared" si="12"/>
        <v>763.68709227850604</v>
      </c>
      <c r="C34">
        <v>13</v>
      </c>
      <c r="E34">
        <f t="shared" si="13"/>
        <v>7.9999999999999902</v>
      </c>
      <c r="F34" s="3">
        <f t="shared" si="11"/>
        <v>3.1250000000000164</v>
      </c>
      <c r="H34" s="3">
        <f t="shared" si="14"/>
        <v>9.8918048075217904</v>
      </c>
      <c r="I34" s="3">
        <f t="shared" si="15"/>
        <v>0.97665466944904356</v>
      </c>
      <c r="K34" s="3">
        <f t="shared" si="16"/>
        <v>5.12308746476754</v>
      </c>
      <c r="L34" s="3">
        <f t="shared" si="17"/>
        <v>12.111007573929365</v>
      </c>
      <c r="M34" s="6"/>
      <c r="N34" s="6"/>
      <c r="P34" s="3"/>
      <c r="Q34" s="3"/>
    </row>
    <row r="35" spans="1:17">
      <c r="A35" s="6">
        <f t="shared" si="18"/>
        <v>763.68709227850604</v>
      </c>
      <c r="B35" s="6">
        <f t="shared" si="12"/>
        <v>1142.958084497483</v>
      </c>
      <c r="C35">
        <v>8</v>
      </c>
      <c r="E35">
        <f t="shared" si="13"/>
        <v>7.9999999999999982</v>
      </c>
      <c r="F35" s="3">
        <f t="shared" si="11"/>
        <v>3.9443045261050599E-31</v>
      </c>
      <c r="H35" s="3">
        <f t="shared" si="14"/>
        <v>9.8495767090041983</v>
      </c>
      <c r="I35" s="3">
        <f t="shared" si="15"/>
        <v>0.34731786995104896</v>
      </c>
      <c r="K35" s="3">
        <f t="shared" si="16"/>
        <v>4.4323589039757785</v>
      </c>
      <c r="L35" s="3">
        <f t="shared" si="17"/>
        <v>2.8716228233737962</v>
      </c>
      <c r="M35" s="6"/>
      <c r="N35" s="6"/>
      <c r="P35" s="3"/>
      <c r="Q35" s="3"/>
    </row>
    <row r="36" spans="1:17">
      <c r="A36" s="6">
        <f t="shared" si="18"/>
        <v>1142.958084497483</v>
      </c>
      <c r="B36" s="6">
        <f t="shared" si="12"/>
        <v>1619.8511967147592</v>
      </c>
      <c r="C36">
        <v>9</v>
      </c>
      <c r="E36">
        <f t="shared" si="13"/>
        <v>7.9999999999999982</v>
      </c>
      <c r="F36" s="3">
        <f t="shared" si="11"/>
        <v>0.12500000000000047</v>
      </c>
      <c r="H36" s="3">
        <f t="shared" si="14"/>
        <v>9.6179019922669386</v>
      </c>
      <c r="I36" s="3">
        <f t="shared" si="15"/>
        <v>3.9697105705010519E-2</v>
      </c>
      <c r="K36" s="3">
        <f t="shared" si="16"/>
        <v>4.0086530849893904</v>
      </c>
      <c r="L36" s="3">
        <f t="shared" si="17"/>
        <v>6.2149414024565974</v>
      </c>
      <c r="M36" s="6"/>
      <c r="N36" s="6"/>
      <c r="P36" s="3"/>
      <c r="Q36" s="3"/>
    </row>
    <row r="37" spans="1:17">
      <c r="A37" s="6">
        <f t="shared" si="18"/>
        <v>1619.8511967147592</v>
      </c>
      <c r="B37" s="6">
        <f t="shared" si="12"/>
        <v>2224.1553342595425</v>
      </c>
      <c r="C37">
        <v>10</v>
      </c>
      <c r="E37">
        <f t="shared" si="13"/>
        <v>7.9999999999999876</v>
      </c>
      <c r="F37" s="3">
        <f t="shared" si="11"/>
        <v>0.50000000000000699</v>
      </c>
      <c r="H37" s="3">
        <f t="shared" si="14"/>
        <v>9.2068772797413594</v>
      </c>
      <c r="I37" s="3">
        <f>((C37-H37)^2)/H37</f>
        <v>6.8323236019948011E-2</v>
      </c>
      <c r="K37" s="3">
        <f t="shared" si="16"/>
        <v>3.7530243955785743</v>
      </c>
      <c r="L37" s="3">
        <f>((C37-K37)^2)/K37</f>
        <v>10.398201580626896</v>
      </c>
      <c r="M37" s="6"/>
      <c r="N37" s="6"/>
      <c r="P37" s="3"/>
      <c r="Q37" s="3"/>
    </row>
    <row r="38" spans="1:17">
      <c r="A38" s="6">
        <f t="shared" si="18"/>
        <v>2224.1553342595425</v>
      </c>
      <c r="B38" s="6">
        <f t="shared" si="12"/>
        <v>3007.9768515992482</v>
      </c>
      <c r="C38">
        <v>9</v>
      </c>
      <c r="E38">
        <f t="shared" si="13"/>
        <v>7.9999999999999929</v>
      </c>
      <c r="F38" s="3">
        <f t="shared" si="11"/>
        <v>0.12500000000000189</v>
      </c>
      <c r="H38" s="3">
        <f t="shared" si="14"/>
        <v>8.6079600889179133</v>
      </c>
      <c r="I38" s="3">
        <f t="shared" si="15"/>
        <v>1.785501910947767E-2</v>
      </c>
      <c r="K38" s="3">
        <f t="shared" si="16"/>
        <v>3.6279078941678122</v>
      </c>
      <c r="L38" s="3">
        <f t="shared" si="17"/>
        <v>7.9548253250691801</v>
      </c>
      <c r="M38" s="6"/>
      <c r="N38" s="6"/>
      <c r="P38" s="3"/>
      <c r="Q38" s="3"/>
    </row>
    <row r="39" spans="1:17">
      <c r="A39" s="6">
        <f t="shared" si="18"/>
        <v>3007.9768515992482</v>
      </c>
      <c r="B39" s="6">
        <f t="shared" si="12"/>
        <v>4071.2598942242803</v>
      </c>
      <c r="C39">
        <v>8</v>
      </c>
      <c r="E39">
        <f t="shared" si="13"/>
        <v>7.9999999999999929</v>
      </c>
      <c r="F39" s="3">
        <f t="shared" si="11"/>
        <v>6.3108872417681E-30</v>
      </c>
      <c r="H39" s="3">
        <f t="shared" si="14"/>
        <v>7.7924957882992842</v>
      </c>
      <c r="I39" s="3">
        <f>((C39-H39)^2)/H39</f>
        <v>5.5255721713945109E-3</v>
      </c>
      <c r="K39" s="3">
        <f t="shared" si="16"/>
        <v>3.6345807438588551</v>
      </c>
      <c r="L39" s="3">
        <f t="shared" si="17"/>
        <v>5.2432141765146492</v>
      </c>
      <c r="M39" s="6"/>
      <c r="P39" s="3"/>
      <c r="Q39" s="3"/>
    </row>
    <row r="40" spans="1:17">
      <c r="A40" s="6">
        <f t="shared" si="18"/>
        <v>4071.2598942242803</v>
      </c>
      <c r="B40" s="6">
        <f t="shared" si="12"/>
        <v>5641.6908158764836</v>
      </c>
      <c r="C40">
        <v>4</v>
      </c>
      <c r="E40">
        <f t="shared" si="13"/>
        <v>7.9999999999999822</v>
      </c>
      <c r="F40" s="3">
        <f t="shared" si="11"/>
        <v>1.9999999999999867</v>
      </c>
      <c r="H40" s="3">
        <f t="shared" si="14"/>
        <v>6.6991865823316878</v>
      </c>
      <c r="I40" s="3">
        <f t="shared" si="15"/>
        <v>1.0875362429006452</v>
      </c>
      <c r="K40" s="3">
        <f t="shared" si="16"/>
        <v>3.8277201025386631</v>
      </c>
      <c r="L40" s="3">
        <f t="shared" si="17"/>
        <v>7.754057839705627E-3</v>
      </c>
    </row>
    <row r="41" spans="1:17">
      <c r="A41" s="6">
        <f t="shared" si="18"/>
        <v>5641.6908158764836</v>
      </c>
      <c r="B41" s="6">
        <f t="shared" si="12"/>
        <v>8454.8267365471693</v>
      </c>
      <c r="C41">
        <v>4</v>
      </c>
      <c r="E41">
        <f t="shared" si="13"/>
        <v>8.0000000000000036</v>
      </c>
      <c r="F41" s="3">
        <f t="shared" si="11"/>
        <v>2.0000000000000027</v>
      </c>
      <c r="H41" s="3">
        <f t="shared" si="14"/>
        <v>5.1859071977617504</v>
      </c>
      <c r="I41" s="3">
        <f>((C41-H41)^2)/H41</f>
        <v>0.27119187213957907</v>
      </c>
      <c r="K41" s="3">
        <f t="shared" si="16"/>
        <v>4.4393462322525217</v>
      </c>
      <c r="L41" s="3">
        <f>((C41-K41)^2)/K41</f>
        <v>4.3480526567657662E-2</v>
      </c>
    </row>
    <row r="42" spans="1:17">
      <c r="A42" s="6">
        <f t="shared" si="18"/>
        <v>8454.8267365471693</v>
      </c>
      <c r="B42" s="6"/>
      <c r="C42">
        <v>6</v>
      </c>
      <c r="E42">
        <f>96*(1-GAMMADIST(A42,E$3,E$4,TRUE))</f>
        <v>8.0000000000000675</v>
      </c>
      <c r="F42" s="3">
        <f t="shared" si="11"/>
        <v>0.50000000000002953</v>
      </c>
      <c r="H42" s="3">
        <f>96*(1-GAMMADIST(A42,D$3,D$4,TRUE))</f>
        <v>2.6945746534861073</v>
      </c>
      <c r="I42" s="3">
        <f>((C42-H42)^2)/H42</f>
        <v>4.0547537650297354</v>
      </c>
      <c r="K42" s="3">
        <f>96*(1-GAMMADIST(A42,C$3,C$4,TRUE))</f>
        <v>10.282126587974066</v>
      </c>
      <c r="L42" s="3">
        <f t="shared" si="17"/>
        <v>1.7833478277617045</v>
      </c>
      <c r="Q42" s="3"/>
    </row>
    <row r="44" spans="1:17">
      <c r="C44" s="6">
        <f>SUM(C31:C42)</f>
        <v>96</v>
      </c>
      <c r="E44" s="6">
        <f>SUM(E31:E42)</f>
        <v>96</v>
      </c>
      <c r="F44" s="3">
        <f>SUM(F31:F42)</f>
        <v>20.000000000000043</v>
      </c>
      <c r="H44" s="6">
        <f>SUM(H31:H42)</f>
        <v>96</v>
      </c>
      <c r="I44" s="3">
        <f>SUM(I31:I42)</f>
        <v>14.813591683370387</v>
      </c>
      <c r="J44" s="6"/>
      <c r="K44" s="6">
        <f>SUM(K31:K42)</f>
        <v>96.000000000000014</v>
      </c>
      <c r="L44" s="3">
        <f>SUM(L31:L42)</f>
        <v>94.112107193182396</v>
      </c>
      <c r="Q44" s="9"/>
    </row>
    <row r="46" spans="1:17">
      <c r="F46" s="9">
        <f>CHIDIST(F44,9)</f>
        <v>1.791240454621329E-2</v>
      </c>
      <c r="I46" s="9">
        <f>CHIDIST(I44,9)</f>
        <v>9.6185210650422431E-2</v>
      </c>
      <c r="L46" s="9">
        <f>CHIDIST(L44,9)</f>
        <v>2.427330684973486E-16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5"/>
  <sheetViews>
    <sheetView workbookViewId="0">
      <selection activeCell="E43" sqref="E43"/>
    </sheetView>
  </sheetViews>
  <sheetFormatPr defaultRowHeight="15"/>
  <cols>
    <col min="1" max="1" width="14.85546875" bestFit="1" customWidth="1"/>
    <col min="2" max="2" width="18.140625" customWidth="1"/>
    <col min="3" max="3" width="12" bestFit="1" customWidth="1"/>
    <col min="5" max="5" width="10.85546875" bestFit="1" customWidth="1"/>
    <col min="6" max="6" width="15.5703125" bestFit="1" customWidth="1"/>
    <col min="7" max="7" width="11.5703125" customWidth="1"/>
    <col min="8" max="8" width="13.85546875" bestFit="1" customWidth="1"/>
    <col min="9" max="9" width="6.7109375" customWidth="1"/>
    <col min="10" max="10" width="13.85546875" bestFit="1" customWidth="1"/>
    <col min="11" max="11" width="10.85546875" bestFit="1" customWidth="1"/>
    <col min="13" max="13" width="12.28515625" bestFit="1" customWidth="1"/>
    <col min="14" max="14" width="11.7109375" customWidth="1"/>
    <col min="15" max="15" width="10.85546875" bestFit="1" customWidth="1"/>
    <col min="16" max="16" width="11" customWidth="1"/>
  </cols>
  <sheetData>
    <row r="1" spans="1:23">
      <c r="A1" t="s">
        <v>73</v>
      </c>
      <c r="I1" s="16"/>
      <c r="J1" s="16"/>
      <c r="K1" s="16"/>
      <c r="L1" s="16"/>
      <c r="M1" s="15"/>
    </row>
    <row r="2" spans="1:23">
      <c r="B2" s="38"/>
      <c r="C2" s="36" t="s">
        <v>35</v>
      </c>
      <c r="D2" s="39" t="s">
        <v>3</v>
      </c>
      <c r="E2" s="40" t="s">
        <v>2</v>
      </c>
      <c r="I2" s="3"/>
      <c r="J2" s="3"/>
    </row>
    <row r="3" spans="1:23">
      <c r="B3" s="21" t="s">
        <v>36</v>
      </c>
      <c r="C3" s="48">
        <f>2*LN('X data'!D2)-0.5*LN('X data'!D7)</f>
        <v>7.0903983733382177</v>
      </c>
      <c r="D3" s="46">
        <f>LN('X data'!D12)-SQRT(D4)*(-0.6745)</f>
        <v>6.9721878684888345</v>
      </c>
      <c r="E3" s="41">
        <f>'X data'!D8/96</f>
        <v>7.0214781545901417</v>
      </c>
      <c r="I3" s="3"/>
      <c r="J3" s="3"/>
    </row>
    <row r="4" spans="1:23">
      <c r="B4" s="23" t="s">
        <v>56</v>
      </c>
      <c r="C4" s="49">
        <f>LN('X data'!D7)-2*LN('X data'!D2)</f>
        <v>1.8251491002656373</v>
      </c>
      <c r="D4" s="47">
        <f>((LN('X data'!E12)-LN('X data'!D12))/(2*0.6745))^2</f>
        <v>2.1033661817487053</v>
      </c>
      <c r="E4" s="35">
        <f>('X data'!D9/96)-E3^2</f>
        <v>1.956541713892797</v>
      </c>
    </row>
    <row r="8" spans="1:23">
      <c r="E8" t="s">
        <v>60</v>
      </c>
      <c r="H8" t="s">
        <v>61</v>
      </c>
      <c r="K8" t="s">
        <v>62</v>
      </c>
      <c r="R8" t="s">
        <v>35</v>
      </c>
      <c r="S8" t="s">
        <v>3</v>
      </c>
      <c r="T8" t="s">
        <v>2</v>
      </c>
    </row>
    <row r="9" spans="1:23">
      <c r="B9" s="7" t="s">
        <v>47</v>
      </c>
      <c r="C9" s="8" t="s">
        <v>28</v>
      </c>
      <c r="E9" t="s">
        <v>27</v>
      </c>
      <c r="F9" t="s">
        <v>4</v>
      </c>
      <c r="H9" t="s">
        <v>27</v>
      </c>
      <c r="I9" t="s">
        <v>4</v>
      </c>
      <c r="J9" s="8"/>
      <c r="K9" t="s">
        <v>27</v>
      </c>
      <c r="L9" t="s">
        <v>4</v>
      </c>
      <c r="P9" s="7" t="s">
        <v>48</v>
      </c>
      <c r="R9" s="7"/>
      <c r="S9" s="8"/>
      <c r="U9" s="8"/>
    </row>
    <row r="10" spans="1:23">
      <c r="A10" s="6">
        <v>0</v>
      </c>
      <c r="B10" s="6">
        <f>Exponential!B26</f>
        <v>260.14951530282821</v>
      </c>
      <c r="C10">
        <f t="array" ref="C10:C21">FREQUENCY('X data'!A2:A97,Lognormal!B10:B21)</f>
        <v>12</v>
      </c>
      <c r="E10" s="3">
        <f>96*(NORMDIST(LN(B10),E$3,SQRT(E$4),TRUE))</f>
        <v>14.232701518796546</v>
      </c>
      <c r="F10" s="3">
        <f>(($C10-E10)^2)/E10</f>
        <v>0.35024665313559583</v>
      </c>
      <c r="H10" s="3">
        <f>96*(NORMDIST(LN(B10),D$3,SQRT(D$4),TRUE))</f>
        <v>15.870000652505311</v>
      </c>
      <c r="I10" s="3">
        <f>(($C10-H10)^2)/H10</f>
        <v>0.94372428699473376</v>
      </c>
      <c r="K10" s="3">
        <f>96*(NORMDIST(LN(B10),C$3,SQRT(C$4),TRUE))</f>
        <v>12.368968600180928</v>
      </c>
      <c r="L10" s="3">
        <f>(($C10-K10)^2)/K10</f>
        <v>1.1006400963576057E-2</v>
      </c>
      <c r="O10">
        <f>'X data'!U6</f>
        <v>0</v>
      </c>
      <c r="P10">
        <f>Exponential!B7</f>
        <v>1000</v>
      </c>
      <c r="Q10" s="3"/>
      <c r="R10" s="3">
        <f>NORMDIST(LN($P10),C$3,SQRT(C$4),TRUE)</f>
        <v>0.44622965591024999</v>
      </c>
      <c r="S10" s="3">
        <f>NORMDIST(LN($P10),D$3,SQRT(D$4),TRUE)</f>
        <v>0.48228197293693331</v>
      </c>
      <c r="T10" s="3">
        <f>NORMDIST(LN($P10),E$3,SQRT(E$4),TRUE)</f>
        <v>0.46760073931320068</v>
      </c>
      <c r="V10" s="10"/>
      <c r="W10" s="3"/>
    </row>
    <row r="11" spans="1:23">
      <c r="A11" s="6">
        <f>B10</f>
        <v>260.14951530282821</v>
      </c>
      <c r="B11" s="6">
        <f>Exponential!B27</f>
        <v>545.11106788779227</v>
      </c>
      <c r="C11">
        <v>18</v>
      </c>
      <c r="E11" s="3">
        <f>96*(NORMDIST(LN(B11),E$3,SQRT(E$4),TRUE)-NORMDIST(LN(A11),E$3,SQRT(E$4),TRUE))</f>
        <v>14.878847369461543</v>
      </c>
      <c r="F11" s="3">
        <f t="shared" ref="F11:F21" si="0">((C11-E11)^2)/E11</f>
        <v>0.65472771520672401</v>
      </c>
      <c r="H11" s="3">
        <f>96*(NORMDIST(LN(B11),D$3,SQRT(D$4),TRUE)-NORMDIST(LN(A11),D$3,SQRT(D$4),TRUE))</f>
        <v>15.01836845712107</v>
      </c>
      <c r="I11" s="3">
        <f>(($C11-H11)^2)/H11</f>
        <v>0.59195022967193656</v>
      </c>
      <c r="K11" s="3">
        <f t="shared" ref="K11:K19" si="1">96*(NORMDIST(LN(B11),C$3,SQRT(C$4),TRUE)-NORMDIST(LN(A11),C$3,SQRT(C$4),TRUE))</f>
        <v>14.463184622677801</v>
      </c>
      <c r="L11" s="3">
        <f>(($C11-K11)^2)/K11</f>
        <v>0.86488994917820294</v>
      </c>
      <c r="M11" s="6"/>
      <c r="O11">
        <f>P10</f>
        <v>1000</v>
      </c>
      <c r="P11">
        <f>Exponential!B8</f>
        <v>2000</v>
      </c>
      <c r="Q11" s="3"/>
      <c r="R11" s="3">
        <f>NORMDIST(LN($P11),C$3,SQRT(C$4),TRUE)-NORMDIST(LN($O11),C$3,SQRT(C$4),TRUE)</f>
        <v>0.20100922682578715</v>
      </c>
      <c r="S11" s="3">
        <f>NORMDIST(LN($P11),D$3,SQRT(D$4),TRUE)-NORMDIST(LN($O11),D$3,SQRT(D$4),TRUE)</f>
        <v>0.18539477942307414</v>
      </c>
      <c r="T11" s="3">
        <f>NORMDIST(LN($P11),E$3,SQRT(E$4),TRUE)-NORMDIST(LN($O11),E$3,SQRT(E$4),TRUE)</f>
        <v>0.19305012731961613</v>
      </c>
      <c r="V11" s="3"/>
      <c r="W11" s="3"/>
    </row>
    <row r="12" spans="1:23">
      <c r="A12" s="6">
        <f>B11</f>
        <v>545.11106788779227</v>
      </c>
      <c r="B12" s="6">
        <f>Exponential!B28</f>
        <v>860.12144961875015</v>
      </c>
      <c r="C12">
        <v>10</v>
      </c>
      <c r="E12" s="3">
        <f t="shared" ref="E12:E20" si="2">96*(NORMDIST(LN(B12),E$3,SQRT(E$4),TRUE)-NORMDIST(LN(A12),E$3,SQRT(E$4),TRUE))</f>
        <v>11.691881810600748</v>
      </c>
      <c r="F12" s="3">
        <f t="shared" si="0"/>
        <v>0.24482492274651096</v>
      </c>
      <c r="H12" s="3">
        <f t="shared" ref="H12:H20" si="3">96*(NORMDIST(LN(B12),D$3,SQRT(D$4),TRUE)-NORMDIST(LN(A12),D$3,SQRT(D$4),TRUE))</f>
        <v>11.451806042334553</v>
      </c>
      <c r="I12" s="3">
        <f t="shared" ref="I12:I20" si="4">(($C12-H12)^2)/H12</f>
        <v>0.18405313334571954</v>
      </c>
      <c r="K12" s="3">
        <f t="shared" si="1"/>
        <v>11.813546499534656</v>
      </c>
      <c r="L12" s="3">
        <f t="shared" ref="L12:L20" si="5">(($C12-K12)^2)/K12</f>
        <v>0.27840504171240682</v>
      </c>
      <c r="M12" s="6"/>
      <c r="O12">
        <f t="shared" ref="O12:O20" si="6">P11</f>
        <v>2000</v>
      </c>
      <c r="P12">
        <f>Exponential!B9</f>
        <v>3000</v>
      </c>
      <c r="Q12" s="3"/>
      <c r="R12" s="3">
        <f>NORMDIST(LN($P12),C$3,SQRT(C$4),TRUE)-NORMDIST(LN($O12),C$3,SQRT(C$4),TRUE)</f>
        <v>0.10387626030626196</v>
      </c>
      <c r="S12" s="3">
        <f t="shared" ref="R12:T19" si="7">NORMDIST(LN($P12),D$3,SQRT(D$4),TRUE)-NORMDIST(LN($O12),D$3,SQRT(D$4),TRUE)</f>
        <v>9.4425277296496968E-2</v>
      </c>
      <c r="T12" s="3">
        <f t="shared" si="7"/>
        <v>9.8668208825532622E-2</v>
      </c>
      <c r="V12" s="3"/>
      <c r="W12" s="3"/>
    </row>
    <row r="13" spans="1:23">
      <c r="A13" s="6">
        <f t="shared" ref="A13:A21" si="8">B12</f>
        <v>860.12144961875015</v>
      </c>
      <c r="B13" s="6">
        <f>Exponential!B29</f>
        <v>1212.2730957253941</v>
      </c>
      <c r="C13">
        <v>8</v>
      </c>
      <c r="E13" s="3">
        <f t="shared" si="2"/>
        <v>9.3522868037997746</v>
      </c>
      <c r="F13" s="3">
        <f t="shared" si="0"/>
        <v>0.19553288282262998</v>
      </c>
      <c r="H13" s="3">
        <f t="shared" si="3"/>
        <v>9.0372742954569745</v>
      </c>
      <c r="I13" s="3">
        <f t="shared" si="4"/>
        <v>0.11905558344695095</v>
      </c>
      <c r="K13" s="3">
        <f t="shared" si="1"/>
        <v>9.6336479085792952</v>
      </c>
      <c r="L13" s="3">
        <f t="shared" si="5"/>
        <v>0.27702958573239805</v>
      </c>
      <c r="M13" s="6"/>
      <c r="O13">
        <f t="shared" si="6"/>
        <v>3000</v>
      </c>
      <c r="P13">
        <f>Exponential!B10</f>
        <v>4000</v>
      </c>
      <c r="Q13" s="3"/>
      <c r="R13" s="3">
        <f t="shared" si="7"/>
        <v>6.2405852952700624E-2</v>
      </c>
      <c r="S13" s="3">
        <f t="shared" si="7"/>
        <v>5.6866462080051194E-2</v>
      </c>
      <c r="T13" s="3">
        <f t="shared" si="7"/>
        <v>5.9212341231942411E-2</v>
      </c>
      <c r="V13" s="3"/>
      <c r="W13" s="3"/>
    </row>
    <row r="14" spans="1:23">
      <c r="A14" s="6">
        <f t="shared" si="8"/>
        <v>1212.2730957253941</v>
      </c>
      <c r="B14" s="6">
        <f>Exponential!B30</f>
        <v>1611.5097044406132</v>
      </c>
      <c r="C14">
        <v>7</v>
      </c>
      <c r="E14" s="3">
        <f t="shared" si="2"/>
        <v>7.6847287681772514</v>
      </c>
      <c r="F14" s="3">
        <f t="shared" si="0"/>
        <v>6.1011064946244531E-2</v>
      </c>
      <c r="H14" s="3">
        <f t="shared" si="3"/>
        <v>7.376511869046773</v>
      </c>
      <c r="I14" s="3">
        <f t="shared" si="4"/>
        <v>1.9217916279366525E-2</v>
      </c>
      <c r="K14" s="3">
        <f t="shared" si="1"/>
        <v>8.0044574539247328</v>
      </c>
      <c r="L14" s="3">
        <f t="shared" si="5"/>
        <v>0.12604661622009841</v>
      </c>
      <c r="M14" s="6"/>
      <c r="O14">
        <f t="shared" si="6"/>
        <v>4000</v>
      </c>
      <c r="P14">
        <f>Exponential!B11</f>
        <v>5000</v>
      </c>
      <c r="Q14" s="3"/>
      <c r="R14" s="3">
        <f t="shared" si="7"/>
        <v>4.1021797062070653E-2</v>
      </c>
      <c r="S14" s="3">
        <f t="shared" si="7"/>
        <v>3.7661750038561981E-2</v>
      </c>
      <c r="T14" s="3">
        <f t="shared" si="7"/>
        <v>3.9003954963725662E-2</v>
      </c>
      <c r="V14" s="3"/>
      <c r="W14" s="3"/>
    </row>
    <row r="15" spans="1:23">
      <c r="A15" s="6">
        <f t="shared" si="8"/>
        <v>1611.5097044406132</v>
      </c>
      <c r="B15" s="6">
        <f>Exponential!B31</f>
        <v>2072.3945453441443</v>
      </c>
      <c r="C15">
        <v>10</v>
      </c>
      <c r="E15" s="3">
        <f t="shared" si="2"/>
        <v>6.4707792796080952</v>
      </c>
      <c r="F15" s="3">
        <f t="shared" si="0"/>
        <v>1.924868451701836</v>
      </c>
      <c r="H15" s="3">
        <f t="shared" si="3"/>
        <v>6.1931620839199084</v>
      </c>
      <c r="I15" s="3">
        <f t="shared" si="4"/>
        <v>2.3400025258393398</v>
      </c>
      <c r="K15" s="3">
        <f t="shared" si="1"/>
        <v>6.7849179642192716</v>
      </c>
      <c r="L15" s="3">
        <f t="shared" si="5"/>
        <v>1.5234896798032818</v>
      </c>
      <c r="M15" s="6"/>
      <c r="O15">
        <f t="shared" si="6"/>
        <v>5000</v>
      </c>
      <c r="P15">
        <f>Exponential!B12</f>
        <v>6000</v>
      </c>
      <c r="Q15" s="3"/>
      <c r="R15" s="3">
        <f>NORMDIST(LN($P15),C$3,SQRT(C$4),TRUE)-NORMDIST(LN($O15),C$3,SQRT(C$4),TRUE)</f>
        <v>2.8644689059941775E-2</v>
      </c>
      <c r="S15" s="3">
        <f t="shared" si="7"/>
        <v>2.6545832913234979E-2</v>
      </c>
      <c r="T15" s="3">
        <f t="shared" si="7"/>
        <v>2.7328220098461031E-2</v>
      </c>
      <c r="V15" s="3"/>
      <c r="W15" s="3"/>
    </row>
    <row r="16" spans="1:23">
      <c r="A16" s="6">
        <f t="shared" si="8"/>
        <v>2072.3945453441443</v>
      </c>
      <c r="B16" s="6">
        <f>Exponential!B32</f>
        <v>2617.5056132319364</v>
      </c>
      <c r="C16">
        <v>5</v>
      </c>
      <c r="E16" s="3">
        <f t="shared" si="2"/>
        <v>5.5713803211137787</v>
      </c>
      <c r="F16" s="3">
        <f t="shared" si="0"/>
        <v>5.859866900826094E-2</v>
      </c>
      <c r="H16" s="3">
        <f t="shared" si="3"/>
        <v>5.3300764275855528</v>
      </c>
      <c r="I16" s="3">
        <f t="shared" si="4"/>
        <v>2.044069152250292E-2</v>
      </c>
      <c r="K16" s="3">
        <f t="shared" si="1"/>
        <v>5.8636902833356892</v>
      </c>
      <c r="L16" s="3">
        <f t="shared" si="5"/>
        <v>0.12721696909000568</v>
      </c>
      <c r="M16" s="6"/>
      <c r="O16">
        <f t="shared" si="6"/>
        <v>6000</v>
      </c>
      <c r="P16">
        <f>Exponential!B13</f>
        <v>7000</v>
      </c>
      <c r="Q16" s="3"/>
      <c r="R16" s="3">
        <f t="shared" si="7"/>
        <v>2.0895973557577108E-2</v>
      </c>
      <c r="S16" s="3">
        <f t="shared" si="7"/>
        <v>1.956053992398421E-2</v>
      </c>
      <c r="T16" s="3">
        <f t="shared" si="7"/>
        <v>2.0015025277148712E-2</v>
      </c>
      <c r="V16" s="3"/>
      <c r="W16" s="3"/>
    </row>
    <row r="17" spans="1:23">
      <c r="A17" s="6">
        <f t="shared" si="8"/>
        <v>2617.5056132319364</v>
      </c>
      <c r="B17" s="6">
        <f>Exponential!B33</f>
        <v>3284.6676410695377</v>
      </c>
      <c r="C17">
        <v>6</v>
      </c>
      <c r="E17" s="3">
        <f t="shared" si="2"/>
        <v>4.9043315186789656</v>
      </c>
      <c r="F17" s="3">
        <f t="shared" si="0"/>
        <v>0.24478145826563266</v>
      </c>
      <c r="H17" s="3">
        <f t="shared" si="3"/>
        <v>4.6991439843768781</v>
      </c>
      <c r="I17" s="3">
        <f>(($C17-H17)^2)/H17</f>
        <v>0.3601137524214974</v>
      </c>
      <c r="K17" s="3">
        <f t="shared" si="1"/>
        <v>5.1695872764555908</v>
      </c>
      <c r="L17" s="3">
        <f>(($C17-K17)^2)/K17</f>
        <v>0.13339271677742942</v>
      </c>
      <c r="M17" s="6"/>
      <c r="O17">
        <f t="shared" si="6"/>
        <v>7000</v>
      </c>
      <c r="P17">
        <f>Exponential!B14</f>
        <v>8000</v>
      </c>
      <c r="Q17" s="3"/>
      <c r="R17" s="3">
        <f t="shared" si="7"/>
        <v>1.5759479684220312E-2</v>
      </c>
      <c r="S17" s="3">
        <f t="shared" si="7"/>
        <v>1.4904038656291974E-2</v>
      </c>
      <c r="T17" s="3">
        <f t="shared" si="7"/>
        <v>1.5159070372266603E-2</v>
      </c>
      <c r="V17" s="3"/>
      <c r="W17" s="3"/>
    </row>
    <row r="18" spans="1:23">
      <c r="A18" s="6">
        <f t="shared" si="8"/>
        <v>3284.6676410695377</v>
      </c>
      <c r="B18" s="6">
        <f>Exponential!B34</f>
        <v>4144.7890906882876</v>
      </c>
      <c r="C18">
        <v>6</v>
      </c>
      <c r="E18" s="3">
        <f t="shared" si="2"/>
        <v>4.4282526078805517</v>
      </c>
      <c r="F18" s="3">
        <f t="shared" si="0"/>
        <v>0.5578701314911354</v>
      </c>
      <c r="H18" s="3">
        <f t="shared" si="3"/>
        <v>4.25751691320988</v>
      </c>
      <c r="I18" s="3">
        <f t="shared" si="4"/>
        <v>0.71314979356370889</v>
      </c>
      <c r="K18" s="3">
        <f t="shared" si="1"/>
        <v>4.6658436392270417</v>
      </c>
      <c r="L18" s="3">
        <f t="shared" si="5"/>
        <v>0.38149010824670926</v>
      </c>
      <c r="M18" s="6"/>
      <c r="O18">
        <f t="shared" si="6"/>
        <v>8000</v>
      </c>
      <c r="P18">
        <f>Exponential!B15</f>
        <v>9000</v>
      </c>
      <c r="Q18" s="3"/>
      <c r="R18" s="3">
        <f t="shared" si="7"/>
        <v>1.2202463469197733E-2</v>
      </c>
      <c r="S18" s="3">
        <f t="shared" si="7"/>
        <v>1.1658079147782607E-2</v>
      </c>
      <c r="T18" s="3">
        <f t="shared" si="7"/>
        <v>1.1788405000646263E-2</v>
      </c>
      <c r="V18" s="3"/>
      <c r="W18" s="3"/>
    </row>
    <row r="19" spans="1:23">
      <c r="A19" s="6">
        <f t="shared" si="8"/>
        <v>4144.7890906882876</v>
      </c>
      <c r="B19" s="6">
        <f>Exponential!B35</f>
        <v>5357.062186413682</v>
      </c>
      <c r="C19">
        <v>3</v>
      </c>
      <c r="E19" s="3">
        <f t="shared" si="2"/>
        <v>4.1464037462755954</v>
      </c>
      <c r="F19" s="3">
        <f t="shared" si="0"/>
        <v>0.31695937730502116</v>
      </c>
      <c r="H19" s="3">
        <f t="shared" si="3"/>
        <v>4.0093020155448045</v>
      </c>
      <c r="I19" s="3">
        <f t="shared" si="4"/>
        <v>0.25408177149866817</v>
      </c>
      <c r="K19" s="3">
        <f t="shared" si="1"/>
        <v>4.3576858525711799</v>
      </c>
      <c r="L19" s="3">
        <f t="shared" si="5"/>
        <v>0.42300223940748666</v>
      </c>
      <c r="M19" s="6"/>
      <c r="O19">
        <f t="shared" si="6"/>
        <v>9000</v>
      </c>
      <c r="P19">
        <f>Exponential!B16</f>
        <v>10000</v>
      </c>
      <c r="Q19" s="3"/>
      <c r="R19" s="3">
        <f>NORMDIST(LN($P19),C$3,SQRT(C$4),TRUE)-NORMDIST(LN($O19),C$3,SQRT(C$4),TRUE)</f>
        <v>9.652458280878351E-3</v>
      </c>
      <c r="S19" s="3">
        <f t="shared" si="7"/>
        <v>9.314455638159358E-3</v>
      </c>
      <c r="T19" s="3">
        <f t="shared" si="7"/>
        <v>9.3653531560773384E-3</v>
      </c>
      <c r="V19" s="3"/>
      <c r="W19" s="3"/>
    </row>
    <row r="20" spans="1:23">
      <c r="A20" s="6">
        <f t="shared" si="8"/>
        <v>5357.062186413682</v>
      </c>
      <c r="B20" s="6">
        <f>Exponential!B36</f>
        <v>7429.4567317578258</v>
      </c>
      <c r="C20">
        <v>4</v>
      </c>
      <c r="E20" s="3">
        <f t="shared" si="2"/>
        <v>4.178980869405283</v>
      </c>
      <c r="F20" s="3">
        <f t="shared" si="0"/>
        <v>7.6655415791912441E-3</v>
      </c>
      <c r="H20" s="3">
        <f t="shared" si="3"/>
        <v>4.0794231208025948</v>
      </c>
      <c r="I20" s="3">
        <f t="shared" si="4"/>
        <v>1.5463049385233949E-3</v>
      </c>
      <c r="K20" s="3">
        <f>96*(NORMDIST(LN(B20),C$3,SQRT(C$4),TRUE)-NORMDIST(LN(A20),C$3,SQRT(C$4),TRUE))</f>
        <v>4.3661356982557855</v>
      </c>
      <c r="L20" s="3">
        <f t="shared" si="5"/>
        <v>3.0703431776251251E-2</v>
      </c>
      <c r="M20" s="6"/>
      <c r="O20">
        <f t="shared" si="6"/>
        <v>10000</v>
      </c>
      <c r="P20">
        <f>Exponential!B17</f>
        <v>0</v>
      </c>
      <c r="Q20" s="3"/>
      <c r="R20" s="3">
        <f>1-NORMDIST(LN($O20),C$3,SQRT(C$4),TRUE)</f>
        <v>5.830214289111435E-2</v>
      </c>
      <c r="S20" s="3">
        <f>1-NORMDIST(LN($O20),D$3,SQRT(D$4),TRUE)</f>
        <v>6.1386811945429276E-2</v>
      </c>
      <c r="T20" s="3">
        <f>1-NORMDIST(LN($O20),E$3,SQRT(E$4),TRUE)</f>
        <v>5.8808554441382555E-2</v>
      </c>
      <c r="V20" s="3"/>
      <c r="W20" s="3"/>
    </row>
    <row r="21" spans="1:23">
      <c r="A21" s="6">
        <f t="shared" si="8"/>
        <v>7429.4567317578258</v>
      </c>
      <c r="B21" s="6"/>
      <c r="C21">
        <v>7</v>
      </c>
      <c r="E21" s="3">
        <f>96*(1-NORMDIST(LN(A21),E$3,SQRT(E$4),TRUE))</f>
        <v>8.4594253862018682</v>
      </c>
      <c r="F21" s="3">
        <f t="shared" si="0"/>
        <v>0.25178098519133219</v>
      </c>
      <c r="H21" s="3">
        <f>96*(1-NORMDIST(LN(A21),D$3,SQRT(D$4),TRUE))</f>
        <v>8.6774141380956991</v>
      </c>
      <c r="I21" s="3">
        <f>(($C21-H21)^2)/H21</f>
        <v>0.32425768159785229</v>
      </c>
      <c r="K21" s="3">
        <f>96*(1-NORMDIST(LN(A21),C$3,SQRT(C$4),TRUE))</f>
        <v>8.5083342010380285</v>
      </c>
      <c r="L21" s="3">
        <f>(($C21-K21)^2)/K21</f>
        <v>0.26739335906004558</v>
      </c>
      <c r="M21" s="6"/>
      <c r="Q21" s="3"/>
      <c r="R21" s="3"/>
      <c r="S21" s="3"/>
      <c r="T21" s="3"/>
      <c r="V21" s="3"/>
      <c r="W21" s="3"/>
    </row>
    <row r="23" spans="1:23">
      <c r="C23" s="6">
        <f>SUM(C10:C21)</f>
        <v>96</v>
      </c>
      <c r="E23" s="6">
        <f>SUM(E10:E21)</f>
        <v>95.999999999999986</v>
      </c>
      <c r="F23" s="3">
        <f>SUM(F10:F21)</f>
        <v>4.8688678534001149</v>
      </c>
      <c r="H23" s="6">
        <f>SUM(H10:H21)</f>
        <v>95.999999999999986</v>
      </c>
      <c r="I23" s="3">
        <f>SUM(I10:I21)</f>
        <v>5.8715936711207997</v>
      </c>
      <c r="J23" s="6"/>
      <c r="K23" s="6">
        <f>SUM(K10:K21)</f>
        <v>95.999999999999986</v>
      </c>
      <c r="L23" s="3">
        <f>SUM(L10:L21)</f>
        <v>4.4440660979678928</v>
      </c>
      <c r="Q23" s="3"/>
      <c r="R23" s="3">
        <f>SUM(R10:R20)</f>
        <v>1</v>
      </c>
      <c r="S23" s="3">
        <f>SUM(S10:S20)</f>
        <v>1</v>
      </c>
      <c r="T23" s="3">
        <f>SUM(T10:T20)</f>
        <v>1</v>
      </c>
      <c r="U23" s="6"/>
      <c r="V23" s="6"/>
      <c r="W23" s="3"/>
    </row>
    <row r="25" spans="1:23">
      <c r="F25" s="9">
        <f>CHIDIST(F23,9)</f>
        <v>0.84558622978900366</v>
      </c>
      <c r="I25" s="9">
        <f>CHIDIST(I23,9)</f>
        <v>0.75269782161573229</v>
      </c>
      <c r="L25" s="9">
        <f>CHIDIST(L23,9)</f>
        <v>0.8798350715835781</v>
      </c>
      <c r="Q25" s="9"/>
      <c r="W25" s="9"/>
    </row>
    <row r="26" spans="1:23">
      <c r="A26" t="s">
        <v>6</v>
      </c>
      <c r="B26">
        <v>12</v>
      </c>
    </row>
    <row r="27" spans="1:23">
      <c r="A27" t="s">
        <v>7</v>
      </c>
      <c r="B27">
        <f>96/B26</f>
        <v>8</v>
      </c>
    </row>
    <row r="28" spans="1:23">
      <c r="E28" t="s">
        <v>60</v>
      </c>
      <c r="H28" t="s">
        <v>61</v>
      </c>
      <c r="K28" t="s">
        <v>62</v>
      </c>
    </row>
    <row r="29" spans="1:23">
      <c r="B29" s="7" t="s">
        <v>65</v>
      </c>
      <c r="C29" s="8" t="s">
        <v>28</v>
      </c>
      <c r="E29" t="s">
        <v>27</v>
      </c>
      <c r="F29" t="s">
        <v>4</v>
      </c>
      <c r="H29" t="s">
        <v>27</v>
      </c>
      <c r="I29" t="s">
        <v>4</v>
      </c>
      <c r="J29" s="8"/>
      <c r="K29" t="s">
        <v>27</v>
      </c>
      <c r="L29" t="s">
        <v>4</v>
      </c>
    </row>
    <row r="30" spans="1:23">
      <c r="A30" s="6">
        <v>0</v>
      </c>
      <c r="B30" s="6">
        <f>EXP(E$3+SQRT(E$4)*NORMSINV(8/96))</f>
        <v>161.90265666604458</v>
      </c>
      <c r="C30">
        <f t="array" ref="C30:C41">FREQUENCY('X data'!A2:A97,Lognormal!B30:B41)</f>
        <v>8</v>
      </c>
      <c r="E30" s="3">
        <f>96*(NORMDIST(LN(B30),E$3,SQRT(E$4),TRUE))</f>
        <v>8.0000000000000036</v>
      </c>
      <c r="F30" s="3">
        <f t="shared" ref="F30:F41" si="9">((C30-E30)^2)/E30</f>
        <v>1.5777218104420229E-30</v>
      </c>
      <c r="H30" s="3">
        <f>96*(NORMDIST(LN(B30),D$3,SQRT(D$4),TRUE))</f>
        <v>9.2950660572490875</v>
      </c>
      <c r="I30" s="3">
        <f>((C30-H30)^2)/H30</f>
        <v>0.18043939465397085</v>
      </c>
      <c r="K30" s="3">
        <f>96*(NORMDIST(LN(B30),C$3,SQRT(C$4),TRUE))</f>
        <v>6.6285290693839301</v>
      </c>
      <c r="L30" s="3">
        <f>((C30-K30)^2)/K30</f>
        <v>0.28376318393361544</v>
      </c>
      <c r="N30" s="7"/>
    </row>
    <row r="31" spans="1:23">
      <c r="A31" s="6">
        <f>B30</f>
        <v>161.90265666604458</v>
      </c>
      <c r="B31" s="6">
        <f>EXP(NORMSINV(8/96+NORMSDIST((LN(B30)-E$3)/SQRT(E$4)))*SQRT(E$4)+E$3)</f>
        <v>289.53707488999953</v>
      </c>
      <c r="C31">
        <v>7</v>
      </c>
      <c r="E31" s="3">
        <f>96*(NORMDIST(LN(B31),E$3,SQRT(E$4),TRUE)-NORMDIST(LN(A31),E$3,SQRT(E$4),TRUE))</f>
        <v>7.9999999999999822</v>
      </c>
      <c r="F31" s="3">
        <f t="shared" si="9"/>
        <v>0.12499999999999584</v>
      </c>
      <c r="H31" s="3">
        <f>96*(NORMDIST(LN(B31),D$3,SQRT(D$4),TRUE)-NORMDIST(LN(A31),D$3,SQRT(D$4),TRUE))</f>
        <v>8.3987451554115395</v>
      </c>
      <c r="I31" s="3">
        <f t="shared" ref="I31:I39" si="10">((C31-H31)^2)/H31</f>
        <v>0.23295003879557336</v>
      </c>
      <c r="K31" s="3">
        <f t="shared" ref="K31:K40" si="11">96*(NORMDIST(LN(B31),C$3,SQRT(C$4),TRUE)-NORMDIST(LN(A31),C$3,SQRT(C$4),TRUE))</f>
        <v>7.4114567895394714</v>
      </c>
      <c r="L31" s="3">
        <f t="shared" ref="L31:L41" si="12">((C31-K31)^2)/K31</f>
        <v>2.2842565836324401E-2</v>
      </c>
      <c r="N31" s="6"/>
      <c r="P31" s="3"/>
      <c r="Q31" s="3"/>
    </row>
    <row r="32" spans="1:23">
      <c r="A32" s="6">
        <f>B31</f>
        <v>289.53707488999953</v>
      </c>
      <c r="B32" s="6">
        <f>EXP(NORMSINV(8/96+NORMSDIST((LN(B31)-E$3)/SQRT(E$4)))*SQRT(E$4)+E$3)</f>
        <v>436.16732203842747</v>
      </c>
      <c r="C32">
        <v>9</v>
      </c>
      <c r="E32" s="3">
        <f t="shared" ref="E32:E40" si="13">96*(NORMDIST(LN(B32),E$3,SQRT(E$4),TRUE)-NORMDIST(LN(A32),E$3,SQRT(E$4),TRUE))</f>
        <v>8.0000000000000036</v>
      </c>
      <c r="F32" s="3">
        <f t="shared" si="9"/>
        <v>0.12499999999999906</v>
      </c>
      <c r="H32" s="3">
        <f t="shared" ref="H32:H40" si="14">96*(NORMDIST(LN(B32),D$3,SQRT(D$4),TRUE)-NORMDIST(LN(A32),D$3,SQRT(D$4),TRUE))</f>
        <v>8.1081349704107808</v>
      </c>
      <c r="I32" s="3">
        <f t="shared" si="10"/>
        <v>9.8101873477308491E-2</v>
      </c>
      <c r="K32" s="3">
        <f t="shared" si="11"/>
        <v>7.7347147962415868</v>
      </c>
      <c r="L32" s="3">
        <f t="shared" si="12"/>
        <v>0.20698198822119379</v>
      </c>
      <c r="M32" s="6"/>
      <c r="N32" s="6"/>
      <c r="P32" s="3"/>
      <c r="Q32" s="3"/>
    </row>
    <row r="33" spans="1:17">
      <c r="A33" s="6">
        <f t="shared" ref="A33:A41" si="15">B32</f>
        <v>436.16732203842747</v>
      </c>
      <c r="B33" s="6">
        <f t="shared" ref="B33:B40" si="16">EXP(NORMSINV(8/96+NORMSDIST((LN(B32)-E$3)/SQRT(E$4)))*SQRT(E$4)+E$3)</f>
        <v>613.38461059826216</v>
      </c>
      <c r="C33">
        <v>9</v>
      </c>
      <c r="E33" s="3">
        <f t="shared" si="13"/>
        <v>8.0000000000000036</v>
      </c>
      <c r="F33" s="3">
        <f t="shared" si="9"/>
        <v>0.12499999999999906</v>
      </c>
      <c r="H33" s="3">
        <f t="shared" si="14"/>
        <v>7.9362920230648228</v>
      </c>
      <c r="I33" s="3">
        <f t="shared" si="10"/>
        <v>0.14256968580631646</v>
      </c>
      <c r="K33" s="3">
        <f t="shared" si="11"/>
        <v>7.9471566057519318</v>
      </c>
      <c r="L33" s="3">
        <f t="shared" si="12"/>
        <v>0.13948123433348558</v>
      </c>
      <c r="M33" s="6"/>
      <c r="N33" s="6"/>
      <c r="P33" s="3"/>
      <c r="Q33" s="3"/>
    </row>
    <row r="34" spans="1:17">
      <c r="A34" s="6">
        <f t="shared" si="15"/>
        <v>613.38461059826216</v>
      </c>
      <c r="B34" s="6">
        <f t="shared" si="16"/>
        <v>834.75512465737404</v>
      </c>
      <c r="C34">
        <v>7</v>
      </c>
      <c r="E34" s="3">
        <f t="shared" si="13"/>
        <v>8.0000000000000036</v>
      </c>
      <c r="F34" s="3">
        <f t="shared" si="9"/>
        <v>0.12500000000000083</v>
      </c>
      <c r="H34" s="3">
        <f t="shared" si="14"/>
        <v>7.8213288273622439</v>
      </c>
      <c r="I34" s="3">
        <f t="shared" si="10"/>
        <v>8.6248904443996147E-2</v>
      </c>
      <c r="K34" s="3">
        <f t="shared" si="11"/>
        <v>8.1029747864773398</v>
      </c>
      <c r="L34" s="3">
        <f>((C34-K34)^2)/K34</f>
        <v>0.15013663644060452</v>
      </c>
      <c r="M34" s="6"/>
      <c r="N34" s="6"/>
      <c r="P34" s="3"/>
      <c r="Q34" s="3"/>
    </row>
    <row r="35" spans="1:17">
      <c r="A35" s="6">
        <f t="shared" si="15"/>
        <v>834.75512465737404</v>
      </c>
      <c r="B35" s="6">
        <f t="shared" si="16"/>
        <v>1120.4415801647126</v>
      </c>
      <c r="C35">
        <v>6</v>
      </c>
      <c r="E35" s="3">
        <f t="shared" si="13"/>
        <v>8.0000000000000036</v>
      </c>
      <c r="F35" s="3">
        <f t="shared" si="9"/>
        <v>0.50000000000000155</v>
      </c>
      <c r="H35" s="3">
        <f t="shared" si="14"/>
        <v>7.7418053734681997</v>
      </c>
      <c r="I35" s="3">
        <f t="shared" si="10"/>
        <v>0.39188352234222656</v>
      </c>
      <c r="K35" s="3">
        <f t="shared" si="11"/>
        <v>8.2222210875539581</v>
      </c>
      <c r="L35" s="3">
        <f t="shared" si="12"/>
        <v>0.60060007014948669</v>
      </c>
      <c r="M35" s="6"/>
      <c r="N35" s="6"/>
      <c r="P35" s="3"/>
      <c r="Q35" s="3"/>
    </row>
    <row r="36" spans="1:17">
      <c r="A36" s="6">
        <f t="shared" si="15"/>
        <v>1120.4415801647126</v>
      </c>
      <c r="B36" s="6">
        <f t="shared" si="16"/>
        <v>1503.9013208541535</v>
      </c>
      <c r="C36">
        <v>7</v>
      </c>
      <c r="E36" s="3">
        <f t="shared" si="13"/>
        <v>8.0000000000000036</v>
      </c>
      <c r="F36" s="3">
        <f t="shared" si="9"/>
        <v>0.12500000000000083</v>
      </c>
      <c r="H36" s="3">
        <f t="shared" si="14"/>
        <v>7.6887713451380293</v>
      </c>
      <c r="I36" s="3">
        <f>((C36-H36)^2)/H36</f>
        <v>6.1701141130076582E-2</v>
      </c>
      <c r="K36" s="3">
        <f t="shared" si="11"/>
        <v>8.3137533036515343</v>
      </c>
      <c r="L36" s="3">
        <f>((C36-K36)^2)/K36</f>
        <v>0.20760151039089125</v>
      </c>
      <c r="M36" s="6"/>
      <c r="N36" s="6"/>
      <c r="P36" s="3"/>
      <c r="Q36" s="3"/>
    </row>
    <row r="37" spans="1:17">
      <c r="A37" s="6">
        <f t="shared" si="15"/>
        <v>1503.9013208541535</v>
      </c>
      <c r="B37" s="6">
        <f t="shared" si="16"/>
        <v>2046.6593273958399</v>
      </c>
      <c r="C37">
        <v>11</v>
      </c>
      <c r="E37" s="3">
        <f t="shared" si="13"/>
        <v>8.0000000000000036</v>
      </c>
      <c r="F37" s="3">
        <f t="shared" si="9"/>
        <v>1.1249999999999969</v>
      </c>
      <c r="H37" s="3">
        <f t="shared" si="14"/>
        <v>7.6592739115818453</v>
      </c>
      <c r="I37" s="3">
        <f t="shared" si="10"/>
        <v>1.4571160304061683</v>
      </c>
      <c r="K37" s="3">
        <f t="shared" si="11"/>
        <v>8.3808564447645892</v>
      </c>
      <c r="L37" s="3">
        <f t="shared" si="12"/>
        <v>0.81852171172988941</v>
      </c>
      <c r="M37" s="6"/>
      <c r="N37" s="6"/>
      <c r="P37" s="3"/>
      <c r="Q37" s="3"/>
    </row>
    <row r="38" spans="1:17">
      <c r="A38" s="6">
        <f t="shared" si="15"/>
        <v>2046.6593273958399</v>
      </c>
      <c r="B38" s="6">
        <f t="shared" si="16"/>
        <v>2878.2287693973444</v>
      </c>
      <c r="C38">
        <v>9</v>
      </c>
      <c r="E38" s="3">
        <f t="shared" si="13"/>
        <v>8.0000000000000036</v>
      </c>
      <c r="F38" s="3">
        <f t="shared" si="9"/>
        <v>0.12499999999999906</v>
      </c>
      <c r="H38" s="3">
        <f t="shared" si="14"/>
        <v>7.6552000535594438</v>
      </c>
      <c r="I38" s="3">
        <f>((C38-H38)^2)/H38</f>
        <v>0.23624293072597488</v>
      </c>
      <c r="K38" s="3">
        <f t="shared" si="11"/>
        <v>8.4222912987099718</v>
      </c>
      <c r="L38" s="3">
        <f t="shared" si="12"/>
        <v>3.962666829124404E-2</v>
      </c>
      <c r="M38" s="6"/>
      <c r="P38" s="3"/>
      <c r="Q38" s="3"/>
    </row>
    <row r="39" spans="1:17">
      <c r="A39" s="6">
        <f t="shared" si="15"/>
        <v>2878.2287693973444</v>
      </c>
      <c r="B39" s="6">
        <f t="shared" si="16"/>
        <v>4335.8500290124985</v>
      </c>
      <c r="C39">
        <v>9</v>
      </c>
      <c r="E39" s="3">
        <f>96*(NORMDIST(LN(B39),E$3,SQRT(E$4),TRUE)-NORMDIST(LN(A39),E$3,SQRT(E$4),TRUE))</f>
        <v>8.0000000000000036</v>
      </c>
      <c r="F39" s="3">
        <f t="shared" si="9"/>
        <v>0.12499999999999906</v>
      </c>
      <c r="H39" s="3">
        <f t="shared" si="14"/>
        <v>7.6860345248039792</v>
      </c>
      <c r="I39" s="3">
        <f t="shared" si="10"/>
        <v>0.22462887259163553</v>
      </c>
      <c r="K39" s="3">
        <f t="shared" si="11"/>
        <v>8.4298690403026697</v>
      </c>
      <c r="L39" s="3">
        <f t="shared" si="12"/>
        <v>3.8559236169786112E-2</v>
      </c>
    </row>
    <row r="40" spans="1:17">
      <c r="A40" s="6">
        <f t="shared" si="15"/>
        <v>4335.8500290124985</v>
      </c>
      <c r="B40" s="6">
        <f t="shared" si="16"/>
        <v>7753.9761262317206</v>
      </c>
      <c r="C40">
        <v>8</v>
      </c>
      <c r="E40" s="3">
        <f t="shared" si="13"/>
        <v>7.9999999999999929</v>
      </c>
      <c r="F40" s="3">
        <f t="shared" si="9"/>
        <v>6.3108872417681E-30</v>
      </c>
      <c r="H40" s="3">
        <f t="shared" si="14"/>
        <v>7.7839292946171028</v>
      </c>
      <c r="I40" s="3">
        <f>((C40-H40)^2)/H40</f>
        <v>5.9978126673052344E-3</v>
      </c>
      <c r="K40" s="3">
        <f t="shared" si="11"/>
        <v>8.3752373902795227</v>
      </c>
      <c r="L40" s="3">
        <f>((C40-K40)^2)/K40</f>
        <v>1.681183380272969E-2</v>
      </c>
    </row>
    <row r="41" spans="1:17">
      <c r="A41" s="6">
        <f t="shared" si="15"/>
        <v>7753.9761262317206</v>
      </c>
      <c r="B41" s="6"/>
      <c r="C41">
        <v>6</v>
      </c>
      <c r="E41" s="3">
        <f>96*(1-NORMDIST(LN(A41),E$3,SQRT(E$4),TRUE))</f>
        <v>7.9999999999999929</v>
      </c>
      <c r="F41" s="3">
        <f t="shared" si="9"/>
        <v>0.49999999999999689</v>
      </c>
      <c r="H41" s="3">
        <f>96*(1-NORMDIST(LN(A41),D$3,SQRT(D$4),TRUE))</f>
        <v>8.2254184633329253</v>
      </c>
      <c r="I41" s="3">
        <f>((C41-H41)^2)/H41</f>
        <v>0.60209548718039796</v>
      </c>
      <c r="K41" s="3">
        <f>96*(1-NORMDIST(LN(A41),C$3,SQRT(C$4),TRUE))</f>
        <v>8.0309393873434942</v>
      </c>
      <c r="L41" s="3">
        <f t="shared" si="12"/>
        <v>0.51360302900101418</v>
      </c>
      <c r="Q41" s="3"/>
    </row>
    <row r="43" spans="1:17">
      <c r="C43" s="6">
        <f>SUM(C30:C41)</f>
        <v>96</v>
      </c>
      <c r="E43" s="6">
        <f>SUM(E30:E41)</f>
        <v>96</v>
      </c>
      <c r="F43" s="3">
        <f>SUM(F30:F41)</f>
        <v>2.9999999999999889</v>
      </c>
      <c r="H43" s="6">
        <f>SUM(H30:H41)</f>
        <v>96.000000000000014</v>
      </c>
      <c r="I43" s="3">
        <f>SUM(I30:I41)</f>
        <v>3.7199756942209503</v>
      </c>
      <c r="J43" s="6"/>
      <c r="K43" s="6">
        <f>SUM(K30:K41)</f>
        <v>96</v>
      </c>
      <c r="L43" s="3">
        <f>SUM(L30:L41)</f>
        <v>3.0385296683002649</v>
      </c>
      <c r="Q43" s="9"/>
    </row>
    <row r="45" spans="1:17">
      <c r="F45" s="9">
        <f>CHIDIST(F43,9)</f>
        <v>0.96429497294311517</v>
      </c>
      <c r="I45" s="9">
        <f>CHIDIST(I43,9)</f>
        <v>0.92885801310846239</v>
      </c>
      <c r="L45" s="9">
        <f>CHIDIST(L43,9)</f>
        <v>0.96274777248294341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3" max="3" width="13.7109375" bestFit="1" customWidth="1"/>
    <col min="5" max="5" width="13.7109375" bestFit="1" customWidth="1"/>
    <col min="7" max="7" width="10.5703125" customWidth="1"/>
  </cols>
  <sheetData>
    <row r="1" spans="1:26">
      <c r="T1" s="2"/>
    </row>
    <row r="3" spans="1:26">
      <c r="A3" t="s">
        <v>29</v>
      </c>
      <c r="B3" t="s">
        <v>30</v>
      </c>
      <c r="C3" s="51" t="s">
        <v>75</v>
      </c>
      <c r="D3" t="s">
        <v>30</v>
      </c>
      <c r="E3" s="51" t="s">
        <v>75</v>
      </c>
      <c r="F3" t="s">
        <v>30</v>
      </c>
      <c r="G3" s="51" t="s">
        <v>75</v>
      </c>
      <c r="H3" t="s">
        <v>30</v>
      </c>
      <c r="I3" s="51" t="s">
        <v>75</v>
      </c>
      <c r="J3" t="s">
        <v>30</v>
      </c>
      <c r="K3" s="51" t="s">
        <v>75</v>
      </c>
      <c r="L3" t="s">
        <v>30</v>
      </c>
      <c r="M3" s="51" t="s">
        <v>75</v>
      </c>
      <c r="N3" t="s">
        <v>30</v>
      </c>
      <c r="O3" s="51" t="s">
        <v>75</v>
      </c>
      <c r="R3" t="s">
        <v>29</v>
      </c>
      <c r="S3" t="s">
        <v>30</v>
      </c>
      <c r="T3" t="s">
        <v>75</v>
      </c>
      <c r="U3" t="s">
        <v>30</v>
      </c>
      <c r="V3" t="s">
        <v>75</v>
      </c>
      <c r="W3" t="s">
        <v>30</v>
      </c>
      <c r="X3" t="s">
        <v>75</v>
      </c>
      <c r="Y3" t="s">
        <v>30</v>
      </c>
      <c r="Z3" t="s">
        <v>75</v>
      </c>
    </row>
    <row r="4" spans="1:26">
      <c r="A4" s="18">
        <v>0.1</v>
      </c>
      <c r="B4" s="21">
        <v>1000</v>
      </c>
      <c r="C4" s="2">
        <f>-96*$A4*LN(B4)-96*GAMMALN($A4)+($A4-1)*'[1]X data'!$D$8-(1/B4)*'[1]X data'!$D$6</f>
        <v>-1176.2545778091528</v>
      </c>
      <c r="D4" s="21">
        <v>2000</v>
      </c>
      <c r="E4" s="2">
        <f>-96*$A4*LN(D4)-96*GAMMALN($A4)+($A4-1)*'[1]X data'!$D$8-(1/D4)*'[1]X data'!$D$6</f>
        <v>-1039.3967907425283</v>
      </c>
      <c r="F4" s="21">
        <v>3000</v>
      </c>
      <c r="G4" s="2">
        <f>-96*$A4*LN(F4)-96*GAMMALN($A4)+($A4-1)*'[1]X data'!$D$8-(1/F4)*'[1]X data'!$D$6</f>
        <v>-995.45192244703333</v>
      </c>
      <c r="H4" s="21">
        <v>4000</v>
      </c>
      <c r="I4" s="2">
        <f>-96*$A4*LN(H4)-96*GAMMALN($A4)+($A4-1)*'[1]X data'!$D$8-(1/H4)*'[1]X data'!$D$6</f>
        <v>-974.29500367590367</v>
      </c>
      <c r="J4" s="21">
        <v>5000</v>
      </c>
      <c r="K4" s="2">
        <f>-96*$A4*LN(J4)-96*GAMMALN($A4)+($A4-1)*'[1]X data'!$D$8-(1/J4)*'[1]X data'!$D$6</f>
        <v>-962.08598176852024</v>
      </c>
      <c r="L4" s="21">
        <v>6000</v>
      </c>
      <c r="M4" s="2">
        <f>-96*$A4*LN(L4)-96*GAMMALN($A4)+($A4-1)*'[1]X data'!$D$8-(1/L4)*'[1]X data'!$D$6</f>
        <v>-954.2688020470755</v>
      </c>
      <c r="N4" s="21">
        <v>7000</v>
      </c>
      <c r="O4" s="2">
        <f>-96*$A4*LN(N4)-96*GAMMALN($A4)+($A4-1)*'[1]X data'!$D$8-(1/N4)*'[1]X data'!$D$6</f>
        <v>-948.91474381151238</v>
      </c>
      <c r="R4">
        <v>0.5</v>
      </c>
      <c r="S4" s="21">
        <v>3000</v>
      </c>
      <c r="T4" s="2">
        <f>-96*$R4*LN(S4)-96*GAMMALN($R4)+($R4-1)*'[1]X data'!$D$8-(1/S4)*'[1]X data'!$D$6</f>
        <v>-871.95829586120465</v>
      </c>
      <c r="U4" s="21">
        <v>4000</v>
      </c>
      <c r="V4" s="2">
        <f>-96*$R4*LN(U4)-96*GAMMALN($R4)+($R4-1)*'[1]X data'!$D$8-(1/U4)*'[1]X data'!$D$6</f>
        <v>-861.8483686722235</v>
      </c>
      <c r="W4" s="21">
        <v>5000</v>
      </c>
      <c r="X4" s="2">
        <f>-96*$R4*LN(W4)-96*GAMMALN($R4)+($R4-1)*'[1]X data'!$D$8-(1/W4)*'[1]X data'!$D$6</f>
        <v>-858.20805913530558</v>
      </c>
      <c r="Y4" s="21">
        <v>6000</v>
      </c>
      <c r="Z4" s="2">
        <f>-96*$R4*LN(Y4)-96*GAMMALN($R4)+($R4-1)*'[1]X data'!$D$8-(1/Y4)*'[1]X data'!$D$6</f>
        <v>-857.39202719474861</v>
      </c>
    </row>
    <row r="5" spans="1:26">
      <c r="A5" s="18">
        <v>0.2</v>
      </c>
      <c r="B5" s="21">
        <f>B4</f>
        <v>1000</v>
      </c>
      <c r="C5" s="2">
        <f>-96*$A5*LN(B5)-96*GAMMALN($A5)+($A5-1)*'[1]X data'!$D$8-(1/B5)*'[1]X data'!$D$6</f>
        <v>-1105.2125505897961</v>
      </c>
      <c r="D5" s="21">
        <f>D4</f>
        <v>2000</v>
      </c>
      <c r="E5" s="2">
        <f>-96*$A5*LN(D5)-96*GAMMALN($A5)+($A5-1)*'[1]X data'!$D$8-(1/D5)*'[1]X data'!$D$6</f>
        <v>-975.00897645654709</v>
      </c>
      <c r="F5" s="21">
        <f>F4</f>
        <v>3000</v>
      </c>
      <c r="G5" s="2">
        <f>-96*$A5*LN(F5)-96*GAMMALN($A5)+($A5-1)*'[1]X data'!$D$8-(1/F5)*'[1]X data'!$D$6</f>
        <v>-934.95657319889051</v>
      </c>
      <c r="H5" s="21">
        <f>H4</f>
        <v>4000</v>
      </c>
      <c r="I5" s="2">
        <f>-96*$A5*LN(H5)-96*GAMMALN($A5)+($A5-1)*'[1]X data'!$D$8-(1/H5)*'[1]X data'!$D$6</f>
        <v>-916.56140232329801</v>
      </c>
      <c r="J5" s="21">
        <f>J4</f>
        <v>5000</v>
      </c>
      <c r="K5" s="2">
        <f>-96*$A5*LN(J5)-96*GAMMALN($A5)+($A5-1)*'[1]X data'!$D$8-(1/J5)*'[1]X data'!$D$6</f>
        <v>-906.49455850853087</v>
      </c>
      <c r="L5" s="21">
        <f>L4</f>
        <v>6000</v>
      </c>
      <c r="M5" s="2">
        <f>-96*$A5*LN(L5)-96*GAMMALN($A5)+($A5-1)*'[1]X data'!$D$8-(1/L5)*'[1]X data'!$D$6</f>
        <v>-900.42766573230801</v>
      </c>
      <c r="N5" s="21">
        <f>N4</f>
        <v>7000</v>
      </c>
      <c r="O5" s="2">
        <f>-96*$A5*LN(N5)-96*GAMMALN($A5)+($A5-1)*'[1]X data'!$D$8-(1/N5)*'[1]X data'!$D$6</f>
        <v>-896.55345402308672</v>
      </c>
      <c r="R5">
        <v>0.52500000000000002</v>
      </c>
      <c r="S5" s="21">
        <f>S4</f>
        <v>3000</v>
      </c>
      <c r="T5" s="2">
        <f>-96*$R5*LN(S5)-96*GAMMALN($R5)+($R5-1)*'[1]X data'!$D$8-(1/S5)*'[1]X data'!$D$6</f>
        <v>-869.75358967149953</v>
      </c>
      <c r="U5" s="21">
        <f>U4</f>
        <v>4000</v>
      </c>
      <c r="V5" s="2">
        <f>-96*$R5*LN(U5)-96*GAMMALN($R5)+($R5-1)*'[1]X data'!$D$8-(1/U5)*'[1]X data'!$D$6</f>
        <v>-860.33409945640267</v>
      </c>
      <c r="W5" s="21">
        <f>W4</f>
        <v>5000</v>
      </c>
      <c r="X5" s="2">
        <f>-96*$R5*LN(W5)-96*GAMMALN($R5)+($R5-1)*'[1]X data'!$D$8-(1/W5)*'[1]X data'!$D$6</f>
        <v>-857.2293344426389</v>
      </c>
      <c r="Y5" s="21">
        <f>Y4</f>
        <v>6000</v>
      </c>
      <c r="Z5" s="2">
        <f>-96*$R5*LN(Y5)-96*GAMMALN($R5)+($R5-1)*'[1]X data'!$D$8-(1/Y5)*'[1]X data'!$D$6</f>
        <v>-856.85087423838763</v>
      </c>
    </row>
    <row r="6" spans="1:26">
      <c r="A6" s="18">
        <v>0.3</v>
      </c>
      <c r="B6" s="21">
        <f t="shared" ref="B6:B23" si="0">B5</f>
        <v>1000</v>
      </c>
      <c r="C6" s="2">
        <f>-96*$A6*LN(B6)-96*GAMMALN($A6)+($A6-1)*'[1]X data'!$D$8-(1/B6)*'[1]X data'!$D$6</f>
        <v>-1063.0072915327378</v>
      </c>
      <c r="D6" s="21">
        <f t="shared" ref="D6:D23" si="1">D5</f>
        <v>2000</v>
      </c>
      <c r="E6" s="2">
        <f>-96*$A6*LN(D6)-96*GAMMALN($A6)+($A6-1)*'[1]X data'!$D$8-(1/D6)*'[1]X data'!$D$6</f>
        <v>-939.45793033286418</v>
      </c>
      <c r="F6" s="21">
        <f t="shared" ref="F6:F23" si="2">F5</f>
        <v>3000</v>
      </c>
      <c r="G6" s="2">
        <f>-96*$A6*LN(F6)-96*GAMMALN($A6)+($A6-1)*'[1]X data'!$D$8-(1/F6)*'[1]X data'!$D$6</f>
        <v>-903.29799211304601</v>
      </c>
      <c r="H6" s="21">
        <f t="shared" ref="H6:H23" si="3">H5</f>
        <v>4000</v>
      </c>
      <c r="I6" s="2">
        <f>-96*$A6*LN(H6)-96*GAMMALN($A6)+($A6-1)*'[1]X data'!$D$8-(1/H6)*'[1]X data'!$D$6</f>
        <v>-887.66456913299066</v>
      </c>
      <c r="J6" s="21">
        <f t="shared" ref="J6:J23" si="4">J5</f>
        <v>5000</v>
      </c>
      <c r="K6" s="2">
        <f>-96*$A6*LN(J6)-96*GAMMALN($A6)+($A6-1)*'[1]X data'!$D$8-(1/J6)*'[1]X data'!$D$6</f>
        <v>-879.73990341084004</v>
      </c>
      <c r="L6" s="21">
        <f t="shared" ref="L6:L23" si="5">L5</f>
        <v>6000</v>
      </c>
      <c r="M6" s="2">
        <f>-96*$A6*LN(L6)-96*GAMMALN($A6)+($A6-1)*'[1]X data'!$D$8-(1/L6)*'[1]X data'!$D$6</f>
        <v>-875.42329757983907</v>
      </c>
      <c r="N6" s="21">
        <f t="shared" ref="N6:N23" si="6">N5</f>
        <v>7000</v>
      </c>
      <c r="O6" s="2">
        <f>-96*$A6*LN(N6)-96*GAMMALN($A6)+($A6-1)*'[1]X data'!$D$8-(1/N6)*'[1]X data'!$D$6</f>
        <v>-873.02893239695948</v>
      </c>
      <c r="R6">
        <v>0.55000000000000004</v>
      </c>
      <c r="S6" s="21">
        <f t="shared" ref="S6:S23" si="7">S5</f>
        <v>3000</v>
      </c>
      <c r="T6" s="2">
        <f>-96*$R6*LN(S6)-96*GAMMALN($R6)+($R6-1)*'[1]X data'!$D$8-(1/S6)*'[1]X data'!$D$6</f>
        <v>-867.82169270957615</v>
      </c>
      <c r="U6" s="21">
        <f t="shared" ref="U6:U23" si="8">U5</f>
        <v>4000</v>
      </c>
      <c r="V6" s="2">
        <f>-96*$R6*LN(U6)-96*GAMMALN($R6)+($R6-1)*'[1]X data'!$D$8-(1/U6)*'[1]X data'!$D$6</f>
        <v>-859.09263946836359</v>
      </c>
      <c r="W6" s="21">
        <f t="shared" ref="W6:W23" si="9">W5</f>
        <v>5000</v>
      </c>
      <c r="X6" s="2">
        <f>-96*$R6*LN(W6)-96*GAMMALN($R6)+($R6-1)*'[1]X data'!$D$8-(1/W6)*'[1]X data'!$D$6</f>
        <v>-856.52341897775386</v>
      </c>
      <c r="Y6" s="21">
        <f t="shared" ref="Y6:Y23" si="10">Y5</f>
        <v>6000</v>
      </c>
      <c r="Z6" s="2">
        <f>-96*$R6*LN(Y6)-96*GAMMALN($R6)+($R6-1)*'[1]X data'!$D$8-(1/Y6)*'[1]X data'!$D$6</f>
        <v>-856.58253050980807</v>
      </c>
    </row>
    <row r="7" spans="1:26">
      <c r="A7" s="18">
        <v>0.4</v>
      </c>
      <c r="B7" s="21">
        <f t="shared" si="0"/>
        <v>1000</v>
      </c>
      <c r="C7" s="2">
        <f>-96*$A7*LN(B7)-96*GAMMALN($A7)+($A7-1)*'[1]X data'!$D$8-(1/B7)*'[1]X data'!$D$6</f>
        <v>-1033.2000149233261</v>
      </c>
      <c r="D7" s="21">
        <f t="shared" si="1"/>
        <v>2000</v>
      </c>
      <c r="E7" s="2">
        <f>-96*$A7*LN(D7)-96*GAMMALN($A7)+($A7-1)*'[1]X data'!$D$8-(1/D7)*'[1]X data'!$D$6</f>
        <v>-916.30486665682793</v>
      </c>
      <c r="F7" s="21">
        <f t="shared" si="2"/>
        <v>3000</v>
      </c>
      <c r="G7" s="2">
        <f>-96*$A7*LN(F7)-96*GAMMALN($A7)+($A7-1)*'[1]X data'!$D$8-(1/F7)*'[1]X data'!$D$6</f>
        <v>-884.03739347484816</v>
      </c>
      <c r="H7" s="21">
        <f t="shared" si="3"/>
        <v>4000</v>
      </c>
      <c r="I7" s="2">
        <f>-96*$A7*LN(H7)-96*GAMMALN($A7)+($A7-1)*'[1]X data'!$D$8-(1/H7)*'[1]X data'!$D$6</f>
        <v>-871.16571839032986</v>
      </c>
      <c r="J7" s="21">
        <f t="shared" si="4"/>
        <v>5000</v>
      </c>
      <c r="K7" s="2">
        <f>-96*$A7*LN(J7)-96*GAMMALN($A7)+($A7-1)*'[1]X data'!$D$8-(1/J7)*'[1]X data'!$D$6</f>
        <v>-865.38323076079564</v>
      </c>
      <c r="L7" s="21">
        <f t="shared" si="5"/>
        <v>6000</v>
      </c>
      <c r="M7" s="2">
        <f>-96*$A7*LN(L7)-96*GAMMALN($A7)+($A7-1)*'[1]X data'!$D$8-(1/L7)*'[1]X data'!$D$6</f>
        <v>-862.81691187501679</v>
      </c>
      <c r="N7" s="21">
        <f t="shared" si="6"/>
        <v>7000</v>
      </c>
      <c r="O7" s="2">
        <f>-96*$A7*LN(N7)-96*GAMMALN($A7)+($A7-1)*'[1]X data'!$D$8-(1/N7)*'[1]X data'!$D$6</f>
        <v>-861.90239321847866</v>
      </c>
      <c r="R7">
        <v>0.57499999999999996</v>
      </c>
      <c r="S7" s="21">
        <f t="shared" si="7"/>
        <v>3000</v>
      </c>
      <c r="T7" s="2">
        <f>-96*$R7*LN(S7)-96*GAMMALN($R7)+($R7-1)*'[1]X data'!$D$8-(1/S7)*'[1]X data'!$D$6</f>
        <v>-866.14205519192012</v>
      </c>
      <c r="U7" s="21">
        <f t="shared" si="8"/>
        <v>4000</v>
      </c>
      <c r="V7" s="2">
        <f>-96*$R7*LN(U7)-96*GAMMALN($R7)+($R7-1)*'[1]X data'!$D$8-(1/U7)*'[1]X data'!$D$6</f>
        <v>-858.10343892459184</v>
      </c>
      <c r="W7" s="21">
        <f t="shared" si="9"/>
        <v>5000</v>
      </c>
      <c r="X7" s="2">
        <f>-96*$R7*LN(W7)-96*GAMMALN($R7)+($R7-1)*'[1]X data'!$D$8-(1/W7)*'[1]X data'!$D$6</f>
        <v>-856.06976295713616</v>
      </c>
      <c r="Y7" s="21">
        <f t="shared" si="10"/>
        <v>6000</v>
      </c>
      <c r="Z7" s="52">
        <f>-96*$R7*LN(Y7)-96*GAMMALN($R7)+($R7-1)*'[1]X data'!$D$8-(1/Y7)*'[1]X data'!$D$6</f>
        <v>-856.56644622549584</v>
      </c>
    </row>
    <row r="8" spans="1:26">
      <c r="A8" s="18">
        <v>0.5</v>
      </c>
      <c r="B8" s="21">
        <f t="shared" si="0"/>
        <v>1000</v>
      </c>
      <c r="C8" s="2">
        <f>-96*$A8*LN(B8)-96*GAMMALN($A8)+($A8-1)*'[1]X data'!$D$8-(1/B8)*'[1]X data'!$D$6</f>
        <v>-1010.5742393384687</v>
      </c>
      <c r="D8" s="21">
        <f t="shared" si="1"/>
        <v>2000</v>
      </c>
      <c r="E8" s="2">
        <f>-96*$A8*LN(D8)-96*GAMMALN($A8)+($A8-1)*'[1]X data'!$D$8-(1/D8)*'[1]X data'!$D$6</f>
        <v>-900.33330400534601</v>
      </c>
      <c r="F8" s="21">
        <f t="shared" si="2"/>
        <v>3000</v>
      </c>
      <c r="G8" s="2">
        <f>-96*$A8*LN(F8)-96*GAMMALN($A8)+($A8-1)*'[1]X data'!$D$8-(1/F8)*'[1]X data'!$D$6</f>
        <v>-871.95829586120465</v>
      </c>
      <c r="H8" s="21">
        <f t="shared" si="3"/>
        <v>4000</v>
      </c>
      <c r="I8" s="2">
        <f>-96*$A8*LN(H8)-96*GAMMALN($A8)+($A8-1)*'[1]X data'!$D$8-(1/H8)*'[1]X data'!$D$6</f>
        <v>-861.8483686722235</v>
      </c>
      <c r="J8" s="21">
        <f t="shared" si="4"/>
        <v>5000</v>
      </c>
      <c r="K8" s="2">
        <f>-96*$A8*LN(J8)-96*GAMMALN($A8)+($A8-1)*'[1]X data'!$D$8-(1/J8)*'[1]X data'!$D$6</f>
        <v>-858.20805913530558</v>
      </c>
      <c r="L8" s="21">
        <f t="shared" si="5"/>
        <v>6000</v>
      </c>
      <c r="M8" s="2">
        <f>-96*$A8*LN(L8)-96*GAMMALN($A8)+($A8-1)*'[1]X data'!$D$8-(1/L8)*'[1]X data'!$D$6</f>
        <v>-857.39202719474861</v>
      </c>
      <c r="N8" s="21">
        <f t="shared" si="6"/>
        <v>7000</v>
      </c>
      <c r="O8" s="2">
        <f>-96*$A8*LN(N8)-96*GAMMALN($A8)+($A8-1)*'[1]X data'!$D$8-(1/N8)*'[1]X data'!$D$6</f>
        <v>-857.9573550645523</v>
      </c>
      <c r="R8">
        <v>0.6</v>
      </c>
      <c r="S8" s="21">
        <f t="shared" si="7"/>
        <v>3000</v>
      </c>
      <c r="T8" s="2">
        <f>-96*$R8*LN(S8)-96*GAMMALN($R8)+($R8-1)*'[1]X data'!$D$8-(1/S8)*'[1]X data'!$D$6</f>
        <v>-864.6966500800271</v>
      </c>
      <c r="U8" s="21">
        <f t="shared" si="8"/>
        <v>4000</v>
      </c>
      <c r="V8" s="2">
        <f>-96*$R8*LN(U8)-96*GAMMALN($R8)+($R8-1)*'[1]X data'!$D$8-(1/U8)*'[1]X data'!$D$6</f>
        <v>-857.34847078658299</v>
      </c>
      <c r="W8" s="21">
        <f t="shared" si="9"/>
        <v>5000</v>
      </c>
      <c r="X8" s="2">
        <f>-96*$R8*LN(W8)-96*GAMMALN($R8)+($R8-1)*'[1]X data'!$D$8-(1/W8)*'[1]X data'!$D$6</f>
        <v>-855.85033934228159</v>
      </c>
      <c r="Y8" s="21">
        <f t="shared" si="10"/>
        <v>6000</v>
      </c>
      <c r="Z8" s="2">
        <f>-96*$R8*LN(Y8)-96*GAMMALN($R8)+($R8-1)*'[1]X data'!$D$8-(1/Y8)*'[1]X data'!$D$6</f>
        <v>-856.78459434694651</v>
      </c>
    </row>
    <row r="9" spans="1:26">
      <c r="A9" s="18">
        <v>0.6</v>
      </c>
      <c r="B9" s="21">
        <f t="shared" si="0"/>
        <v>1000</v>
      </c>
      <c r="C9" s="2">
        <f>-96*$A9*LN(B9)-96*GAMMALN($A9)+($A9-1)*'[1]X data'!$D$8-(1/B9)*'[1]X data'!$D$6</f>
        <v>-992.76591558607731</v>
      </c>
      <c r="D9" s="21">
        <f t="shared" si="1"/>
        <v>2000</v>
      </c>
      <c r="E9" s="2">
        <f>-96*$A9*LN(D9)-96*GAMMALN($A9)+($A9-1)*'[1]X data'!$D$8-(1/D9)*'[1]X data'!$D$6</f>
        <v>-889.17919318633017</v>
      </c>
      <c r="F9" s="21">
        <f t="shared" si="2"/>
        <v>3000</v>
      </c>
      <c r="G9" s="2">
        <f>-96*$A9*LN(F9)-96*GAMMALN($A9)+($A9-1)*'[1]X data'!$D$8-(1/F9)*'[1]X data'!$D$6</f>
        <v>-864.6966500800271</v>
      </c>
      <c r="H9" s="21">
        <f t="shared" si="3"/>
        <v>4000</v>
      </c>
      <c r="I9" s="2">
        <f>-96*$A9*LN(H9)-96*GAMMALN($A9)+($A9-1)*'[1]X data'!$D$8-(1/H9)*'[1]X data'!$D$6</f>
        <v>-857.34847078658299</v>
      </c>
      <c r="J9" s="21">
        <f t="shared" si="4"/>
        <v>5000</v>
      </c>
      <c r="K9" s="2">
        <f>-96*$A9*LN(J9)-96*GAMMALN($A9)+($A9-1)*'[1]X data'!$D$8-(1/J9)*'[1]X data'!$D$6</f>
        <v>-855.85033934228159</v>
      </c>
      <c r="L9" s="21">
        <f t="shared" si="5"/>
        <v>6000</v>
      </c>
      <c r="M9" s="2">
        <f>-96*$A9*LN(L9)-96*GAMMALN($A9)+($A9-1)*'[1]X data'!$D$8-(1/L9)*'[1]X data'!$D$6</f>
        <v>-856.78459434694651</v>
      </c>
      <c r="N9" s="21">
        <f t="shared" si="6"/>
        <v>7000</v>
      </c>
      <c r="O9" s="2">
        <f>-96*$A9*LN(N9)-96*GAMMALN($A9)+($A9-1)*'[1]X data'!$D$8-(1/N9)*'[1]X data'!$D$6</f>
        <v>-858.82976874309202</v>
      </c>
      <c r="R9">
        <v>0.625</v>
      </c>
      <c r="S9" s="21">
        <f t="shared" si="7"/>
        <v>3000</v>
      </c>
      <c r="T9" s="2">
        <f>-96*$R9*LN(S9)-96*GAMMALN($R9)+($R9-1)*'[1]X data'!$D$8-(1/S9)*'[1]X data'!$D$6</f>
        <v>-863.46956586355429</v>
      </c>
      <c r="U9" s="21">
        <f t="shared" si="8"/>
        <v>4000</v>
      </c>
      <c r="V9" s="2">
        <f>-96*$R9*LN(U9)-96*GAMMALN($R9)+($R9-1)*'[1]X data'!$D$8-(1/U9)*'[1]X data'!$D$6</f>
        <v>-856.81182354399448</v>
      </c>
      <c r="W9" s="21">
        <f t="shared" si="9"/>
        <v>5000</v>
      </c>
      <c r="X9" s="53">
        <f>-96*$R9*LN(W9)-96*GAMMALN($R9)+($R9-1)*'[1]X data'!$D$8-(1/W9)*'[1]X data'!$D$6</f>
        <v>-855.84923662284723</v>
      </c>
      <c r="Y9" s="21">
        <f t="shared" si="10"/>
        <v>6000</v>
      </c>
      <c r="Z9" s="2">
        <f>-96*$R9*LN(Y9)-96*GAMMALN($R9)+($R9-1)*'[1]X data'!$D$8-(1/Y9)*'[1]X data'!$D$6</f>
        <v>-857.22106336381762</v>
      </c>
    </row>
    <row r="10" spans="1:26">
      <c r="A10" s="18">
        <v>0.7</v>
      </c>
      <c r="B10" s="21">
        <f t="shared" si="0"/>
        <v>1000</v>
      </c>
      <c r="C10" s="2">
        <f>-96*$A10*LN(B10)-96*GAMMALN($A10)+($A10-1)*'[1]X data'!$D$8-(1/B10)*'[1]X data'!$D$6</f>
        <v>-978.48698127219552</v>
      </c>
      <c r="D10" s="21">
        <f t="shared" si="1"/>
        <v>2000</v>
      </c>
      <c r="E10" s="2">
        <f>-96*$A10*LN(D10)-96*GAMMALN($A10)+($A10-1)*'[1]X data'!$D$8-(1/D10)*'[1]X data'!$D$6</f>
        <v>-881.55447180582382</v>
      </c>
      <c r="F10" s="21">
        <f t="shared" si="2"/>
        <v>3000</v>
      </c>
      <c r="G10" s="2">
        <f>-96*$A10*LN(F10)-96*GAMMALN($A10)+($A10-1)*'[1]X data'!$D$8-(1/F10)*'[1]X data'!$D$6</f>
        <v>-860.96439373735916</v>
      </c>
      <c r="H10" s="21">
        <f t="shared" si="3"/>
        <v>4000</v>
      </c>
      <c r="I10" s="2">
        <f>-96*$A10*LN(H10)-96*GAMMALN($A10)+($A10-1)*'[1]X data'!$D$8-(1/H10)*'[1]X data'!$D$6</f>
        <v>-856.3779623394521</v>
      </c>
      <c r="J10" s="21">
        <f t="shared" si="4"/>
        <v>5000</v>
      </c>
      <c r="K10" s="2">
        <f>-96*$A10*LN(J10)-96*GAMMALN($A10)+($A10-1)*'[1]X data'!$D$8-(1/J10)*'[1]X data'!$D$6</f>
        <v>-857.02200898776709</v>
      </c>
      <c r="L10" s="21">
        <f t="shared" si="5"/>
        <v>6000</v>
      </c>
      <c r="M10" s="2">
        <f>-96*$A10*LN(L10)-96*GAMMALN($A10)+($A10-1)*'[1]X data'!$D$8-(1/L10)*'[1]X data'!$D$6</f>
        <v>-859.70655093765413</v>
      </c>
      <c r="N10" s="21">
        <f t="shared" si="6"/>
        <v>7000</v>
      </c>
      <c r="O10" s="2">
        <f>-96*$A10*LN(N10)-96*GAMMALN($A10)+($A10-1)*'[1]X data'!$D$8-(1/N10)*'[1]X data'!$D$6</f>
        <v>-863.23157186014112</v>
      </c>
      <c r="R10">
        <v>0.65</v>
      </c>
      <c r="S10" s="21">
        <f t="shared" si="7"/>
        <v>3000</v>
      </c>
      <c r="T10" s="2">
        <f>-96*$R10*LN(S10)-96*GAMMALN($R10)+($R10-1)*'[1]X data'!$D$8-(1/S10)*'[1]X data'!$D$6</f>
        <v>-862.44667892816165</v>
      </c>
      <c r="U10" s="21">
        <f t="shared" si="8"/>
        <v>4000</v>
      </c>
      <c r="V10" s="2">
        <f>-96*$R10*LN(U10)-96*GAMMALN($R10)+($R10-1)*'[1]X data'!$D$8-(1/U10)*'[1]X data'!$D$6</f>
        <v>-856.47937358248612</v>
      </c>
      <c r="W10" s="21">
        <f t="shared" si="9"/>
        <v>5000</v>
      </c>
      <c r="X10" s="2">
        <f>-96*$R10*LN(W10)-96*GAMMALN($R10)+($R10-1)*'[1]X data'!$D$8-(1/W10)*'[1]X data'!$D$6</f>
        <v>-856.05233118449291</v>
      </c>
      <c r="Y10" s="21">
        <f t="shared" si="10"/>
        <v>6000</v>
      </c>
      <c r="Z10" s="2">
        <f>-96*$R10*LN(Y10)-96*GAMMALN($R10)+($R10-1)*'[1]X data'!$D$8-(1/Y10)*'[1]X data'!$D$6</f>
        <v>-857.861729661769</v>
      </c>
    </row>
    <row r="11" spans="1:26">
      <c r="A11" s="18">
        <v>0.8</v>
      </c>
      <c r="B11" s="21">
        <f t="shared" si="0"/>
        <v>1000</v>
      </c>
      <c r="C11" s="2">
        <f>-96*$A11*LN(B11)-96*GAMMALN($A11)+($A11-1)*'[1]X data'!$D$8-(1/B11)*'[1]X data'!$D$6</f>
        <v>-966.94971512525728</v>
      </c>
      <c r="D11" s="21">
        <f t="shared" si="1"/>
        <v>2000</v>
      </c>
      <c r="E11" s="2">
        <f>-96*$A11*LN(D11)-96*GAMMALN($A11)+($A11-1)*'[1]X data'!$D$8-(1/D11)*'[1]X data'!$D$6</f>
        <v>-876.67141859226103</v>
      </c>
      <c r="F11" s="21">
        <f t="shared" si="2"/>
        <v>3000</v>
      </c>
      <c r="G11" s="2">
        <f>-96*$A11*LN(F11)-96*GAMMALN($A11)+($A11-1)*'[1]X data'!$D$8-(1/F11)*'[1]X data'!$D$6</f>
        <v>-859.97380556163478</v>
      </c>
      <c r="H11" s="21">
        <f t="shared" si="3"/>
        <v>4000</v>
      </c>
      <c r="I11" s="2">
        <f>-96*$A11*LN(H11)-96*GAMMALN($A11)+($A11-1)*'[1]X data'!$D$8-(1/H11)*'[1]X data'!$D$6</f>
        <v>-858.14912205926487</v>
      </c>
      <c r="J11" s="21">
        <f t="shared" si="4"/>
        <v>5000</v>
      </c>
      <c r="K11" s="2">
        <f>-96*$A11*LN(J11)-96*GAMMALN($A11)+($A11-1)*'[1]X data'!$D$8-(1/J11)*'[1]X data'!$D$6</f>
        <v>-860.93534680019627</v>
      </c>
      <c r="L11" s="21">
        <f t="shared" si="5"/>
        <v>6000</v>
      </c>
      <c r="M11" s="2">
        <f>-96*$A11*LN(L11)-96*GAMMALN($A11)+($A11-1)*'[1]X data'!$D$8-(1/L11)*'[1]X data'!$D$6</f>
        <v>-865.37017569530531</v>
      </c>
      <c r="N11" s="21">
        <f t="shared" si="6"/>
        <v>7000</v>
      </c>
      <c r="O11" s="2">
        <f>-96*$A11*LN(N11)-96*GAMMALN($A11)+($A11-1)*'[1]X data'!$D$8-(1/N11)*'[1]X data'!$D$6</f>
        <v>-870.37504314413388</v>
      </c>
      <c r="R11">
        <v>0.67500000000000004</v>
      </c>
      <c r="S11" s="21">
        <f t="shared" si="7"/>
        <v>3000</v>
      </c>
      <c r="T11" s="2">
        <f>-96*$R11*LN(S11)-96*GAMMALN($R11)+($R11-1)*'[1]X data'!$D$8-(1/S11)*'[1]X data'!$D$6</f>
        <v>-861.61538749905242</v>
      </c>
      <c r="U11" s="21">
        <f t="shared" si="8"/>
        <v>4000</v>
      </c>
      <c r="V11" s="52">
        <f>-96*$R11*LN(U11)-96*GAMMALN($R11)+($R11-1)*'[1]X data'!$D$8-(1/U11)*'[1]X data'!$D$6</f>
        <v>-856.33851912726118</v>
      </c>
      <c r="W11" s="21">
        <f t="shared" si="9"/>
        <v>5000</v>
      </c>
      <c r="X11" s="2">
        <f>-96*$R11*LN(W11)-96*GAMMALN($R11)+($R11-1)*'[1]X data'!$D$8-(1/W11)*'[1]X data'!$D$6</f>
        <v>-856.44702125242213</v>
      </c>
      <c r="Y11" s="21">
        <f t="shared" si="10"/>
        <v>6000</v>
      </c>
      <c r="Z11" s="2">
        <f>-96*$R11*LN(Y11)-96*GAMMALN($R11)+($R11-1)*'[1]X data'!$D$8-(1/Y11)*'[1]X data'!$D$6</f>
        <v>-858.69399146600358</v>
      </c>
    </row>
    <row r="12" spans="1:26">
      <c r="A12" s="18">
        <v>0.9</v>
      </c>
      <c r="B12" s="21">
        <f t="shared" si="0"/>
        <v>1000</v>
      </c>
      <c r="C12" s="2">
        <f>-96*$A12*LN(B12)-96*GAMMALN($A12)+($A12-1)*'[1]X data'!$D$8-(1/B12)*'[1]X data'!$D$6</f>
        <v>-957.63236540711875</v>
      </c>
      <c r="D12" s="21">
        <f t="shared" si="1"/>
        <v>2000</v>
      </c>
      <c r="E12" s="2">
        <f>-96*$A12*LN(D12)-96*GAMMALN($A12)+($A12-1)*'[1]X data'!$D$8-(1/D12)*'[1]X data'!$D$6</f>
        <v>-874.00828180749795</v>
      </c>
      <c r="F12" s="21">
        <f t="shared" si="2"/>
        <v>3000</v>
      </c>
      <c r="G12" s="2">
        <f>-96*$A12*LN(F12)-96*GAMMALN($A12)+($A12-1)*'[1]X data'!$D$8-(1/F12)*'[1]X data'!$D$6</f>
        <v>-861.2031338147101</v>
      </c>
      <c r="H12" s="21">
        <f t="shared" si="3"/>
        <v>4000</v>
      </c>
      <c r="I12" s="2">
        <f>-96*$A12*LN(H12)-96*GAMMALN($A12)+($A12-1)*'[1]X data'!$D$8-(1/H12)*'[1]X data'!$D$6</f>
        <v>-862.14019820787735</v>
      </c>
      <c r="J12" s="21">
        <f t="shared" si="4"/>
        <v>5000</v>
      </c>
      <c r="K12" s="2">
        <f>-96*$A12*LN(J12)-96*GAMMALN($A12)+($A12-1)*'[1]X data'!$D$8-(1/J12)*'[1]X data'!$D$6</f>
        <v>-867.06860104142515</v>
      </c>
      <c r="L12" s="21">
        <f t="shared" si="5"/>
        <v>6000</v>
      </c>
      <c r="M12" s="2">
        <f>-96*$A12*LN(L12)-96*GAMMALN($A12)+($A12-1)*'[1]X data'!$D$8-(1/L12)*'[1]X data'!$D$6</f>
        <v>-873.25371688175596</v>
      </c>
      <c r="N12" s="21">
        <f t="shared" si="6"/>
        <v>7000</v>
      </c>
      <c r="O12" s="2">
        <f>-96*$A12*LN(N12)-96*GAMMALN($A12)+($A12-1)*'[1]X data'!$D$8-(1/N12)*'[1]X data'!$D$6</f>
        <v>-879.73843085692636</v>
      </c>
      <c r="R12">
        <v>0.7</v>
      </c>
      <c r="S12" s="21">
        <f t="shared" si="7"/>
        <v>3000</v>
      </c>
      <c r="T12" s="2">
        <f>-96*$R12*LN(S12)-96*GAMMALN($R12)+($R12-1)*'[1]X data'!$D$8-(1/S12)*'[1]X data'!$D$6</f>
        <v>-860.96439373735916</v>
      </c>
      <c r="U12" s="21">
        <f t="shared" si="8"/>
        <v>4000</v>
      </c>
      <c r="V12" s="2">
        <f>-96*$R12*LN(U12)-96*GAMMALN($R12)+($R12-1)*'[1]X data'!$D$8-(1/U12)*'[1]X data'!$D$6</f>
        <v>-856.3779623394521</v>
      </c>
      <c r="W12" s="21">
        <f t="shared" si="9"/>
        <v>5000</v>
      </c>
      <c r="X12" s="2">
        <f>-96*$R12*LN(W12)-96*GAMMALN($R12)+($R12-1)*'[1]X data'!$D$8-(1/W12)*'[1]X data'!$D$6</f>
        <v>-857.02200898776709</v>
      </c>
      <c r="Y12" s="21">
        <f t="shared" si="10"/>
        <v>6000</v>
      </c>
      <c r="Z12" s="2">
        <f>-96*$R12*LN(Y12)-96*GAMMALN($R12)+($R12-1)*'[1]X data'!$D$8-(1/Y12)*'[1]X data'!$D$6</f>
        <v>-859.70655093765413</v>
      </c>
    </row>
    <row r="13" spans="1:26">
      <c r="A13" s="18">
        <v>1</v>
      </c>
      <c r="B13" s="21">
        <f t="shared" si="0"/>
        <v>1000</v>
      </c>
      <c r="C13" s="2">
        <f>-96*$A13*LN(B13)-96*GAMMALN($A13)+($A13-1)*'[1]X data'!$D$8-(1/B13)*'[1]X data'!$D$6</f>
        <v>-950.1685067782804</v>
      </c>
      <c r="D13" s="21">
        <f t="shared" si="1"/>
        <v>2000</v>
      </c>
      <c r="E13" s="2">
        <f>-96*$A13*LN(D13)-96*GAMMALN($A13)+($A13-1)*'[1]X data'!$D$8-(1/D13)*'[1]X data'!$D$6</f>
        <v>-873.19863611203505</v>
      </c>
      <c r="F13" s="21">
        <f t="shared" si="2"/>
        <v>3000</v>
      </c>
      <c r="G13" s="2">
        <f>-96*$A13*LN(F13)-96*GAMMALN($A13)+($A13-1)*'[1]X data'!$D$8-(1/F13)*'[1]X data'!$D$6</f>
        <v>-864.2859531570856</v>
      </c>
      <c r="H13" s="21">
        <f t="shared" si="3"/>
        <v>4000</v>
      </c>
      <c r="I13" s="2">
        <f>-96*$A13*LN(H13)-96*GAMMALN($A13)+($A13-1)*'[1]X data'!$D$8-(1/H13)*'[1]X data'!$D$6</f>
        <v>-867.98476544578989</v>
      </c>
      <c r="J13" s="21">
        <f t="shared" si="4"/>
        <v>5000</v>
      </c>
      <c r="K13" s="2">
        <f>-96*$A13*LN(J13)-96*GAMMALN($A13)+($A13-1)*'[1]X data'!$D$8-(1/J13)*'[1]X data'!$D$6</f>
        <v>-875.0553463719541</v>
      </c>
      <c r="L13" s="21">
        <f t="shared" si="5"/>
        <v>6000</v>
      </c>
      <c r="M13" s="2">
        <f>-96*$A13*LN(L13)-96*GAMMALN($A13)+($A13-1)*'[1]X data'!$D$8-(1/L13)*'[1]X data'!$D$6</f>
        <v>-882.99074915750703</v>
      </c>
      <c r="N13" s="21">
        <f t="shared" si="6"/>
        <v>7000</v>
      </c>
      <c r="O13" s="2">
        <f>-96*$A13*LN(N13)-96*GAMMALN($A13)+($A13-1)*'[1]X data'!$D$8-(1/N13)*'[1]X data'!$D$6</f>
        <v>-890.95530965901901</v>
      </c>
      <c r="R13">
        <v>0.72499999999999998</v>
      </c>
      <c r="S13" s="21">
        <f t="shared" si="7"/>
        <v>3000</v>
      </c>
      <c r="T13" s="2">
        <f>-96*$R13*LN(S13)-96*GAMMALN($R13)+($R13-1)*'[1]X data'!$D$8-(1/S13)*'[1]X data'!$D$6</f>
        <v>-860.48352386422687</v>
      </c>
      <c r="U13" s="21">
        <f t="shared" si="8"/>
        <v>4000</v>
      </c>
      <c r="V13" s="2">
        <f>-96*$R13*LN(U13)-96*GAMMALN($R13)+($R13-1)*'[1]X data'!$D$8-(1/U13)*'[1]X data'!$D$6</f>
        <v>-856.58752944020421</v>
      </c>
      <c r="W13" s="21">
        <f t="shared" si="9"/>
        <v>5000</v>
      </c>
      <c r="X13" s="2">
        <f>-96*$R13*LN(W13)-96*GAMMALN($R13)+($R13-1)*'[1]X data'!$D$8-(1/W13)*'[1]X data'!$D$6</f>
        <v>-857.76712061167325</v>
      </c>
      <c r="Y13" s="21">
        <f t="shared" si="10"/>
        <v>6000</v>
      </c>
      <c r="Z13" s="2">
        <f>-96*$R13*LN(Y13)-96*GAMMALN($R13)+($R13-1)*'[1]X data'!$D$8-(1/Y13)*'[1]X data'!$D$6</f>
        <v>-860.88923429786564</v>
      </c>
    </row>
    <row r="14" spans="1:26">
      <c r="A14" s="18">
        <v>1.1000000000000001</v>
      </c>
      <c r="B14" s="21">
        <f t="shared" si="0"/>
        <v>1000</v>
      </c>
      <c r="C14" s="2">
        <f>-96*$A14*LN(B14)-96*GAMMALN($A14)+($A14-1)*'[1]X data'!$D$8-(1/B14)*'[1]X data'!$D$6</f>
        <v>-944.28901281104243</v>
      </c>
      <c r="D14" s="21">
        <f t="shared" si="1"/>
        <v>2000</v>
      </c>
      <c r="E14" s="2">
        <f>-96*$A14*LN(D14)-96*GAMMALN($A14)+($A14-1)*'[1]X data'!$D$8-(1/D14)*'[1]X data'!$D$6</f>
        <v>-873.97335507817252</v>
      </c>
      <c r="F14" s="21">
        <f t="shared" si="2"/>
        <v>3000</v>
      </c>
      <c r="G14" s="2">
        <f>-96*$A14*LN(F14)-96*GAMMALN($A14)+($A14-1)*'[1]X data'!$D$8-(1/F14)*'[1]X data'!$D$6</f>
        <v>-868.95313716106136</v>
      </c>
      <c r="H14" s="21">
        <f t="shared" si="3"/>
        <v>4000</v>
      </c>
      <c r="I14" s="2">
        <f>-96*$A14*LN(H14)-96*GAMMALN($A14)+($A14-1)*'[1]X data'!$D$8-(1/H14)*'[1]X data'!$D$6</f>
        <v>-875.41369734530292</v>
      </c>
      <c r="J14" s="21">
        <f t="shared" si="4"/>
        <v>5000</v>
      </c>
      <c r="K14" s="2">
        <f>-96*$A14*LN(J14)-96*GAMMALN($A14)+($A14-1)*'[1]X data'!$D$8-(1/J14)*'[1]X data'!$D$6</f>
        <v>-884.62645636408342</v>
      </c>
      <c r="L14" s="21">
        <f t="shared" si="5"/>
        <v>6000</v>
      </c>
      <c r="M14" s="2">
        <f>-96*$A14*LN(L14)-96*GAMMALN($A14)+($A14-1)*'[1]X data'!$D$8-(1/L14)*'[1]X data'!$D$6</f>
        <v>-894.31214609485824</v>
      </c>
      <c r="N14" s="21">
        <f t="shared" si="6"/>
        <v>7000</v>
      </c>
      <c r="O14" s="2">
        <f>-96*$A14*LN(N14)-96*GAMMALN($A14)+($A14-1)*'[1]X data'!$D$8-(1/N14)*'[1]X data'!$D$6</f>
        <v>-903.75655312271203</v>
      </c>
      <c r="R14">
        <v>0.75</v>
      </c>
      <c r="S14" s="21">
        <f t="shared" si="7"/>
        <v>3000</v>
      </c>
      <c r="T14" s="2">
        <f>-96*$R14*LN(S14)-96*GAMMALN($R14)+($R14-1)*'[1]X data'!$D$8-(1/S14)*'[1]X data'!$D$6</f>
        <v>-860.1635785901899</v>
      </c>
      <c r="U14" s="21">
        <f t="shared" si="8"/>
        <v>4000</v>
      </c>
      <c r="V14" s="2">
        <f>-96*$R14*LN(U14)-96*GAMMALN($R14)+($R14-1)*'[1]X data'!$D$8-(1/U14)*'[1]X data'!$D$6</f>
        <v>-856.95802114005153</v>
      </c>
      <c r="W14" s="21">
        <f t="shared" si="9"/>
        <v>5000</v>
      </c>
      <c r="X14" s="2">
        <f>-96*$R14*LN(W14)-96*GAMMALN($R14)+($R14-1)*'[1]X data'!$D$8-(1/W14)*'[1]X data'!$D$6</f>
        <v>-858.67315683467473</v>
      </c>
      <c r="Y14" s="21">
        <f t="shared" si="10"/>
        <v>6000</v>
      </c>
      <c r="Z14" s="2">
        <f>-96*$R14*LN(Y14)-96*GAMMALN($R14)+($R14-1)*'[1]X data'!$D$8-(1/Y14)*'[1]X data'!$D$6</f>
        <v>-862.23284225717271</v>
      </c>
    </row>
    <row r="15" spans="1:26">
      <c r="A15" s="18">
        <v>1.2</v>
      </c>
      <c r="B15" s="21">
        <f t="shared" si="0"/>
        <v>1000</v>
      </c>
      <c r="C15" s="2">
        <f>-96*$A15*LN(B15)-96*GAMMALN($A15)+($A15-1)*'[1]X data'!$D$8-(1/B15)*'[1]X data'!$D$6</f>
        <v>-939.78911492537907</v>
      </c>
      <c r="D15" s="21">
        <f t="shared" si="1"/>
        <v>2000</v>
      </c>
      <c r="E15" s="2">
        <f>-96*$A15*LN(D15)-96*GAMMALN($A15)+($A15-1)*'[1]X data'!$D$8-(1/D15)*'[1]X data'!$D$6</f>
        <v>-876.12767012588483</v>
      </c>
      <c r="F15" s="21">
        <f t="shared" si="2"/>
        <v>3000</v>
      </c>
      <c r="G15" s="2">
        <f>-96*$A15*LN(F15)-96*GAMMALN($A15)+($A15-1)*'[1]X data'!$D$8-(1/F15)*'[1]X data'!$D$6</f>
        <v>-874.99991724661197</v>
      </c>
      <c r="H15" s="21">
        <f t="shared" si="3"/>
        <v>4000</v>
      </c>
      <c r="I15" s="2">
        <f>-96*$A15*LN(H15)-96*GAMMALN($A15)+($A15-1)*'[1]X data'!$D$8-(1/H15)*'[1]X data'!$D$6</f>
        <v>-884.22222532639046</v>
      </c>
      <c r="J15" s="21">
        <f t="shared" si="4"/>
        <v>5000</v>
      </c>
      <c r="K15" s="2">
        <f>-96*$A15*LN(J15)-96*GAMMALN($A15)+($A15-1)*'[1]X data'!$D$8-(1/J15)*'[1]X data'!$D$6</f>
        <v>-895.57716243778759</v>
      </c>
      <c r="L15" s="21">
        <f t="shared" si="5"/>
        <v>6000</v>
      </c>
      <c r="M15" s="2">
        <f>-96*$A15*LN(L15)-96*GAMMALN($A15)+($A15-1)*'[1]X data'!$D$8-(1/L15)*'[1]X data'!$D$6</f>
        <v>-907.01313911378429</v>
      </c>
      <c r="N15" s="21">
        <f t="shared" si="6"/>
        <v>7000</v>
      </c>
      <c r="O15" s="2">
        <f>-96*$A15*LN(N15)-96*GAMMALN($A15)+($A15-1)*'[1]X data'!$D$8-(1/N15)*'[1]X data'!$D$6</f>
        <v>-917.93739266797991</v>
      </c>
      <c r="R15">
        <v>0.77500000000000002</v>
      </c>
      <c r="S15" s="21">
        <f t="shared" si="7"/>
        <v>3000</v>
      </c>
      <c r="T15" s="2">
        <f>-96*$R15*LN(S15)-96*GAMMALN($R15)+($R15-1)*'[1]X data'!$D$8-(1/S15)*'[1]X data'!$D$6</f>
        <v>-859.9962078995909</v>
      </c>
      <c r="U15" s="21">
        <f t="shared" si="8"/>
        <v>4000</v>
      </c>
      <c r="V15" s="2">
        <f>-96*$R15*LN(U15)-96*GAMMALN($R15)+($R15-1)*'[1]X data'!$D$8-(1/U15)*'[1]X data'!$D$6</f>
        <v>-857.4810874233367</v>
      </c>
      <c r="W15" s="21">
        <f t="shared" si="9"/>
        <v>5000</v>
      </c>
      <c r="X15" s="2">
        <f>-96*$R15*LN(W15)-96*GAMMALN($R15)+($R15-1)*'[1]X data'!$D$8-(1/W15)*'[1]X data'!$D$6</f>
        <v>-859.73176764111406</v>
      </c>
      <c r="Y15" s="21">
        <f t="shared" si="10"/>
        <v>6000</v>
      </c>
      <c r="Z15" s="2">
        <f>-96*$R15*LN(Y15)-96*GAMMALN($R15)+($R15-1)*'[1]X data'!$D$8-(1/Y15)*'[1]X data'!$D$6</f>
        <v>-863.7290247999174</v>
      </c>
    </row>
    <row r="16" spans="1:26">
      <c r="A16" s="18">
        <v>1.3</v>
      </c>
      <c r="B16" s="21">
        <f t="shared" si="0"/>
        <v>1000</v>
      </c>
      <c r="C16" s="2">
        <f>-96*$A16*LN(B16)-96*GAMMALN($A16)+($A16-1)*'[1]X data'!$D$8-(1/B16)*'[1]X data'!$D$6</f>
        <v>-936.50850624666009</v>
      </c>
      <c r="D16" s="21">
        <f t="shared" si="1"/>
        <v>2000</v>
      </c>
      <c r="E16" s="2">
        <f>-96*$A16*LN(D16)-96*GAMMALN($A16)+($A16-1)*'[1]X data'!$D$8-(1/D16)*'[1]X data'!$D$6</f>
        <v>-879.50127438054119</v>
      </c>
      <c r="F16" s="21">
        <f t="shared" si="2"/>
        <v>3000</v>
      </c>
      <c r="G16" s="2">
        <f>-96*$A16*LN(F16)-96*GAMMALN($A16)+($A16-1)*'[1]X data'!$D$8-(1/F16)*'[1]X data'!$D$6</f>
        <v>-882.26598653910673</v>
      </c>
      <c r="H16" s="21">
        <f t="shared" si="3"/>
        <v>4000</v>
      </c>
      <c r="I16" s="2">
        <f>-96*$A16*LN(H16)-96*GAMMALN($A16)+($A16-1)*'[1]X data'!$D$8-(1/H16)*'[1]X data'!$D$6</f>
        <v>-894.25004251442249</v>
      </c>
      <c r="J16" s="21">
        <f t="shared" si="4"/>
        <v>5000</v>
      </c>
      <c r="K16" s="2">
        <f>-96*$A16*LN(J16)-96*GAMMALN($A16)+($A16-1)*'[1]X data'!$D$8-(1/J16)*'[1]X data'!$D$6</f>
        <v>-907.74715771843603</v>
      </c>
      <c r="L16" s="21">
        <f t="shared" si="5"/>
        <v>6000</v>
      </c>
      <c r="M16" s="2">
        <f>-96*$A16*LN(L16)-96*GAMMALN($A16)+($A16-1)*'[1]X data'!$D$8-(1/L16)*'[1]X data'!$D$6</f>
        <v>-920.93342133965484</v>
      </c>
      <c r="N16" s="21">
        <f t="shared" si="6"/>
        <v>7000</v>
      </c>
      <c r="O16" s="2">
        <f>-96*$A16*LN(N16)-96*GAMMALN($A16)+($A16-1)*'[1]X data'!$D$8-(1/N16)*'[1]X data'!$D$6</f>
        <v>-933.33752142019182</v>
      </c>
      <c r="R16">
        <v>0.8</v>
      </c>
      <c r="S16" s="21">
        <f t="shared" si="7"/>
        <v>3000</v>
      </c>
      <c r="T16" s="52">
        <f>-96*$R16*LN(S16)-96*GAMMALN($R16)+($R16-1)*'[1]X data'!$D$8-(1/S16)*'[1]X data'!$D$6</f>
        <v>-859.97380556163478</v>
      </c>
      <c r="U16" s="21">
        <f t="shared" si="8"/>
        <v>4000</v>
      </c>
      <c r="V16" s="2">
        <f>-96*$R16*LN(U16)-96*GAMMALN($R16)+($R16-1)*'[1]X data'!$D$8-(1/U16)*'[1]X data'!$D$6</f>
        <v>-858.14912205926487</v>
      </c>
      <c r="W16" s="21">
        <f t="shared" si="9"/>
        <v>5000</v>
      </c>
      <c r="X16" s="2">
        <f>-96*$R16*LN(W16)-96*GAMMALN($R16)+($R16-1)*'[1]X data'!$D$8-(1/W16)*'[1]X data'!$D$6</f>
        <v>-860.93534680019627</v>
      </c>
      <c r="Y16" s="21">
        <f t="shared" si="10"/>
        <v>6000</v>
      </c>
      <c r="Z16" s="2">
        <f>-96*$R16*LN(Y16)-96*GAMMALN($R16)+($R16-1)*'[1]X data'!$D$8-(1/Y16)*'[1]X data'!$D$6</f>
        <v>-865.37017569530531</v>
      </c>
    </row>
    <row r="17" spans="1:26">
      <c r="A17" s="18">
        <v>1.4</v>
      </c>
      <c r="B17" s="21">
        <f t="shared" si="0"/>
        <v>1000</v>
      </c>
      <c r="C17" s="2">
        <f>-96*$A17*LN(B17)-96*GAMMALN($A17)+($A17-1)*'[1]X data'!$D$8-(1/B17)*'[1]X data'!$D$6</f>
        <v>-934.31870859259163</v>
      </c>
      <c r="D17" s="21">
        <f t="shared" si="1"/>
        <v>2000</v>
      </c>
      <c r="E17" s="2">
        <f>-96*$A17*LN(D17)-96*GAMMALN($A17)+($A17-1)*'[1]X data'!$D$8-(1/D17)*'[1]X data'!$D$6</f>
        <v>-883.96568965984829</v>
      </c>
      <c r="F17" s="21">
        <f t="shared" si="2"/>
        <v>3000</v>
      </c>
      <c r="G17" s="2">
        <f>-96*$A17*LN(F17)-96*GAMMALN($A17)+($A17-1)*'[1]X data'!$D$8-(1/F17)*'[1]X data'!$D$6</f>
        <v>-890.62286685625224</v>
      </c>
      <c r="H17" s="21">
        <f t="shared" si="3"/>
        <v>4000</v>
      </c>
      <c r="I17" s="2">
        <f>-96*$A17*LN(H17)-96*GAMMALN($A17)+($A17-1)*'[1]X data'!$D$8-(1/H17)*'[1]X data'!$D$6</f>
        <v>-905.36867072710481</v>
      </c>
      <c r="J17" s="21">
        <f t="shared" si="4"/>
        <v>5000</v>
      </c>
      <c r="K17" s="2">
        <f>-96*$A17*LN(J17)-96*GAMMALN($A17)+($A17-1)*'[1]X data'!$D$8-(1/J17)*'[1]X data'!$D$6</f>
        <v>-921.00796402373476</v>
      </c>
      <c r="L17" s="21">
        <f t="shared" si="5"/>
        <v>6000</v>
      </c>
      <c r="M17" s="2">
        <f>-96*$A17*LN(L17)-96*GAMMALN($A17)+($A17-1)*'[1]X data'!$D$8-(1/L17)*'[1]X data'!$D$6</f>
        <v>-935.94451459017546</v>
      </c>
      <c r="N17" s="21">
        <f t="shared" si="6"/>
        <v>7000</v>
      </c>
      <c r="O17" s="2">
        <f>-96*$A17*LN(N17)-96*GAMMALN($A17)+($A17-1)*'[1]X data'!$D$8-(1/N17)*'[1]X data'!$D$6</f>
        <v>-949.82846119705425</v>
      </c>
      <c r="R17">
        <v>0.82499999999999996</v>
      </c>
      <c r="S17" s="21">
        <f t="shared" si="7"/>
        <v>3000</v>
      </c>
      <c r="T17" s="2">
        <f>-96*$R17*LN(S17)-96*GAMMALN($R17)+($R17-1)*'[1]X data'!$D$8-(1/S17)*'[1]X data'!$D$6</f>
        <v>-860.0894197360393</v>
      </c>
      <c r="U17" s="21">
        <f t="shared" si="8"/>
        <v>4000</v>
      </c>
      <c r="V17" s="2">
        <f>-96*$R17*LN(U17)-96*GAMMALN($R17)+($R17-1)*'[1]X data'!$D$8-(1/U17)*'[1]X data'!$D$6</f>
        <v>-858.95517320755368</v>
      </c>
      <c r="W17" s="21">
        <f t="shared" si="9"/>
        <v>5000</v>
      </c>
      <c r="X17" s="2">
        <f>-96*$R17*LN(W17)-96*GAMMALN($R17)+($R17-1)*'[1]X data'!$D$8-(1/W17)*'[1]X data'!$D$6</f>
        <v>-862.27694247163925</v>
      </c>
      <c r="Y17" s="21">
        <f t="shared" si="10"/>
        <v>6000</v>
      </c>
      <c r="Z17" s="2">
        <f>-96*$R17*LN(Y17)-96*GAMMALN($R17)+($R17-1)*'[1]X data'!$D$8-(1/Y17)*'[1]X data'!$D$6</f>
        <v>-867.14934310305352</v>
      </c>
    </row>
    <row r="18" spans="1:26">
      <c r="A18" s="18">
        <v>1.5</v>
      </c>
      <c r="B18" s="21">
        <f t="shared" si="0"/>
        <v>1000</v>
      </c>
      <c r="C18" s="2">
        <f>-96*$A18*LN(B18)-96*GAMMALN($A18)+($A18-1)*'[1]X data'!$D$8-(1/B18)*'[1]X data'!$D$6</f>
        <v>-933.11471393388922</v>
      </c>
      <c r="D18" s="21">
        <f t="shared" si="1"/>
        <v>2000</v>
      </c>
      <c r="E18" s="2">
        <f>-96*$A18*LN(D18)-96*GAMMALN($A18)+($A18-1)*'[1]X data'!$D$8-(1/D18)*'[1]X data'!$D$6</f>
        <v>-889.41590793452133</v>
      </c>
      <c r="F18" s="21">
        <f t="shared" si="2"/>
        <v>3000</v>
      </c>
      <c r="G18" s="2">
        <f>-96*$A18*LN(F18)-96*GAMMALN($A18)+($A18-1)*'[1]X data'!$D$8-(1/F18)*'[1]X data'!$D$6</f>
        <v>-899.96555016876357</v>
      </c>
      <c r="H18" s="21">
        <f t="shared" si="3"/>
        <v>4000</v>
      </c>
      <c r="I18" s="2">
        <f>-96*$A18*LN(H18)-96*GAMMALN($A18)+($A18-1)*'[1]X data'!$D$8-(1/H18)*'[1]X data'!$D$6</f>
        <v>-917.47310193515352</v>
      </c>
      <c r="J18" s="21">
        <f t="shared" si="4"/>
        <v>5000</v>
      </c>
      <c r="K18" s="2">
        <f>-96*$A18*LN(J18)-96*GAMMALN($A18)+($A18-1)*'[1]X data'!$D$8-(1/J18)*'[1]X data'!$D$6</f>
        <v>-935.25457332439987</v>
      </c>
      <c r="L18" s="21">
        <f t="shared" si="5"/>
        <v>6000</v>
      </c>
      <c r="M18" s="2">
        <f>-96*$A18*LN(L18)-96*GAMMALN($A18)+($A18-1)*'[1]X data'!$D$8-(1/L18)*'[1]X data'!$D$6</f>
        <v>-951.94141083606246</v>
      </c>
      <c r="N18" s="21">
        <f t="shared" si="6"/>
        <v>7000</v>
      </c>
      <c r="O18" s="2">
        <f>-96*$A18*LN(N18)-96*GAMMALN($A18)+($A18-1)*'[1]X data'!$D$8-(1/N18)*'[1]X data'!$D$6</f>
        <v>-967.30520396928284</v>
      </c>
      <c r="R18">
        <v>0.85</v>
      </c>
      <c r="S18" s="21">
        <f t="shared" si="7"/>
        <v>3000</v>
      </c>
      <c r="T18" s="2">
        <f>-96*$R18*LN(S18)-96*GAMMALN($R18)+($R18-1)*'[1]X data'!$D$8-(1/S18)*'[1]X data'!$D$6</f>
        <v>-860.33667679961252</v>
      </c>
      <c r="U18" s="21">
        <f t="shared" si="8"/>
        <v>4000</v>
      </c>
      <c r="V18" s="2">
        <f>-96*$R18*LN(U18)-96*GAMMALN($R18)+($R18-1)*'[1]X data'!$D$8-(1/U18)*'[1]X data'!$D$6</f>
        <v>-859.89286724501119</v>
      </c>
      <c r="W18" s="21">
        <f t="shared" si="9"/>
        <v>5000</v>
      </c>
      <c r="X18" s="2">
        <f>-96*$R18*LN(W18)-96*GAMMALN($R18)+($R18-1)*'[1]X data'!$D$8-(1/W18)*'[1]X data'!$D$6</f>
        <v>-863.75018103225079</v>
      </c>
      <c r="Y18" s="21">
        <f t="shared" si="10"/>
        <v>6000</v>
      </c>
      <c r="Z18" s="2">
        <f>-96*$R18*LN(Y18)-96*GAMMALN($R18)+($R18-1)*'[1]X data'!$D$8-(1/Y18)*'[1]X data'!$D$6</f>
        <v>-869.06015339997066</v>
      </c>
    </row>
    <row r="19" spans="1:26">
      <c r="A19" s="18">
        <v>1.6</v>
      </c>
      <c r="B19" s="21">
        <f t="shared" si="0"/>
        <v>1000</v>
      </c>
      <c r="C19" s="2">
        <f>-96*$A19*LN(B19)-96*GAMMALN($A19)+($A19-1)*'[1]X data'!$D$8-(1/B19)*'[1]X data'!$D$6</f>
        <v>-932.80925963372704</v>
      </c>
      <c r="D19" s="21">
        <f t="shared" si="1"/>
        <v>2000</v>
      </c>
      <c r="E19" s="2">
        <f>-96*$A19*LN(D19)-96*GAMMALN($A19)+($A19-1)*'[1]X data'!$D$8-(1/D19)*'[1]X data'!$D$6</f>
        <v>-895.76466656773459</v>
      </c>
      <c r="F19" s="21">
        <f t="shared" si="2"/>
        <v>3000</v>
      </c>
      <c r="G19" s="2">
        <f>-96*$A19*LN(F19)-96*GAMMALN($A19)+($A19-1)*'[1]X data'!$D$8-(1/F19)*'[1]X data'!$D$6</f>
        <v>-910.20677383981536</v>
      </c>
      <c r="H19" s="21">
        <f t="shared" si="3"/>
        <v>4000</v>
      </c>
      <c r="I19" s="2">
        <f>-96*$A19*LN(H19)-96*GAMMALN($A19)+($A19-1)*'[1]X data'!$D$8-(1/H19)*'[1]X data'!$D$6</f>
        <v>-930.47607350174223</v>
      </c>
      <c r="J19" s="21">
        <f t="shared" si="4"/>
        <v>5000</v>
      </c>
      <c r="K19" s="2">
        <f>-96*$A19*LN(J19)-96*GAMMALN($A19)+($A19-1)*'[1]X data'!$D$8-(1/J19)*'[1]X data'!$D$6</f>
        <v>-950.39972298360499</v>
      </c>
      <c r="L19" s="21">
        <f t="shared" si="5"/>
        <v>6000</v>
      </c>
      <c r="M19" s="2">
        <f>-96*$A19*LN(L19)-96*GAMMALN($A19)+($A19-1)*'[1]X data'!$D$8-(1/L19)*'[1]X data'!$D$6</f>
        <v>-968.83684744048969</v>
      </c>
      <c r="N19" s="21">
        <f t="shared" si="6"/>
        <v>7000</v>
      </c>
      <c r="O19" s="2">
        <f>-96*$A19*LN(N19)-96*GAMMALN($A19)+($A19-1)*'[1]X data'!$D$8-(1/N19)*'[1]X data'!$D$6</f>
        <v>-985.68048710005166</v>
      </c>
      <c r="R19">
        <v>0.875</v>
      </c>
      <c r="S19" s="21">
        <f t="shared" si="7"/>
        <v>3000</v>
      </c>
      <c r="T19" s="2">
        <f>-96*$R19*LN(S19)-96*GAMMALN($R19)+($R19-1)*'[1]X data'!$D$8-(1/S19)*'[1]X data'!$D$6</f>
        <v>-860.70971610257618</v>
      </c>
      <c r="U19" s="21">
        <f t="shared" si="8"/>
        <v>4000</v>
      </c>
      <c r="V19" s="2">
        <f>-96*$R19*LN(U19)-96*GAMMALN($R19)+($R19-1)*'[1]X data'!$D$8-(1/U19)*'[1]X data'!$D$6</f>
        <v>-860.95634352185914</v>
      </c>
      <c r="W19" s="21">
        <f t="shared" si="9"/>
        <v>5000</v>
      </c>
      <c r="X19" s="2">
        <f>-96*$R19*LN(W19)-96*GAMMALN($R19)+($R19-1)*'[1]X data'!$D$8-(1/W19)*'[1]X data'!$D$6</f>
        <v>-865.3492018322529</v>
      </c>
      <c r="Y19" s="21">
        <f t="shared" si="10"/>
        <v>6000</v>
      </c>
      <c r="Z19" s="2">
        <f>-96*$R19*LN(Y19)-96*GAMMALN($R19)+($R19-1)*'[1]X data'!$D$8-(1/Y19)*'[1]X data'!$D$6</f>
        <v>-871.09674593627824</v>
      </c>
    </row>
    <row r="20" spans="1:26">
      <c r="A20" s="18">
        <v>1.7</v>
      </c>
      <c r="B20" s="21">
        <f t="shared" si="0"/>
        <v>1000</v>
      </c>
      <c r="C20" s="2">
        <f>-96*$A20*LN(B20)-96*GAMMALN($A20)+($A20-1)*'[1]X data'!$D$8-(1/B20)*'[1]X data'!$D$6</f>
        <v>-933.32879058328911</v>
      </c>
      <c r="D20" s="21">
        <f t="shared" si="1"/>
        <v>2000</v>
      </c>
      <c r="E20" s="2">
        <f>-96*$A20*LN(D20)-96*GAMMALN($A20)+($A20-1)*'[1]X data'!$D$8-(1/D20)*'[1]X data'!$D$6</f>
        <v>-902.93841045067211</v>
      </c>
      <c r="F20" s="21">
        <f t="shared" si="2"/>
        <v>3000</v>
      </c>
      <c r="G20" s="2">
        <f>-96*$A20*LN(F20)-96*GAMMALN($A20)+($A20-1)*'[1]X data'!$D$8-(1/F20)*'[1]X data'!$D$6</f>
        <v>-921.27298276059116</v>
      </c>
      <c r="H20" s="21">
        <f t="shared" si="3"/>
        <v>4000</v>
      </c>
      <c r="I20" s="2">
        <f>-96*$A20*LN(H20)-96*GAMMALN($A20)+($A20-1)*'[1]X data'!$D$8-(1/H20)*'[1]X data'!$D$6</f>
        <v>-944.3040303180552</v>
      </c>
      <c r="J20" s="21">
        <f t="shared" si="4"/>
        <v>5000</v>
      </c>
      <c r="K20" s="2">
        <f>-96*$A20*LN(J20)-96*GAMMALN($A20)+($A20-1)*'[1]X data'!$D$8-(1/J20)*'[1]X data'!$D$6</f>
        <v>-966.36985789253436</v>
      </c>
      <c r="L20" s="21">
        <f t="shared" si="5"/>
        <v>6000</v>
      </c>
      <c r="M20" s="2">
        <f>-96*$A20*LN(L20)-96*GAMMALN($A20)+($A20-1)*'[1]X data'!$D$8-(1/L20)*'[1]X data'!$D$6</f>
        <v>-986.55726929464095</v>
      </c>
      <c r="N20" s="21">
        <f t="shared" si="6"/>
        <v>7000</v>
      </c>
      <c r="O20" s="2">
        <f>-96*$A20*LN(N20)-96*GAMMALN($A20)+($A20-1)*'[1]X data'!$D$8-(1/N20)*'[1]X data'!$D$6</f>
        <v>-1004.8807554805447</v>
      </c>
      <c r="R20">
        <v>0.9</v>
      </c>
      <c r="S20" s="21">
        <f t="shared" si="7"/>
        <v>3000</v>
      </c>
      <c r="T20" s="2">
        <f>-96*$R20*LN(S20)-96*GAMMALN($R20)+($R20-1)*'[1]X data'!$D$8-(1/S20)*'[1]X data'!$D$6</f>
        <v>-861.2031338147101</v>
      </c>
      <c r="U20" s="21">
        <f t="shared" si="8"/>
        <v>4000</v>
      </c>
      <c r="V20" s="2">
        <f>-96*$R20*LN(U20)-96*GAMMALN($R20)+($R20-1)*'[1]X data'!$D$8-(1/U20)*'[1]X data'!$D$6</f>
        <v>-862.14019820787735</v>
      </c>
      <c r="W20" s="21">
        <f t="shared" si="9"/>
        <v>5000</v>
      </c>
      <c r="X20" s="2">
        <f>-96*$R20*LN(W20)-96*GAMMALN($R20)+($R20-1)*'[1]X data'!$D$8-(1/W20)*'[1]X data'!$D$6</f>
        <v>-867.06860104142515</v>
      </c>
      <c r="Y20" s="21">
        <f t="shared" si="10"/>
        <v>6000</v>
      </c>
      <c r="Z20" s="2">
        <f>-96*$R20*LN(Y20)-96*GAMMALN($R20)+($R20-1)*'[1]X data'!$D$8-(1/Y20)*'[1]X data'!$D$6</f>
        <v>-873.25371688175596</v>
      </c>
    </row>
    <row r="21" spans="1:26">
      <c r="A21" s="18">
        <v>1.8</v>
      </c>
      <c r="B21" s="21">
        <f t="shared" si="0"/>
        <v>1000</v>
      </c>
      <c r="C21" s="2">
        <f>-96*$A21*LN(B21)-96*GAMMALN($A21)+($A21-1)*'[1]X data'!$D$8-(1/B21)*'[1]X data'!$D$6</f>
        <v>-934.61053812834973</v>
      </c>
      <c r="D21" s="21">
        <f t="shared" si="1"/>
        <v>2000</v>
      </c>
      <c r="E21" s="2">
        <f>-96*$A21*LN(D21)-96*GAMMALN($A21)+($A21-1)*'[1]X data'!$D$8-(1/D21)*'[1]X data'!$D$6</f>
        <v>-910.87437092910818</v>
      </c>
      <c r="F21" s="21">
        <f t="shared" si="2"/>
        <v>3000</v>
      </c>
      <c r="G21" s="2">
        <f>-96*$A21*LN(F21)-96*GAMMALN($A21)+($A21-1)*'[1]X data'!$D$8-(1/F21)*'[1]X data'!$D$6</f>
        <v>-933.10140827686575</v>
      </c>
      <c r="H21" s="21">
        <f t="shared" si="3"/>
        <v>4000</v>
      </c>
      <c r="I21" s="2">
        <f>-96*$A21*LN(H21)-96*GAMMALN($A21)+($A21-1)*'[1]X data'!$D$8-(1/H21)*'[1]X data'!$D$6</f>
        <v>-958.89420372986694</v>
      </c>
      <c r="J21" s="21">
        <f t="shared" si="4"/>
        <v>5000</v>
      </c>
      <c r="K21" s="2">
        <f>-96*$A21*LN(J21)-96*GAMMALN($A21)+($A21-1)*'[1]X data'!$D$8-(1/J21)*'[1]X data'!$D$6</f>
        <v>-983.10220939696251</v>
      </c>
      <c r="L21" s="21">
        <f t="shared" si="5"/>
        <v>6000</v>
      </c>
      <c r="M21" s="2">
        <f>-96*$A21*LN(L21)-96*GAMMALN($A21)+($A21-1)*'[1]X data'!$D$8-(1/L21)*'[1]X data'!$D$6</f>
        <v>-1005.039907744291</v>
      </c>
      <c r="N21" s="21">
        <f t="shared" si="6"/>
        <v>7000</v>
      </c>
      <c r="O21" s="2">
        <f>-96*$A21*LN(N21)-96*GAMMALN($A21)+($A21-1)*'[1]X data'!$D$8-(1/N21)*'[1]X data'!$D$6</f>
        <v>-1024.8432404565365</v>
      </c>
      <c r="R21">
        <v>0.92500000000000004</v>
      </c>
      <c r="S21" s="21">
        <f t="shared" si="7"/>
        <v>3000</v>
      </c>
      <c r="T21" s="2">
        <f>-96*$R21*LN(S21)-96*GAMMALN($R21)+($R21-1)*'[1]X data'!$D$8-(1/S21)*'[1]X data'!$D$6</f>
        <v>-861.81193437372292</v>
      </c>
      <c r="U21" s="21">
        <f t="shared" si="8"/>
        <v>4000</v>
      </c>
      <c r="V21" s="2">
        <f>-96*$R21*LN(U21)-96*GAMMALN($R21)+($R21-1)*'[1]X data'!$D$8-(1/U21)*'[1]X data'!$D$6</f>
        <v>-863.43943574077446</v>
      </c>
      <c r="W21" s="21">
        <f t="shared" si="9"/>
        <v>5000</v>
      </c>
      <c r="X21" s="2">
        <f>-96*$R21*LN(W21)-96*GAMMALN($R21)+($R21-1)*'[1]X data'!$D$8-(1/W21)*'[1]X data'!$D$6</f>
        <v>-868.90338309747642</v>
      </c>
      <c r="Y21" s="21">
        <f t="shared" si="10"/>
        <v>6000</v>
      </c>
      <c r="Z21" s="2">
        <f>-96*$R21*LN(Y21)-96*GAMMALN($R21)+($R21-1)*'[1]X data'!$D$8-(1/Y21)*'[1]X data'!$D$6</f>
        <v>-875.52607067411282</v>
      </c>
    </row>
    <row r="22" spans="1:26">
      <c r="A22" s="18">
        <v>1.9</v>
      </c>
      <c r="B22" s="21">
        <f t="shared" si="0"/>
        <v>1000</v>
      </c>
      <c r="C22" s="2">
        <f>-96*$A22*LN(B22)-96*GAMMALN($A22)+($A22-1)*'[1]X data'!$D$8-(1/B22)*'[1]X data'!$D$6</f>
        <v>-936.60035983328521</v>
      </c>
      <c r="D22" s="21">
        <f t="shared" si="1"/>
        <v>2000</v>
      </c>
      <c r="E22" s="2">
        <f>-96*$A22*LN(D22)-96*GAMMALN($A22)+($A22-1)*'[1]X data'!$D$8-(1/D22)*'[1]X data'!$D$6</f>
        <v>-919.51840556741922</v>
      </c>
      <c r="F22" s="21">
        <f t="shared" si="2"/>
        <v>3000</v>
      </c>
      <c r="G22" s="2">
        <f>-96*$A22*LN(F22)-96*GAMMALN($A22)+($A22-1)*'[1]X data'!$D$8-(1/F22)*'[1]X data'!$D$6</f>
        <v>-945.63790795301497</v>
      </c>
      <c r="H22" s="21">
        <f t="shared" si="3"/>
        <v>4000</v>
      </c>
      <c r="I22" s="2">
        <f>-96*$A22*LN(H22)-96*GAMMALN($A22)+($A22-1)*'[1]X data'!$D$8-(1/H22)*'[1]X data'!$D$6</f>
        <v>-974.19245130155332</v>
      </c>
      <c r="J22" s="21">
        <f t="shared" si="4"/>
        <v>5000</v>
      </c>
      <c r="K22" s="2">
        <f>-96*$A22*LN(J22)-96*GAMMALN($A22)+($A22-1)*'[1]X data'!$D$8-(1/J22)*'[1]X data'!$D$6</f>
        <v>-1000.5426350612653</v>
      </c>
      <c r="L22" s="21">
        <f t="shared" si="5"/>
        <v>6000</v>
      </c>
      <c r="M22" s="2">
        <f>-96*$A22*LN(L22)-96*GAMMALN($A22)+($A22-1)*'[1]X data'!$D$8-(1/L22)*'[1]X data'!$D$6</f>
        <v>-1024.2306203538155</v>
      </c>
      <c r="N22" s="21">
        <f t="shared" si="6"/>
        <v>7000</v>
      </c>
      <c r="O22" s="2">
        <f>-96*$A22*LN(N22)-96*GAMMALN($A22)+($A22-1)*'[1]X data'!$D$8-(1/N22)*'[1]X data'!$D$6</f>
        <v>-1045.5137995924028</v>
      </c>
      <c r="R22">
        <v>0.95</v>
      </c>
      <c r="S22" s="21">
        <f t="shared" si="7"/>
        <v>3000</v>
      </c>
      <c r="T22" s="2">
        <f>-96*$R22*LN(S22)-96*GAMMALN($R22)+($R22-1)*'[1]X data'!$D$8-(1/S22)*'[1]X data'!$D$6</f>
        <v>-862.5314883254805</v>
      </c>
      <c r="U22" s="21">
        <f t="shared" si="8"/>
        <v>4000</v>
      </c>
      <c r="V22" s="2">
        <f>-96*$R22*LN(U22)-96*GAMMALN($R22)+($R22-1)*'[1]X data'!$D$8-(1/U22)*'[1]X data'!$D$6</f>
        <v>-864.84942666641632</v>
      </c>
      <c r="W22" s="21">
        <f t="shared" si="9"/>
        <v>5000</v>
      </c>
      <c r="X22" s="2">
        <f>-96*$R22*LN(W22)-96*GAMMALN($R22)+($R22-1)*'[1]X data'!$D$8-(1/W22)*'[1]X data'!$D$6</f>
        <v>-870.84891854627233</v>
      </c>
      <c r="Y22" s="21">
        <f t="shared" si="10"/>
        <v>6000</v>
      </c>
      <c r="Z22" s="2">
        <f>-96*$R22*LN(Y22)-96*GAMMALN($R22)+($R22-1)*'[1]X data'!$D$8-(1/Y22)*'[1]X data'!$D$6</f>
        <v>-877.9091778592142</v>
      </c>
    </row>
    <row r="23" spans="1:26">
      <c r="A23" s="18">
        <v>2</v>
      </c>
      <c r="B23" s="21">
        <f t="shared" si="0"/>
        <v>1000</v>
      </c>
      <c r="C23" s="2">
        <f>-96*$A23*LN(B23)-96*GAMMALN($A23)+($A23-1)*'[1]X data'!$D$8-(1/B23)*'[1]X data'!$D$6</f>
        <v>-939.25111071568301</v>
      </c>
      <c r="D23" s="21">
        <f t="shared" si="1"/>
        <v>2000</v>
      </c>
      <c r="E23" s="2">
        <f>-96*$A23*LN(D23)-96*GAMMALN($A23)+($A23-1)*'[1]X data'!$D$8-(1/D23)*'[1]X data'!$D$6</f>
        <v>-928.82336938319236</v>
      </c>
      <c r="F23" s="21">
        <f t="shared" si="2"/>
        <v>3000</v>
      </c>
      <c r="G23" s="2">
        <f>-96*$A23*LN(F23)-96*GAMMALN($A23)+($A23-1)*'[1]X data'!$D$8-(1/F23)*'[1]X data'!$D$6</f>
        <v>-958.83533680662674</v>
      </c>
      <c r="H23" s="21">
        <f t="shared" si="3"/>
        <v>4000</v>
      </c>
      <c r="I23" s="2">
        <f>-96*$A23*LN(H23)-96*GAMMALN($A23)+($A23-1)*'[1]X data'!$D$8-(1/H23)*'[1]X data'!$D$6</f>
        <v>-990.15162805070202</v>
      </c>
      <c r="J23" s="21">
        <f t="shared" si="4"/>
        <v>5000</v>
      </c>
      <c r="K23" s="2">
        <f>-96*$A23*LN(J23)-96*GAMMALN($A23)+($A23-1)*'[1]X data'!$D$8-(1/J23)*'[1]X data'!$D$6</f>
        <v>-1018.6439899030304</v>
      </c>
      <c r="L23" s="21">
        <f t="shared" si="5"/>
        <v>6000</v>
      </c>
      <c r="M23" s="2">
        <f>-96*$A23*LN(L23)-96*GAMMALN($A23)+($A23-1)*'[1]X data'!$D$8-(1/L23)*'[1]X data'!$D$6</f>
        <v>-1044.0822621408029</v>
      </c>
      <c r="N23" s="21">
        <f t="shared" si="6"/>
        <v>7000</v>
      </c>
      <c r="O23" s="2">
        <f>-96*$A23*LN(N23)-96*GAMMALN($A23)+($A23-1)*'[1]X data'!$D$8-(1/N23)*'[1]X data'!$D$6</f>
        <v>-1066.8452879057318</v>
      </c>
      <c r="R23">
        <v>0.97499999999999998</v>
      </c>
      <c r="S23" s="21">
        <f t="shared" si="7"/>
        <v>3000</v>
      </c>
      <c r="T23" s="2">
        <f>-96*$R23*LN(S23)-96*GAMMALN($R23)+($R23-1)*'[1]X data'!$D$8-(1/S23)*'[1]X data'!$D$6</f>
        <v>-863.3574955653504</v>
      </c>
      <c r="U23" s="21">
        <f t="shared" si="8"/>
        <v>4000</v>
      </c>
      <c r="V23" s="2">
        <f>-96*$R23*LN(U23)-96*GAMMALN($R23)+($R23-1)*'[1]X data'!$D$8-(1/U23)*'[1]X data'!$D$6</f>
        <v>-866.36587088017052</v>
      </c>
      <c r="W23" s="21">
        <f t="shared" si="9"/>
        <v>5000</v>
      </c>
      <c r="X23" s="2">
        <f>-96*$R23*LN(W23)-96*GAMMALN($R23)+($R23-1)*'[1]X data'!$D$8-(1/W23)*'[1]X data'!$D$6</f>
        <v>-872.90090728318069</v>
      </c>
      <c r="Y23" s="21">
        <f t="shared" si="10"/>
        <v>6000</v>
      </c>
      <c r="Z23" s="2">
        <f>-96*$R23*LN(Y23)-96*GAMMALN($R23)+($R23-1)*'[1]X data'!$D$8-(1/Y23)*'[1]X data'!$D$6</f>
        <v>-880.39873833242791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 data</vt:lpstr>
      <vt:lpstr>Distributions</vt:lpstr>
      <vt:lpstr>Exponential</vt:lpstr>
      <vt:lpstr>Gamma</vt:lpstr>
      <vt:lpstr>Lognormal</vt:lpstr>
      <vt:lpstr>MLE for gamma</vt:lpstr>
    </vt:vector>
  </TitlesOfParts>
  <Company>ANU College of Business &amp; Economics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Higgins</dc:creator>
  <cp:lastModifiedBy>Tim Higgins</cp:lastModifiedBy>
  <dcterms:created xsi:type="dcterms:W3CDTF">2013-01-19T06:24:04Z</dcterms:created>
  <dcterms:modified xsi:type="dcterms:W3CDTF">2014-02-27T03:03:13Z</dcterms:modified>
</cp:coreProperties>
</file>