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4880"/>
  </bookViews>
  <sheets>
    <sheet name="X data" sheetId="2" r:id="rId1"/>
    <sheet name="Distributions" sheetId="8" r:id="rId2"/>
    <sheet name="Exponential" sheetId="1" r:id="rId3"/>
    <sheet name="Gamma" sheetId="6" r:id="rId4"/>
    <sheet name="Lognormal" sheetId="10" r:id="rId5"/>
    <sheet name="Weibull" sheetId="11" r:id="rId6"/>
    <sheet name="Pareto" sheetId="12" r:id="rId7"/>
    <sheet name="Negative Binomial" sheetId="15" r:id="rId8"/>
  </sheets>
  <definedNames>
    <definedName name="solver_adj" localSheetId="3" hidden="1">Gamma!$E$3</definedName>
    <definedName name="solver_adj" localSheetId="4" hidden="1">Lognormal!#REF!</definedName>
    <definedName name="solver_adj" localSheetId="7" hidden="1">'Negative Binomial'!$D$3:$D$4</definedName>
    <definedName name="solver_adj" localSheetId="6" hidden="1">Pareto!$E$3:$E$4</definedName>
    <definedName name="solver_adj" localSheetId="5" hidden="1">Weibull!$E$3:$E$4</definedName>
    <definedName name="solver_cvg" localSheetId="3" hidden="1">0.0001</definedName>
    <definedName name="solver_cvg" localSheetId="4" hidden="1">0.0001</definedName>
    <definedName name="solver_cvg" localSheetId="7" hidden="1">0.0001</definedName>
    <definedName name="solver_cvg" localSheetId="6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7" hidden="1">1</definedName>
    <definedName name="solver_drv" localSheetId="6" hidden="1">1</definedName>
    <definedName name="solver_drv" localSheetId="5" hidden="1">1</definedName>
    <definedName name="solver_est" localSheetId="3" hidden="1">1</definedName>
    <definedName name="solver_est" localSheetId="4" hidden="1">1</definedName>
    <definedName name="solver_est" localSheetId="7" hidden="1">1</definedName>
    <definedName name="solver_est" localSheetId="6" hidden="1">1</definedName>
    <definedName name="solver_est" localSheetId="5" hidden="1">1</definedName>
    <definedName name="solver_itr" localSheetId="3" hidden="1">100</definedName>
    <definedName name="solver_itr" localSheetId="4" hidden="1">100</definedName>
    <definedName name="solver_itr" localSheetId="7" hidden="1">100</definedName>
    <definedName name="solver_itr" localSheetId="6" hidden="1">100</definedName>
    <definedName name="solver_itr" localSheetId="5" hidden="1">100</definedName>
    <definedName name="solver_lhs1" localSheetId="3" hidden="1">Gamma!$I$4</definedName>
    <definedName name="solver_lhs1" localSheetId="4" hidden="1">Lognormal!$I$3</definedName>
    <definedName name="solver_lhs1" localSheetId="7" hidden="1">'Negative Binomial'!$I$3</definedName>
    <definedName name="solver_lhs1" localSheetId="6" hidden="1">Pareto!$M$3</definedName>
    <definedName name="solver_lhs1" localSheetId="5" hidden="1">Weibull!$M$3</definedName>
    <definedName name="solver_lin" localSheetId="3" hidden="1">2</definedName>
    <definedName name="solver_lin" localSheetId="4" hidden="1">2</definedName>
    <definedName name="solver_lin" localSheetId="7" hidden="1">2</definedName>
    <definedName name="solver_lin" localSheetId="6" hidden="1">2</definedName>
    <definedName name="solver_lin" localSheetId="5" hidden="1">2</definedName>
    <definedName name="solver_neg" localSheetId="3" hidden="1">2</definedName>
    <definedName name="solver_neg" localSheetId="4" hidden="1">2</definedName>
    <definedName name="solver_neg" localSheetId="7" hidden="1">2</definedName>
    <definedName name="solver_neg" localSheetId="6" hidden="1">2</definedName>
    <definedName name="solver_neg" localSheetId="5" hidden="1">2</definedName>
    <definedName name="solver_num" localSheetId="3" hidden="1">0</definedName>
    <definedName name="solver_num" localSheetId="4" hidden="1">0</definedName>
    <definedName name="solver_num" localSheetId="7" hidden="1">1</definedName>
    <definedName name="solver_num" localSheetId="6" hidden="1">1</definedName>
    <definedName name="solver_num" localSheetId="5" hidden="1">1</definedName>
    <definedName name="solver_nwt" localSheetId="3" hidden="1">1</definedName>
    <definedName name="solver_nwt" localSheetId="4" hidden="1">1</definedName>
    <definedName name="solver_nwt" localSheetId="7" hidden="1">1</definedName>
    <definedName name="solver_nwt" localSheetId="6" hidden="1">1</definedName>
    <definedName name="solver_nwt" localSheetId="5" hidden="1">1</definedName>
    <definedName name="solver_opt" localSheetId="3" hidden="1">Gamma!$L$4</definedName>
    <definedName name="solver_opt" localSheetId="4" hidden="1">Lognormal!#REF!</definedName>
    <definedName name="solver_opt" localSheetId="7" hidden="1">'Negative Binomial'!$I$2</definedName>
    <definedName name="solver_opt" localSheetId="6" hidden="1">Pareto!$M$2</definedName>
    <definedName name="solver_opt" localSheetId="5" hidden="1">Weibull!$M$2</definedName>
    <definedName name="solver_pre" localSheetId="3" hidden="1">0.000001</definedName>
    <definedName name="solver_pre" localSheetId="4" hidden="1">0.000001</definedName>
    <definedName name="solver_pre" localSheetId="7" hidden="1">0.000001</definedName>
    <definedName name="solver_pre" localSheetId="6" hidden="1">0.000001</definedName>
    <definedName name="solver_pre" localSheetId="5" hidden="1">0.000001</definedName>
    <definedName name="solver_rel1" localSheetId="3" hidden="1">2</definedName>
    <definedName name="solver_rel1" localSheetId="4" hidden="1">2</definedName>
    <definedName name="solver_rel1" localSheetId="7" hidden="1">2</definedName>
    <definedName name="solver_rel1" localSheetId="6" hidden="1">2</definedName>
    <definedName name="solver_rel1" localSheetId="5" hidden="1">2</definedName>
    <definedName name="solver_rhs1" localSheetId="3" hidden="1">0</definedName>
    <definedName name="solver_rhs1" localSheetId="4" hidden="1">0</definedName>
    <definedName name="solver_rhs1" localSheetId="7" hidden="1">0</definedName>
    <definedName name="solver_rhs1" localSheetId="6" hidden="1">0</definedName>
    <definedName name="solver_rhs1" localSheetId="5" hidden="1">0</definedName>
    <definedName name="solver_scl" localSheetId="3" hidden="1">2</definedName>
    <definedName name="solver_scl" localSheetId="4" hidden="1">2</definedName>
    <definedName name="solver_scl" localSheetId="7" hidden="1">2</definedName>
    <definedName name="solver_scl" localSheetId="6" hidden="1">2</definedName>
    <definedName name="solver_scl" localSheetId="5" hidden="1">2</definedName>
    <definedName name="solver_sho" localSheetId="3" hidden="1">2</definedName>
    <definedName name="solver_sho" localSheetId="4" hidden="1">2</definedName>
    <definedName name="solver_sho" localSheetId="7" hidden="1">2</definedName>
    <definedName name="solver_sho" localSheetId="6" hidden="1">2</definedName>
    <definedName name="solver_sho" localSheetId="5" hidden="1">2</definedName>
    <definedName name="solver_tim" localSheetId="3" hidden="1">100</definedName>
    <definedName name="solver_tim" localSheetId="4" hidden="1">100</definedName>
    <definedName name="solver_tim" localSheetId="7" hidden="1">100</definedName>
    <definedName name="solver_tim" localSheetId="6" hidden="1">100</definedName>
    <definedName name="solver_tim" localSheetId="5" hidden="1">100</definedName>
    <definedName name="solver_tol" localSheetId="3" hidden="1">0.05</definedName>
    <definedName name="solver_tol" localSheetId="4" hidden="1">0.05</definedName>
    <definedName name="solver_tol" localSheetId="7" hidden="1">0.05</definedName>
    <definedName name="solver_tol" localSheetId="6" hidden="1">0.05</definedName>
    <definedName name="solver_tol" localSheetId="5" hidden="1">0.05</definedName>
    <definedName name="solver_typ" localSheetId="3" hidden="1">3</definedName>
    <definedName name="solver_typ" localSheetId="4" hidden="1">3</definedName>
    <definedName name="solver_typ" localSheetId="7" hidden="1">3</definedName>
    <definedName name="solver_typ" localSheetId="6" hidden="1">3</definedName>
    <definedName name="solver_typ" localSheetId="5" hidden="1">3</definedName>
    <definedName name="solver_val" localSheetId="3" hidden="1">0</definedName>
    <definedName name="solver_val" localSheetId="4" hidden="1">0</definedName>
    <definedName name="solver_val" localSheetId="7" hidden="1">0</definedName>
    <definedName name="solver_val" localSheetId="6" hidden="1">0</definedName>
    <definedName name="solver_val" localSheetId="5" hidden="1">0</definedName>
  </definedNames>
  <calcPr calcId="125725"/>
</workbook>
</file>

<file path=xl/calcChain.xml><?xml version="1.0" encoding="utf-8"?>
<calcChain xmlns="http://schemas.openxmlformats.org/spreadsheetml/2006/main">
  <c r="N26" i="1"/>
  <c r="T26" s="1"/>
  <c r="V26" s="1"/>
  <c r="P26"/>
  <c r="P39" s="1"/>
  <c r="S26"/>
  <c r="P27"/>
  <c r="P28"/>
  <c r="P29"/>
  <c r="P30"/>
  <c r="P31"/>
  <c r="P32"/>
  <c r="P33"/>
  <c r="P34"/>
  <c r="P35"/>
  <c r="P36"/>
  <c r="P37"/>
  <c r="I3" i="2" a="1"/>
  <c r="I5" s="1"/>
  <c r="I6"/>
  <c r="I10"/>
  <c r="C13" i="15"/>
  <c r="C14"/>
  <c r="C15"/>
  <c r="C16"/>
  <c r="C17"/>
  <c r="C12"/>
  <c r="I23"/>
  <c r="I21"/>
  <c r="H21"/>
  <c r="I17"/>
  <c r="I16"/>
  <c r="I15"/>
  <c r="I14"/>
  <c r="I13"/>
  <c r="I12"/>
  <c r="H15"/>
  <c r="H14"/>
  <c r="H12"/>
  <c r="H17"/>
  <c r="H13"/>
  <c r="H16"/>
  <c r="E21"/>
  <c r="F23"/>
  <c r="F21"/>
  <c r="E17"/>
  <c r="E16"/>
  <c r="E15"/>
  <c r="E14"/>
  <c r="E13"/>
  <c r="E12"/>
  <c r="F17"/>
  <c r="F16"/>
  <c r="F15"/>
  <c r="F14"/>
  <c r="F13"/>
  <c r="F12"/>
  <c r="I3"/>
  <c r="N14"/>
  <c r="O14" s="1"/>
  <c r="N13"/>
  <c r="O13" s="1"/>
  <c r="N15"/>
  <c r="O15" s="1"/>
  <c r="N16"/>
  <c r="O16" s="1"/>
  <c r="N17"/>
  <c r="O17" s="1"/>
  <c r="N12"/>
  <c r="O12" s="1"/>
  <c r="M2"/>
  <c r="M13"/>
  <c r="M14"/>
  <c r="M15"/>
  <c r="M16"/>
  <c r="M17"/>
  <c r="M12"/>
  <c r="C4"/>
  <c r="C3"/>
  <c r="D7"/>
  <c r="C7"/>
  <c r="B22"/>
  <c r="B21"/>
  <c r="B19"/>
  <c r="C4" i="12"/>
  <c r="H39"/>
  <c r="E39"/>
  <c r="H43"/>
  <c r="H41"/>
  <c r="H40"/>
  <c r="H38"/>
  <c r="H35"/>
  <c r="H31"/>
  <c r="H30"/>
  <c r="E30"/>
  <c r="H32"/>
  <c r="H33"/>
  <c r="H34"/>
  <c r="H36"/>
  <c r="H37"/>
  <c r="E41"/>
  <c r="E32"/>
  <c r="E33"/>
  <c r="E34"/>
  <c r="E35"/>
  <c r="E36"/>
  <c r="E37"/>
  <c r="E38"/>
  <c r="E40"/>
  <c r="E31"/>
  <c r="B33"/>
  <c r="B32"/>
  <c r="B31"/>
  <c r="B30"/>
  <c r="A31" s="1"/>
  <c r="AA85"/>
  <c r="H4"/>
  <c r="H3"/>
  <c r="F6" i="8"/>
  <c r="F4"/>
  <c r="F20" s="1"/>
  <c r="C3" i="12"/>
  <c r="F41" i="8"/>
  <c r="F72"/>
  <c r="F100"/>
  <c r="Y98" i="12"/>
  <c r="Z98" s="1"/>
  <c r="Y97"/>
  <c r="Z97" s="1"/>
  <c r="Y96"/>
  <c r="Z96" s="1"/>
  <c r="Y95"/>
  <c r="Z95" s="1"/>
  <c r="Y94"/>
  <c r="Z94" s="1"/>
  <c r="Y93"/>
  <c r="Z93" s="1"/>
  <c r="Y92"/>
  <c r="Z92" s="1"/>
  <c r="Y91"/>
  <c r="Z91" s="1"/>
  <c r="Y90"/>
  <c r="Z90" s="1"/>
  <c r="Y89"/>
  <c r="Z89" s="1"/>
  <c r="Y88"/>
  <c r="Z88" s="1"/>
  <c r="Y87"/>
  <c r="Z87" s="1"/>
  <c r="Y86"/>
  <c r="Z86" s="1"/>
  <c r="Y85"/>
  <c r="Z85" s="1"/>
  <c r="Y84"/>
  <c r="Z84" s="1"/>
  <c r="Y83"/>
  <c r="Z83" s="1"/>
  <c r="Y82"/>
  <c r="Z82" s="1"/>
  <c r="Y81"/>
  <c r="Z81" s="1"/>
  <c r="Y80"/>
  <c r="Z80" s="1"/>
  <c r="Y79"/>
  <c r="Z79" s="1"/>
  <c r="Y78"/>
  <c r="Z78" s="1"/>
  <c r="Y77"/>
  <c r="Z77" s="1"/>
  <c r="Y76"/>
  <c r="Z76" s="1"/>
  <c r="Y75"/>
  <c r="Z75" s="1"/>
  <c r="Y74"/>
  <c r="Z74" s="1"/>
  <c r="Y73"/>
  <c r="Z73" s="1"/>
  <c r="Y72"/>
  <c r="Z72" s="1"/>
  <c r="Y71"/>
  <c r="Z71" s="1"/>
  <c r="Y70"/>
  <c r="Z70" s="1"/>
  <c r="Y69"/>
  <c r="Z69" s="1"/>
  <c r="Y68"/>
  <c r="Z68" s="1"/>
  <c r="Y67"/>
  <c r="Z67" s="1"/>
  <c r="Y66"/>
  <c r="Z66" s="1"/>
  <c r="Y65"/>
  <c r="Z65" s="1"/>
  <c r="Y64"/>
  <c r="Z64" s="1"/>
  <c r="Y63"/>
  <c r="Z63" s="1"/>
  <c r="Y62"/>
  <c r="Z62" s="1"/>
  <c r="Y61"/>
  <c r="Z61" s="1"/>
  <c r="Y60"/>
  <c r="Z60" s="1"/>
  <c r="Y59"/>
  <c r="Z59" s="1"/>
  <c r="Y58"/>
  <c r="Z58" s="1"/>
  <c r="Y57"/>
  <c r="Z57" s="1"/>
  <c r="Y56"/>
  <c r="Z56" s="1"/>
  <c r="Y55"/>
  <c r="Z55" s="1"/>
  <c r="Y54"/>
  <c r="Z54" s="1"/>
  <c r="Y53"/>
  <c r="Z53" s="1"/>
  <c r="Y52"/>
  <c r="Z52" s="1"/>
  <c r="Y51"/>
  <c r="Z51" s="1"/>
  <c r="Y50"/>
  <c r="Z50" s="1"/>
  <c r="Y49"/>
  <c r="Z49" s="1"/>
  <c r="Y48"/>
  <c r="Z48" s="1"/>
  <c r="Y47"/>
  <c r="Z47" s="1"/>
  <c r="Y46"/>
  <c r="Z46" s="1"/>
  <c r="Y45"/>
  <c r="Z45" s="1"/>
  <c r="Y44"/>
  <c r="Z44" s="1"/>
  <c r="Y43"/>
  <c r="Z43" s="1"/>
  <c r="Y42"/>
  <c r="Z42" s="1"/>
  <c r="Y41"/>
  <c r="Z41" s="1"/>
  <c r="Y40"/>
  <c r="Z40" s="1"/>
  <c r="Y39"/>
  <c r="Z39" s="1"/>
  <c r="Y38"/>
  <c r="Z38" s="1"/>
  <c r="Y37"/>
  <c r="Z37" s="1"/>
  <c r="Y36"/>
  <c r="Z36" s="1"/>
  <c r="Y35"/>
  <c r="Z35" s="1"/>
  <c r="Y34"/>
  <c r="Z34" s="1"/>
  <c r="Y33"/>
  <c r="Z33" s="1"/>
  <c r="Y32"/>
  <c r="Z32" s="1"/>
  <c r="Y31"/>
  <c r="Z31" s="1"/>
  <c r="Y30"/>
  <c r="Z30" s="1"/>
  <c r="Y29"/>
  <c r="Z29" s="1"/>
  <c r="Y28"/>
  <c r="Z28" s="1"/>
  <c r="Y27"/>
  <c r="Z27" s="1"/>
  <c r="B27"/>
  <c r="Y26"/>
  <c r="AA26" s="1"/>
  <c r="Y25"/>
  <c r="AA25" s="1"/>
  <c r="Y24"/>
  <c r="Z24" s="1"/>
  <c r="Y23"/>
  <c r="Z23" s="1"/>
  <c r="Y22"/>
  <c r="AA22" s="1"/>
  <c r="Y21"/>
  <c r="AA21" s="1"/>
  <c r="Y20"/>
  <c r="Z20" s="1"/>
  <c r="Y19"/>
  <c r="Z19" s="1"/>
  <c r="Y18"/>
  <c r="AA18" s="1"/>
  <c r="Y17"/>
  <c r="AA17" s="1"/>
  <c r="Y16"/>
  <c r="Z16" s="1"/>
  <c r="Y15"/>
  <c r="Z15" s="1"/>
  <c r="Y14"/>
  <c r="AA14" s="1"/>
  <c r="Y13"/>
  <c r="AA13" s="1"/>
  <c r="Y12"/>
  <c r="Z12" s="1"/>
  <c r="Y11"/>
  <c r="Z11" s="1"/>
  <c r="Y10"/>
  <c r="Z10" s="1"/>
  <c r="O10"/>
  <c r="Y9"/>
  <c r="AA9" s="1"/>
  <c r="Y8"/>
  <c r="Z8" s="1"/>
  <c r="Y7"/>
  <c r="Z7" s="1"/>
  <c r="Y6"/>
  <c r="AA6" s="1"/>
  <c r="Y5"/>
  <c r="AA5" s="1"/>
  <c r="Y4"/>
  <c r="Z4" s="1"/>
  <c r="Y3"/>
  <c r="Z3" s="1"/>
  <c r="K36" i="11"/>
  <c r="K40"/>
  <c r="B35"/>
  <c r="B33"/>
  <c r="B39"/>
  <c r="B37"/>
  <c r="B34"/>
  <c r="B32"/>
  <c r="B31"/>
  <c r="K41"/>
  <c r="K37"/>
  <c r="E43"/>
  <c r="E39"/>
  <c r="B36"/>
  <c r="B38" s="1"/>
  <c r="B40" s="1"/>
  <c r="B30"/>
  <c r="E30" s="1"/>
  <c r="Y4"/>
  <c r="AA4" s="1"/>
  <c r="Y5"/>
  <c r="AA5" s="1"/>
  <c r="Y6"/>
  <c r="AA6" s="1"/>
  <c r="Y7"/>
  <c r="AA7" s="1"/>
  <c r="Y8"/>
  <c r="AA8" s="1"/>
  <c r="Y9"/>
  <c r="AA9" s="1"/>
  <c r="Y10"/>
  <c r="AA10" s="1"/>
  <c r="Y11"/>
  <c r="AA11" s="1"/>
  <c r="Y12"/>
  <c r="AA12" s="1"/>
  <c r="Y13"/>
  <c r="AA13" s="1"/>
  <c r="Y14"/>
  <c r="AA14" s="1"/>
  <c r="Y15"/>
  <c r="AA15" s="1"/>
  <c r="Y16"/>
  <c r="AA16" s="1"/>
  <c r="Y17"/>
  <c r="AA17" s="1"/>
  <c r="Y18"/>
  <c r="AA18" s="1"/>
  <c r="Y19"/>
  <c r="AA19" s="1"/>
  <c r="Y20"/>
  <c r="AA20" s="1"/>
  <c r="Y21"/>
  <c r="AA21" s="1"/>
  <c r="Y22"/>
  <c r="AA22" s="1"/>
  <c r="Y23"/>
  <c r="AA23" s="1"/>
  <c r="Y24"/>
  <c r="AA24" s="1"/>
  <c r="Y25"/>
  <c r="AA25" s="1"/>
  <c r="Y26"/>
  <c r="AA26" s="1"/>
  <c r="Y27"/>
  <c r="AA27" s="1"/>
  <c r="Y28"/>
  <c r="AA28" s="1"/>
  <c r="Y29"/>
  <c r="AA29" s="1"/>
  <c r="Y30"/>
  <c r="AA30" s="1"/>
  <c r="Y31"/>
  <c r="AA31" s="1"/>
  <c r="Y32"/>
  <c r="AA32" s="1"/>
  <c r="Y33"/>
  <c r="AA33" s="1"/>
  <c r="Y34"/>
  <c r="AA34" s="1"/>
  <c r="Y35"/>
  <c r="AA35" s="1"/>
  <c r="Y36"/>
  <c r="AA36" s="1"/>
  <c r="Y37"/>
  <c r="AA37" s="1"/>
  <c r="Y38"/>
  <c r="AA38" s="1"/>
  <c r="Y39"/>
  <c r="AA39" s="1"/>
  <c r="Y40"/>
  <c r="AA40" s="1"/>
  <c r="Y41"/>
  <c r="AA41" s="1"/>
  <c r="Y42"/>
  <c r="AA42" s="1"/>
  <c r="Y43"/>
  <c r="AA43" s="1"/>
  <c r="Y44"/>
  <c r="AA44" s="1"/>
  <c r="Y45"/>
  <c r="AA45" s="1"/>
  <c r="Y46"/>
  <c r="AA46" s="1"/>
  <c r="Y47"/>
  <c r="AA47" s="1"/>
  <c r="Y48"/>
  <c r="AA48" s="1"/>
  <c r="Y49"/>
  <c r="AA49" s="1"/>
  <c r="Y50"/>
  <c r="AA50" s="1"/>
  <c r="Y51"/>
  <c r="AA51" s="1"/>
  <c r="Y52"/>
  <c r="AA52" s="1"/>
  <c r="Y53"/>
  <c r="AA53" s="1"/>
  <c r="Y54"/>
  <c r="AA54" s="1"/>
  <c r="Y55"/>
  <c r="AA55" s="1"/>
  <c r="Y56"/>
  <c r="AA56" s="1"/>
  <c r="Y57"/>
  <c r="AA57" s="1"/>
  <c r="Y58"/>
  <c r="AA58" s="1"/>
  <c r="Y59"/>
  <c r="AA59" s="1"/>
  <c r="Y60"/>
  <c r="AA60" s="1"/>
  <c r="Y61"/>
  <c r="AA61" s="1"/>
  <c r="Y62"/>
  <c r="AA62" s="1"/>
  <c r="Y63"/>
  <c r="AA63" s="1"/>
  <c r="Y64"/>
  <c r="AA64" s="1"/>
  <c r="Y65"/>
  <c r="AA65" s="1"/>
  <c r="Y66"/>
  <c r="AA66" s="1"/>
  <c r="Y67"/>
  <c r="AA67" s="1"/>
  <c r="Y68"/>
  <c r="AA68" s="1"/>
  <c r="Y69"/>
  <c r="AA69" s="1"/>
  <c r="Y70"/>
  <c r="AA70" s="1"/>
  <c r="Y71"/>
  <c r="AA71" s="1"/>
  <c r="Y72"/>
  <c r="AA72" s="1"/>
  <c r="Y73"/>
  <c r="AA73" s="1"/>
  <c r="Y74"/>
  <c r="AA74" s="1"/>
  <c r="Y75"/>
  <c r="AA75" s="1"/>
  <c r="Y76"/>
  <c r="AA76" s="1"/>
  <c r="Y77"/>
  <c r="AA77" s="1"/>
  <c r="Y78"/>
  <c r="AA78" s="1"/>
  <c r="Y79"/>
  <c r="AA79" s="1"/>
  <c r="Y80"/>
  <c r="AA80" s="1"/>
  <c r="Y81"/>
  <c r="AA81" s="1"/>
  <c r="Y82"/>
  <c r="AA82" s="1"/>
  <c r="Y83"/>
  <c r="AA83" s="1"/>
  <c r="Y84"/>
  <c r="AA84" s="1"/>
  <c r="Y85"/>
  <c r="AA85" s="1"/>
  <c r="Y86"/>
  <c r="AA86" s="1"/>
  <c r="Y87"/>
  <c r="AA87" s="1"/>
  <c r="Y88"/>
  <c r="AA88" s="1"/>
  <c r="Y89"/>
  <c r="AA89" s="1"/>
  <c r="Y90"/>
  <c r="AA90" s="1"/>
  <c r="Y91"/>
  <c r="AA91" s="1"/>
  <c r="Y92"/>
  <c r="AA92" s="1"/>
  <c r="Y93"/>
  <c r="AA93" s="1"/>
  <c r="Y94"/>
  <c r="AA94" s="1"/>
  <c r="Y95"/>
  <c r="AA95" s="1"/>
  <c r="Y96"/>
  <c r="AA96" s="1"/>
  <c r="Y97"/>
  <c r="AA97" s="1"/>
  <c r="Y98"/>
  <c r="AA98" s="1"/>
  <c r="Y3"/>
  <c r="AA3" s="1"/>
  <c r="C4" i="8"/>
  <c r="D4" i="1"/>
  <c r="C4"/>
  <c r="B4" i="8" s="1"/>
  <c r="E5" i="6"/>
  <c r="E4" s="1"/>
  <c r="C6" i="8" s="1"/>
  <c r="P3" i="6"/>
  <c r="P2"/>
  <c r="L2"/>
  <c r="L4" s="1"/>
  <c r="I2"/>
  <c r="H2"/>
  <c r="C3"/>
  <c r="C4" s="1"/>
  <c r="E12" i="2"/>
  <c r="I3" i="6" s="1"/>
  <c r="D12" i="2"/>
  <c r="H3" i="6" s="1"/>
  <c r="I4" i="11"/>
  <c r="I3"/>
  <c r="H4"/>
  <c r="H3"/>
  <c r="B27"/>
  <c r="O10"/>
  <c r="E4" i="8"/>
  <c r="E3" i="10"/>
  <c r="D4" i="8" s="1"/>
  <c r="D9" i="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2"/>
  <c r="C3" i="10"/>
  <c r="C4"/>
  <c r="B27"/>
  <c r="O10"/>
  <c r="O11" i="6"/>
  <c r="D6" i="2"/>
  <c r="D8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2"/>
  <c r="D7"/>
  <c r="B28" i="6"/>
  <c r="D39" i="1"/>
  <c r="G26"/>
  <c r="D32"/>
  <c r="D37"/>
  <c r="A8"/>
  <c r="B8"/>
  <c r="P11" i="10" s="1"/>
  <c r="A9" i="1"/>
  <c r="B9"/>
  <c r="P13" i="6" s="1"/>
  <c r="A10" i="1"/>
  <c r="B10"/>
  <c r="P13" i="10" s="1"/>
  <c r="A11" i="1"/>
  <c r="B11"/>
  <c r="P15" i="6" s="1"/>
  <c r="O16" s="1"/>
  <c r="A12" i="1"/>
  <c r="B12"/>
  <c r="P15" i="10" s="1"/>
  <c r="A13" i="1"/>
  <c r="B13"/>
  <c r="P17" i="6" s="1"/>
  <c r="A14" i="1"/>
  <c r="B14"/>
  <c r="P17" i="10" s="1"/>
  <c r="A15" i="1"/>
  <c r="B15"/>
  <c r="P19" i="6" s="1"/>
  <c r="O20" s="1"/>
  <c r="A16" i="1"/>
  <c r="B16"/>
  <c r="P19" i="10" s="1"/>
  <c r="A17" i="1"/>
  <c r="B17"/>
  <c r="P21" i="6" s="1"/>
  <c r="B7" i="1"/>
  <c r="P11" i="6" s="1"/>
  <c r="A7" i="1"/>
  <c r="D4" i="2"/>
  <c r="D3"/>
  <c r="D2"/>
  <c r="B23" i="1"/>
  <c r="M27" l="1"/>
  <c r="S27" s="1"/>
  <c r="N27"/>
  <c r="I11" i="2"/>
  <c r="I7"/>
  <c r="I3"/>
  <c r="I12"/>
  <c r="I8"/>
  <c r="I4"/>
  <c r="I13"/>
  <c r="I9"/>
  <c r="L5"/>
  <c r="F9" i="1"/>
  <c r="C7"/>
  <c r="D11"/>
  <c r="H11" s="1"/>
  <c r="E4" i="10"/>
  <c r="D6" i="8" s="1"/>
  <c r="J3" i="11"/>
  <c r="F93" i="8"/>
  <c r="F64"/>
  <c r="F31"/>
  <c r="F29"/>
  <c r="Z22" i="12"/>
  <c r="AA97"/>
  <c r="AA81"/>
  <c r="AA65"/>
  <c r="AA49"/>
  <c r="AA33"/>
  <c r="Z26"/>
  <c r="Z6"/>
  <c r="AA69"/>
  <c r="AA53"/>
  <c r="AA37"/>
  <c r="F107" i="8"/>
  <c r="F79"/>
  <c r="F51"/>
  <c r="Z14" i="12"/>
  <c r="AA89"/>
  <c r="AA73"/>
  <c r="AA57"/>
  <c r="AA41"/>
  <c r="F85" i="8"/>
  <c r="F57"/>
  <c r="Z18" i="12"/>
  <c r="AA93"/>
  <c r="AA77"/>
  <c r="AA61"/>
  <c r="AA45"/>
  <c r="AA29"/>
  <c r="O18" i="15"/>
  <c r="I2" s="1"/>
  <c r="Z3" i="11"/>
  <c r="Z95"/>
  <c r="AB95" s="1"/>
  <c r="Z91"/>
  <c r="AB91" s="1"/>
  <c r="Z87"/>
  <c r="AB87" s="1"/>
  <c r="Z83"/>
  <c r="AB83" s="1"/>
  <c r="Z79"/>
  <c r="AB79" s="1"/>
  <c r="Z75"/>
  <c r="AB75" s="1"/>
  <c r="Z71"/>
  <c r="AB71" s="1"/>
  <c r="Z67"/>
  <c r="AB67" s="1"/>
  <c r="Z63"/>
  <c r="AB63" s="1"/>
  <c r="Z59"/>
  <c r="AB59" s="1"/>
  <c r="Z55"/>
  <c r="AB55" s="1"/>
  <c r="Z51"/>
  <c r="AB51" s="1"/>
  <c r="Z47"/>
  <c r="AB47" s="1"/>
  <c r="Z43"/>
  <c r="AB43" s="1"/>
  <c r="Z39"/>
  <c r="AB39" s="1"/>
  <c r="Z35"/>
  <c r="AB35" s="1"/>
  <c r="Z31"/>
  <c r="AB31" s="1"/>
  <c r="Z27"/>
  <c r="AB27" s="1"/>
  <c r="Z23"/>
  <c r="AB23" s="1"/>
  <c r="Z19"/>
  <c r="AB19" s="1"/>
  <c r="Z15"/>
  <c r="AB15" s="1"/>
  <c r="Z11"/>
  <c r="AB11" s="1"/>
  <c r="Z7"/>
  <c r="AB7" s="1"/>
  <c r="P13" i="12"/>
  <c r="O14" s="1"/>
  <c r="P17"/>
  <c r="O18" s="1"/>
  <c r="Z25"/>
  <c r="Z21"/>
  <c r="Z17"/>
  <c r="Z13"/>
  <c r="Z9"/>
  <c r="Z5"/>
  <c r="AA98"/>
  <c r="AA94"/>
  <c r="AA90"/>
  <c r="AA86"/>
  <c r="AA82"/>
  <c r="AA78"/>
  <c r="AA74"/>
  <c r="AA70"/>
  <c r="AA66"/>
  <c r="AA62"/>
  <c r="AA58"/>
  <c r="AA54"/>
  <c r="AA50"/>
  <c r="AA46"/>
  <c r="AA42"/>
  <c r="AA38"/>
  <c r="AA34"/>
  <c r="AA30"/>
  <c r="AA10"/>
  <c r="K32"/>
  <c r="Z96" i="11"/>
  <c r="AB96" s="1"/>
  <c r="Z92"/>
  <c r="AB92" s="1"/>
  <c r="Z88"/>
  <c r="AB88" s="1"/>
  <c r="Z84"/>
  <c r="AB84" s="1"/>
  <c r="Z80"/>
  <c r="AB80" s="1"/>
  <c r="Z76"/>
  <c r="AB76" s="1"/>
  <c r="Z72"/>
  <c r="AB72" s="1"/>
  <c r="Z68"/>
  <c r="AB68" s="1"/>
  <c r="Z64"/>
  <c r="AB64" s="1"/>
  <c r="Z60"/>
  <c r="AB60" s="1"/>
  <c r="Z56"/>
  <c r="AB56" s="1"/>
  <c r="Z52"/>
  <c r="AB52" s="1"/>
  <c r="Z48"/>
  <c r="AB48" s="1"/>
  <c r="Z44"/>
  <c r="AB44" s="1"/>
  <c r="Z40"/>
  <c r="AB40" s="1"/>
  <c r="Z36"/>
  <c r="AB36" s="1"/>
  <c r="Z32"/>
  <c r="AB32" s="1"/>
  <c r="Z28"/>
  <c r="AB28" s="1"/>
  <c r="Z24"/>
  <c r="AB24" s="1"/>
  <c r="Z20"/>
  <c r="AB20" s="1"/>
  <c r="Z16"/>
  <c r="AB16" s="1"/>
  <c r="Z12"/>
  <c r="AB12" s="1"/>
  <c r="Z8"/>
  <c r="AB8" s="1"/>
  <c r="Z4"/>
  <c r="AB4" s="1"/>
  <c r="P14" i="12"/>
  <c r="O15" s="1"/>
  <c r="P18"/>
  <c r="AA3"/>
  <c r="AA95"/>
  <c r="AA91"/>
  <c r="AA87"/>
  <c r="AA83"/>
  <c r="AA79"/>
  <c r="AA75"/>
  <c r="AA71"/>
  <c r="AA67"/>
  <c r="AA63"/>
  <c r="AA59"/>
  <c r="AA55"/>
  <c r="AA51"/>
  <c r="AA47"/>
  <c r="AA43"/>
  <c r="AA39"/>
  <c r="AA35"/>
  <c r="AA31"/>
  <c r="AA27"/>
  <c r="AA23"/>
  <c r="AA19"/>
  <c r="AA15"/>
  <c r="AA11"/>
  <c r="AA7"/>
  <c r="K38"/>
  <c r="P10" i="11"/>
  <c r="Z97"/>
  <c r="AB97" s="1"/>
  <c r="Z93"/>
  <c r="AB93" s="1"/>
  <c r="Z89"/>
  <c r="AB89" s="1"/>
  <c r="Z85"/>
  <c r="AB85" s="1"/>
  <c r="Z81"/>
  <c r="AB81" s="1"/>
  <c r="Z77"/>
  <c r="AB77" s="1"/>
  <c r="Z73"/>
  <c r="AB73" s="1"/>
  <c r="Z69"/>
  <c r="AB69" s="1"/>
  <c r="Z65"/>
  <c r="AB65" s="1"/>
  <c r="Z61"/>
  <c r="AB61" s="1"/>
  <c r="Z57"/>
  <c r="AB57" s="1"/>
  <c r="Z53"/>
  <c r="AB53" s="1"/>
  <c r="Z49"/>
  <c r="AB49" s="1"/>
  <c r="Z45"/>
  <c r="AB45" s="1"/>
  <c r="Z41"/>
  <c r="AB41" s="1"/>
  <c r="Z37"/>
  <c r="AB37" s="1"/>
  <c r="Z33"/>
  <c r="AB33" s="1"/>
  <c r="Z29"/>
  <c r="AB29" s="1"/>
  <c r="Z25"/>
  <c r="AB25" s="1"/>
  <c r="Z21"/>
  <c r="AB21" s="1"/>
  <c r="Z17"/>
  <c r="AB17" s="1"/>
  <c r="Z13"/>
  <c r="AB13" s="1"/>
  <c r="Z9"/>
  <c r="AB9" s="1"/>
  <c r="Z5"/>
  <c r="AB5" s="1"/>
  <c r="P10" i="12"/>
  <c r="P11"/>
  <c r="O12" s="1"/>
  <c r="P15"/>
  <c r="O16" s="1"/>
  <c r="P19"/>
  <c r="I4"/>
  <c r="J4" s="1"/>
  <c r="AA96"/>
  <c r="AA92"/>
  <c r="AA88"/>
  <c r="AA84"/>
  <c r="AA80"/>
  <c r="AA76"/>
  <c r="AA72"/>
  <c r="AA68"/>
  <c r="AA64"/>
  <c r="AA60"/>
  <c r="AA56"/>
  <c r="AA52"/>
  <c r="AA48"/>
  <c r="AA44"/>
  <c r="AA40"/>
  <c r="AA36"/>
  <c r="AA32"/>
  <c r="AA28"/>
  <c r="AA24"/>
  <c r="AA20"/>
  <c r="AA16"/>
  <c r="AA12"/>
  <c r="AA8"/>
  <c r="AA4"/>
  <c r="Z98" i="11"/>
  <c r="AB98" s="1"/>
  <c r="Z94"/>
  <c r="AB94" s="1"/>
  <c r="Z90"/>
  <c r="AB90" s="1"/>
  <c r="Z86"/>
  <c r="AB86" s="1"/>
  <c r="Z82"/>
  <c r="AB82" s="1"/>
  <c r="Z78"/>
  <c r="AB78" s="1"/>
  <c r="Z74"/>
  <c r="AB74" s="1"/>
  <c r="Z70"/>
  <c r="AB70" s="1"/>
  <c r="Z66"/>
  <c r="AB66" s="1"/>
  <c r="Z62"/>
  <c r="AB62" s="1"/>
  <c r="Z58"/>
  <c r="AB58" s="1"/>
  <c r="Z54"/>
  <c r="AB54" s="1"/>
  <c r="Z50"/>
  <c r="AB50" s="1"/>
  <c r="Z46"/>
  <c r="AB46" s="1"/>
  <c r="Z42"/>
  <c r="AB42" s="1"/>
  <c r="Z38"/>
  <c r="AB38" s="1"/>
  <c r="Z34"/>
  <c r="AB34" s="1"/>
  <c r="Z30"/>
  <c r="AB30" s="1"/>
  <c r="Z26"/>
  <c r="AB26" s="1"/>
  <c r="Z22"/>
  <c r="AB22" s="1"/>
  <c r="Z18"/>
  <c r="AB18" s="1"/>
  <c r="Z14"/>
  <c r="AB14" s="1"/>
  <c r="Z10"/>
  <c r="AB10" s="1"/>
  <c r="Z6"/>
  <c r="AB6" s="1"/>
  <c r="P12" i="12"/>
  <c r="O13" s="1"/>
  <c r="P16"/>
  <c r="O17" s="1"/>
  <c r="R17" s="1"/>
  <c r="P20"/>
  <c r="I3"/>
  <c r="J3" s="1"/>
  <c r="K41"/>
  <c r="K39"/>
  <c r="K33"/>
  <c r="K35"/>
  <c r="K37"/>
  <c r="K34"/>
  <c r="K30"/>
  <c r="K40"/>
  <c r="R18"/>
  <c r="R13"/>
  <c r="R14"/>
  <c r="K36"/>
  <c r="K31"/>
  <c r="F99" i="8"/>
  <c r="F84"/>
  <c r="F69"/>
  <c r="F56"/>
  <c r="F40"/>
  <c r="F19"/>
  <c r="F105"/>
  <c r="F91"/>
  <c r="F77"/>
  <c r="F63"/>
  <c r="F47"/>
  <c r="M2" i="12"/>
  <c r="F17" i="8"/>
  <c r="F11"/>
  <c r="F101"/>
  <c r="F95"/>
  <c r="F88"/>
  <c r="F80"/>
  <c r="F73"/>
  <c r="F67"/>
  <c r="F59"/>
  <c r="F52"/>
  <c r="F43"/>
  <c r="F35"/>
  <c r="F24"/>
  <c r="F104"/>
  <c r="F96"/>
  <c r="F89"/>
  <c r="F83"/>
  <c r="F75"/>
  <c r="F68"/>
  <c r="F61"/>
  <c r="F53"/>
  <c r="F45"/>
  <c r="F36"/>
  <c r="F25"/>
  <c r="F15"/>
  <c r="F14"/>
  <c r="F16"/>
  <c r="F48"/>
  <c r="F37"/>
  <c r="F32"/>
  <c r="F27"/>
  <c r="F21"/>
  <c r="F108"/>
  <c r="F103"/>
  <c r="F97"/>
  <c r="F92"/>
  <c r="F87"/>
  <c r="F81"/>
  <c r="F76"/>
  <c r="F71"/>
  <c r="F65"/>
  <c r="F60"/>
  <c r="F55"/>
  <c r="F49"/>
  <c r="F44"/>
  <c r="F39"/>
  <c r="F33"/>
  <c r="F28"/>
  <c r="F23"/>
  <c r="F12"/>
  <c r="F13"/>
  <c r="F9"/>
  <c r="F10"/>
  <c r="F106"/>
  <c r="F102"/>
  <c r="F98"/>
  <c r="F94"/>
  <c r="F90"/>
  <c r="F86"/>
  <c r="F82"/>
  <c r="F78"/>
  <c r="F74"/>
  <c r="F70"/>
  <c r="F66"/>
  <c r="F62"/>
  <c r="F58"/>
  <c r="F54"/>
  <c r="F50"/>
  <c r="F46"/>
  <c r="F42"/>
  <c r="F38"/>
  <c r="F34"/>
  <c r="F30"/>
  <c r="F26"/>
  <c r="F22"/>
  <c r="F18"/>
  <c r="O19" i="12"/>
  <c r="O20"/>
  <c r="R20" s="1"/>
  <c r="K30" i="11"/>
  <c r="M2"/>
  <c r="AB3"/>
  <c r="P18"/>
  <c r="B30" i="10"/>
  <c r="K30" s="1"/>
  <c r="P14" i="11"/>
  <c r="J4"/>
  <c r="H4" i="6"/>
  <c r="D4" i="10"/>
  <c r="D3" s="1"/>
  <c r="P15" i="11"/>
  <c r="P13"/>
  <c r="P17"/>
  <c r="D3"/>
  <c r="P11"/>
  <c r="P19"/>
  <c r="P12"/>
  <c r="P16"/>
  <c r="P20"/>
  <c r="D38" i="8"/>
  <c r="D54"/>
  <c r="D70"/>
  <c r="D86"/>
  <c r="D101"/>
  <c r="D30"/>
  <c r="D49"/>
  <c r="D65"/>
  <c r="D81"/>
  <c r="D94"/>
  <c r="D9"/>
  <c r="D22"/>
  <c r="D46"/>
  <c r="D62"/>
  <c r="D78"/>
  <c r="D93"/>
  <c r="D10"/>
  <c r="D102"/>
  <c r="D14"/>
  <c r="D41"/>
  <c r="D57"/>
  <c r="D73"/>
  <c r="D89"/>
  <c r="D13"/>
  <c r="D17" i="1"/>
  <c r="H17" s="1"/>
  <c r="B21" i="8"/>
  <c r="B13"/>
  <c r="B38"/>
  <c r="B54"/>
  <c r="B70"/>
  <c r="B86"/>
  <c r="B102"/>
  <c r="B12"/>
  <c r="B37"/>
  <c r="B53"/>
  <c r="B69"/>
  <c r="B85"/>
  <c r="B101"/>
  <c r="B9"/>
  <c r="B29"/>
  <c r="B46"/>
  <c r="B62"/>
  <c r="B78"/>
  <c r="B94"/>
  <c r="B25"/>
  <c r="B45"/>
  <c r="B61"/>
  <c r="B77"/>
  <c r="B93"/>
  <c r="P4" i="6"/>
  <c r="C51" i="8"/>
  <c r="I4" i="6"/>
  <c r="D33" i="8"/>
  <c r="D25"/>
  <c r="D17"/>
  <c r="D12"/>
  <c r="D105"/>
  <c r="D97"/>
  <c r="D90"/>
  <c r="D82"/>
  <c r="D74"/>
  <c r="D66"/>
  <c r="D58"/>
  <c r="D50"/>
  <c r="D42"/>
  <c r="D34"/>
  <c r="D26"/>
  <c r="D18"/>
  <c r="D106"/>
  <c r="D98"/>
  <c r="D91"/>
  <c r="D85"/>
  <c r="D77"/>
  <c r="D69"/>
  <c r="D61"/>
  <c r="D53"/>
  <c r="D45"/>
  <c r="D37"/>
  <c r="D29"/>
  <c r="D21"/>
  <c r="D107"/>
  <c r="D103"/>
  <c r="D99"/>
  <c r="D95"/>
  <c r="D87"/>
  <c r="D83"/>
  <c r="D79"/>
  <c r="D75"/>
  <c r="D71"/>
  <c r="D67"/>
  <c r="D63"/>
  <c r="D59"/>
  <c r="D55"/>
  <c r="D51"/>
  <c r="D47"/>
  <c r="D43"/>
  <c r="D39"/>
  <c r="D35"/>
  <c r="D31"/>
  <c r="D27"/>
  <c r="D23"/>
  <c r="D19"/>
  <c r="D15"/>
  <c r="D11"/>
  <c r="D108"/>
  <c r="D104"/>
  <c r="D100"/>
  <c r="D96"/>
  <c r="D92"/>
  <c r="D88"/>
  <c r="D84"/>
  <c r="D80"/>
  <c r="D76"/>
  <c r="D72"/>
  <c r="D68"/>
  <c r="D64"/>
  <c r="D60"/>
  <c r="D56"/>
  <c r="D52"/>
  <c r="D48"/>
  <c r="D44"/>
  <c r="D40"/>
  <c r="D36"/>
  <c r="D32"/>
  <c r="D28"/>
  <c r="D24"/>
  <c r="D20"/>
  <c r="D16"/>
  <c r="B105"/>
  <c r="B97"/>
  <c r="B89"/>
  <c r="B81"/>
  <c r="B73"/>
  <c r="B65"/>
  <c r="B57"/>
  <c r="B49"/>
  <c r="B41"/>
  <c r="B33"/>
  <c r="B17"/>
  <c r="B106"/>
  <c r="B98"/>
  <c r="B90"/>
  <c r="B82"/>
  <c r="B74"/>
  <c r="B66"/>
  <c r="B58"/>
  <c r="B50"/>
  <c r="B42"/>
  <c r="B34"/>
  <c r="O17" i="11"/>
  <c r="O14"/>
  <c r="O18"/>
  <c r="E6" i="8"/>
  <c r="E12" s="1"/>
  <c r="O12" i="11"/>
  <c r="O20"/>
  <c r="D16" i="1"/>
  <c r="H16" s="1"/>
  <c r="D14"/>
  <c r="H14" s="1"/>
  <c r="D12"/>
  <c r="H12" s="1"/>
  <c r="D10"/>
  <c r="H10" s="1"/>
  <c r="D8"/>
  <c r="C8"/>
  <c r="M8" s="1"/>
  <c r="P20" i="6"/>
  <c r="P16"/>
  <c r="O17" s="1"/>
  <c r="S17" s="1"/>
  <c r="P12"/>
  <c r="O13" s="1"/>
  <c r="S13" s="1"/>
  <c r="P10" i="10"/>
  <c r="P12"/>
  <c r="P14"/>
  <c r="P16"/>
  <c r="P18"/>
  <c r="P20"/>
  <c r="D7" i="1"/>
  <c r="P18" i="6"/>
  <c r="P14"/>
  <c r="S14" s="1"/>
  <c r="O18" i="10"/>
  <c r="O13"/>
  <c r="O14"/>
  <c r="O12"/>
  <c r="O16"/>
  <c r="O20"/>
  <c r="O12" i="6"/>
  <c r="O18"/>
  <c r="O14"/>
  <c r="S11"/>
  <c r="O19"/>
  <c r="S19" s="1"/>
  <c r="O15"/>
  <c r="S20"/>
  <c r="S16"/>
  <c r="B30" i="8"/>
  <c r="B26"/>
  <c r="B22"/>
  <c r="B18"/>
  <c r="B14"/>
  <c r="B108"/>
  <c r="B107"/>
  <c r="B103"/>
  <c r="B99"/>
  <c r="B95"/>
  <c r="B91"/>
  <c r="B87"/>
  <c r="B83"/>
  <c r="B79"/>
  <c r="B75"/>
  <c r="B71"/>
  <c r="B67"/>
  <c r="B63"/>
  <c r="B59"/>
  <c r="B55"/>
  <c r="B51"/>
  <c r="B47"/>
  <c r="B43"/>
  <c r="B39"/>
  <c r="B35"/>
  <c r="B31"/>
  <c r="B27"/>
  <c r="B23"/>
  <c r="B19"/>
  <c r="B15"/>
  <c r="B11"/>
  <c r="B10"/>
  <c r="B104"/>
  <c r="B100"/>
  <c r="B96"/>
  <c r="B92"/>
  <c r="B88"/>
  <c r="B84"/>
  <c r="B80"/>
  <c r="B76"/>
  <c r="B72"/>
  <c r="B68"/>
  <c r="B64"/>
  <c r="B60"/>
  <c r="B56"/>
  <c r="B52"/>
  <c r="B48"/>
  <c r="B44"/>
  <c r="B40"/>
  <c r="B36"/>
  <c r="B32"/>
  <c r="B28"/>
  <c r="B24"/>
  <c r="B20"/>
  <c r="B16"/>
  <c r="C13" i="1"/>
  <c r="M13" s="1"/>
  <c r="H8"/>
  <c r="C15"/>
  <c r="M15" s="1"/>
  <c r="D13"/>
  <c r="H13" s="1"/>
  <c r="C11"/>
  <c r="M11" s="1"/>
  <c r="C9"/>
  <c r="M9" s="1"/>
  <c r="N9" s="1"/>
  <c r="O9" s="1"/>
  <c r="P9" s="1"/>
  <c r="D15"/>
  <c r="H15" s="1"/>
  <c r="D26"/>
  <c r="D33"/>
  <c r="D28"/>
  <c r="C17"/>
  <c r="M17" s="1"/>
  <c r="D34"/>
  <c r="D29"/>
  <c r="C12"/>
  <c r="M12" s="1"/>
  <c r="D9"/>
  <c r="H9" s="1"/>
  <c r="I9" s="1"/>
  <c r="J9" s="1"/>
  <c r="K9" s="1"/>
  <c r="D36"/>
  <c r="D30"/>
  <c r="C16"/>
  <c r="M16" s="1"/>
  <c r="D35"/>
  <c r="D31"/>
  <c r="D27"/>
  <c r="C14"/>
  <c r="M14" s="1"/>
  <c r="C10"/>
  <c r="M10" s="1"/>
  <c r="M7"/>
  <c r="T27" l="1"/>
  <c r="V27" s="1"/>
  <c r="N28"/>
  <c r="M28"/>
  <c r="S28" s="1"/>
  <c r="F12"/>
  <c r="I12" s="1"/>
  <c r="J12" s="1"/>
  <c r="K12" s="1"/>
  <c r="L8" i="2"/>
  <c r="L3"/>
  <c r="F7" i="1"/>
  <c r="N10"/>
  <c r="O10" s="1"/>
  <c r="P10" s="1"/>
  <c r="N11"/>
  <c r="O11" s="1"/>
  <c r="P11" s="1"/>
  <c r="F8"/>
  <c r="L4" i="2"/>
  <c r="L6"/>
  <c r="F10" i="1"/>
  <c r="I10" s="1"/>
  <c r="J10" s="1"/>
  <c r="K10" s="1"/>
  <c r="I8"/>
  <c r="J8" s="1"/>
  <c r="K8" s="1"/>
  <c r="F17"/>
  <c r="N17" s="1"/>
  <c r="O17" s="1"/>
  <c r="P17" s="1"/>
  <c r="L13" i="2"/>
  <c r="F11" i="1"/>
  <c r="I11" s="1"/>
  <c r="J11" s="1"/>
  <c r="K11" s="1"/>
  <c r="L7" i="2"/>
  <c r="L10"/>
  <c r="F14" i="1"/>
  <c r="N14" s="1"/>
  <c r="O14" s="1"/>
  <c r="P14" s="1"/>
  <c r="N7"/>
  <c r="O7" s="1"/>
  <c r="P7" s="1"/>
  <c r="N8"/>
  <c r="O8" s="1"/>
  <c r="P8" s="1"/>
  <c r="L9" i="2"/>
  <c r="F13" i="1"/>
  <c r="N13" s="1"/>
  <c r="O13" s="1"/>
  <c r="P13" s="1"/>
  <c r="F16"/>
  <c r="N16" s="1"/>
  <c r="O16" s="1"/>
  <c r="P16" s="1"/>
  <c r="L12" i="2"/>
  <c r="F15" i="1"/>
  <c r="N15" s="1"/>
  <c r="O15" s="1"/>
  <c r="P15" s="1"/>
  <c r="L11" i="2"/>
  <c r="E9" i="8"/>
  <c r="M3" i="12"/>
  <c r="R15"/>
  <c r="R16"/>
  <c r="R20" i="11"/>
  <c r="T20"/>
  <c r="O16"/>
  <c r="O15"/>
  <c r="T15" s="1"/>
  <c r="T14"/>
  <c r="R14"/>
  <c r="T12" i="12"/>
  <c r="S12"/>
  <c r="T14"/>
  <c r="S14"/>
  <c r="R12"/>
  <c r="T20"/>
  <c r="S20"/>
  <c r="T16"/>
  <c r="S16"/>
  <c r="T18"/>
  <c r="S18"/>
  <c r="M3" i="11"/>
  <c r="O13"/>
  <c r="T13" s="1"/>
  <c r="R12"/>
  <c r="T12"/>
  <c r="R17"/>
  <c r="T17"/>
  <c r="O19"/>
  <c r="R19" s="1"/>
  <c r="R18"/>
  <c r="T18"/>
  <c r="T13" i="12"/>
  <c r="S13"/>
  <c r="O11" i="11"/>
  <c r="T11" s="1"/>
  <c r="T10"/>
  <c r="R10"/>
  <c r="R16"/>
  <c r="T16"/>
  <c r="D4"/>
  <c r="S12" s="1"/>
  <c r="T19" i="12"/>
  <c r="S19"/>
  <c r="T17"/>
  <c r="S17"/>
  <c r="O11"/>
  <c r="T10"/>
  <c r="S10"/>
  <c r="S15"/>
  <c r="T15"/>
  <c r="R19"/>
  <c r="R10"/>
  <c r="K43"/>
  <c r="E30" i="10"/>
  <c r="A33" i="12"/>
  <c r="A32"/>
  <c r="A34"/>
  <c r="B34" s="1"/>
  <c r="B31" i="10"/>
  <c r="B32" s="1"/>
  <c r="E27" i="8"/>
  <c r="E43"/>
  <c r="E59"/>
  <c r="E75"/>
  <c r="E91"/>
  <c r="E107"/>
  <c r="E26"/>
  <c r="E42"/>
  <c r="E58"/>
  <c r="E74"/>
  <c r="E90"/>
  <c r="E106"/>
  <c r="E25"/>
  <c r="E41"/>
  <c r="E57"/>
  <c r="E73"/>
  <c r="E89"/>
  <c r="E105"/>
  <c r="E72"/>
  <c r="E36"/>
  <c r="E100"/>
  <c r="E32"/>
  <c r="E96"/>
  <c r="E44"/>
  <c r="E28"/>
  <c r="E92"/>
  <c r="E23"/>
  <c r="E39"/>
  <c r="E55"/>
  <c r="E71"/>
  <c r="E87"/>
  <c r="E103"/>
  <c r="E22"/>
  <c r="E38"/>
  <c r="E54"/>
  <c r="E70"/>
  <c r="E86"/>
  <c r="E102"/>
  <c r="E21"/>
  <c r="E37"/>
  <c r="E53"/>
  <c r="E69"/>
  <c r="E85"/>
  <c r="E101"/>
  <c r="E56"/>
  <c r="E20"/>
  <c r="E84"/>
  <c r="E16"/>
  <c r="E80"/>
  <c r="E24"/>
  <c r="E19"/>
  <c r="E35"/>
  <c r="E51"/>
  <c r="E67"/>
  <c r="E83"/>
  <c r="E99"/>
  <c r="E18"/>
  <c r="E34"/>
  <c r="E50"/>
  <c r="E66"/>
  <c r="E82"/>
  <c r="E98"/>
  <c r="E17"/>
  <c r="E33"/>
  <c r="E49"/>
  <c r="E65"/>
  <c r="E81"/>
  <c r="E97"/>
  <c r="E40"/>
  <c r="E104"/>
  <c r="E68"/>
  <c r="E64"/>
  <c r="E60"/>
  <c r="E15"/>
  <c r="E31"/>
  <c r="E47"/>
  <c r="E63"/>
  <c r="E79"/>
  <c r="E95"/>
  <c r="E14"/>
  <c r="E30"/>
  <c r="E46"/>
  <c r="E62"/>
  <c r="E78"/>
  <c r="E94"/>
  <c r="E13"/>
  <c r="E29"/>
  <c r="E45"/>
  <c r="E61"/>
  <c r="E77"/>
  <c r="E93"/>
  <c r="E10"/>
  <c r="E88"/>
  <c r="E52"/>
  <c r="E11"/>
  <c r="E48"/>
  <c r="E76"/>
  <c r="E108"/>
  <c r="T13" i="10"/>
  <c r="R13"/>
  <c r="O15"/>
  <c r="T14"/>
  <c r="R14"/>
  <c r="R20"/>
  <c r="T20"/>
  <c r="R16"/>
  <c r="T16"/>
  <c r="O11"/>
  <c r="T10"/>
  <c r="R10"/>
  <c r="O17"/>
  <c r="O19"/>
  <c r="T18"/>
  <c r="R18"/>
  <c r="R12"/>
  <c r="T12"/>
  <c r="C11" i="8"/>
  <c r="C15"/>
  <c r="C10"/>
  <c r="C108"/>
  <c r="C92"/>
  <c r="C25"/>
  <c r="C29"/>
  <c r="C23"/>
  <c r="T13" i="6"/>
  <c r="C62" i="8"/>
  <c r="C93"/>
  <c r="C75"/>
  <c r="C58"/>
  <c r="C89"/>
  <c r="C59"/>
  <c r="C30"/>
  <c r="C94"/>
  <c r="C61"/>
  <c r="C56"/>
  <c r="C87"/>
  <c r="C35"/>
  <c r="C26"/>
  <c r="C90"/>
  <c r="C57"/>
  <c r="C48"/>
  <c r="C79"/>
  <c r="C84"/>
  <c r="T20" i="6"/>
  <c r="C14" i="8"/>
  <c r="C46"/>
  <c r="C78"/>
  <c r="C13"/>
  <c r="C45"/>
  <c r="C77"/>
  <c r="C24"/>
  <c r="C88"/>
  <c r="C55"/>
  <c r="C16"/>
  <c r="C68"/>
  <c r="C99"/>
  <c r="T18" i="6"/>
  <c r="C42" i="8"/>
  <c r="C74"/>
  <c r="C106"/>
  <c r="C41"/>
  <c r="C73"/>
  <c r="C105"/>
  <c r="C80"/>
  <c r="C47"/>
  <c r="C12"/>
  <c r="C20"/>
  <c r="B31" i="6"/>
  <c r="E31" s="1"/>
  <c r="C60" i="8"/>
  <c r="C44"/>
  <c r="T14" i="6"/>
  <c r="T17"/>
  <c r="T11"/>
  <c r="C22" i="8"/>
  <c r="C38"/>
  <c r="C54"/>
  <c r="C70"/>
  <c r="C86"/>
  <c r="C102"/>
  <c r="C21"/>
  <c r="C37"/>
  <c r="C53"/>
  <c r="C69"/>
  <c r="C85"/>
  <c r="C101"/>
  <c r="C40"/>
  <c r="C72"/>
  <c r="C104"/>
  <c r="C39"/>
  <c r="C71"/>
  <c r="C103"/>
  <c r="C43"/>
  <c r="C107"/>
  <c r="C52"/>
  <c r="C19"/>
  <c r="C83"/>
  <c r="C9"/>
  <c r="C28"/>
  <c r="C18"/>
  <c r="C34"/>
  <c r="C50"/>
  <c r="C66"/>
  <c r="C82"/>
  <c r="C98"/>
  <c r="C17"/>
  <c r="C33"/>
  <c r="C49"/>
  <c r="C65"/>
  <c r="C81"/>
  <c r="C97"/>
  <c r="C32"/>
  <c r="C64"/>
  <c r="C96"/>
  <c r="C31"/>
  <c r="C63"/>
  <c r="C95"/>
  <c r="C27"/>
  <c r="C91"/>
  <c r="C36"/>
  <c r="C100"/>
  <c r="C67"/>
  <c r="C76"/>
  <c r="S18" i="10"/>
  <c r="S14"/>
  <c r="H30"/>
  <c r="S16"/>
  <c r="S15"/>
  <c r="S10"/>
  <c r="S13"/>
  <c r="S20"/>
  <c r="S12"/>
  <c r="S17"/>
  <c r="S18" i="6"/>
  <c r="R17"/>
  <c r="R14"/>
  <c r="R16"/>
  <c r="T16"/>
  <c r="R19"/>
  <c r="R15"/>
  <c r="R11"/>
  <c r="R13"/>
  <c r="R20"/>
  <c r="O21"/>
  <c r="A31" i="10"/>
  <c r="T12" i="6"/>
  <c r="S12"/>
  <c r="R12"/>
  <c r="R18"/>
  <c r="T15"/>
  <c r="S15"/>
  <c r="T19"/>
  <c r="C19" i="1"/>
  <c r="D19"/>
  <c r="H7"/>
  <c r="I7" s="1"/>
  <c r="J7" s="1"/>
  <c r="K7" s="1"/>
  <c r="M29" l="1"/>
  <c r="S29" s="1"/>
  <c r="T28"/>
  <c r="V28" s="1"/>
  <c r="N29"/>
  <c r="I15"/>
  <c r="J15" s="1"/>
  <c r="K15" s="1"/>
  <c r="I13"/>
  <c r="J13" s="1"/>
  <c r="K13" s="1"/>
  <c r="I14"/>
  <c r="J14" s="1"/>
  <c r="K14" s="1"/>
  <c r="I17"/>
  <c r="J17" s="1"/>
  <c r="K17" s="1"/>
  <c r="N12"/>
  <c r="O12" s="1"/>
  <c r="P12" s="1"/>
  <c r="P19"/>
  <c r="P21" s="1"/>
  <c r="I16"/>
  <c r="J16" s="1"/>
  <c r="K16" s="1"/>
  <c r="K19" s="1"/>
  <c r="K21" s="1"/>
  <c r="F19"/>
  <c r="H32" i="11"/>
  <c r="H35"/>
  <c r="H31" i="10"/>
  <c r="H33" i="11"/>
  <c r="H40"/>
  <c r="S18"/>
  <c r="R13"/>
  <c r="S14"/>
  <c r="S15"/>
  <c r="S11"/>
  <c r="S20"/>
  <c r="H30"/>
  <c r="S16"/>
  <c r="S10"/>
  <c r="T19"/>
  <c r="T23" s="1"/>
  <c r="R15"/>
  <c r="R23" s="1"/>
  <c r="R11"/>
  <c r="T11" i="12"/>
  <c r="T23" s="1"/>
  <c r="S11"/>
  <c r="S23" s="1"/>
  <c r="R11"/>
  <c r="R23" s="1"/>
  <c r="S17" i="11"/>
  <c r="S13"/>
  <c r="S19"/>
  <c r="H41"/>
  <c r="H38"/>
  <c r="A35" i="12"/>
  <c r="B35" s="1"/>
  <c r="E31" i="10"/>
  <c r="K31"/>
  <c r="B33"/>
  <c r="R19"/>
  <c r="T19"/>
  <c r="T11"/>
  <c r="R11"/>
  <c r="T17"/>
  <c r="R17"/>
  <c r="S11"/>
  <c r="R15"/>
  <c r="T15"/>
  <c r="S19"/>
  <c r="H31" i="6"/>
  <c r="A32"/>
  <c r="K31"/>
  <c r="B32"/>
  <c r="A33" s="1"/>
  <c r="A31" i="11"/>
  <c r="T21" i="6"/>
  <c r="T24" s="1"/>
  <c r="R21"/>
  <c r="R24" s="1"/>
  <c r="S21"/>
  <c r="S24" s="1"/>
  <c r="A32" i="10"/>
  <c r="E32" s="1"/>
  <c r="T29" i="1" l="1"/>
  <c r="V29" s="1"/>
  <c r="N30"/>
  <c r="M30"/>
  <c r="S30" s="1"/>
  <c r="B26"/>
  <c r="S23" i="11"/>
  <c r="A36" i="12"/>
  <c r="B36" s="1"/>
  <c r="H31" i="11"/>
  <c r="E31"/>
  <c r="K31"/>
  <c r="H32" i="10"/>
  <c r="R23"/>
  <c r="S23"/>
  <c r="K32"/>
  <c r="B34"/>
  <c r="T23"/>
  <c r="B33" i="6"/>
  <c r="K33" s="1"/>
  <c r="K32"/>
  <c r="E32"/>
  <c r="H32"/>
  <c r="A32" i="11"/>
  <c r="A33" i="10"/>
  <c r="H33" s="1"/>
  <c r="T30" i="1" l="1"/>
  <c r="V30" s="1"/>
  <c r="N31"/>
  <c r="M31"/>
  <c r="S31" s="1"/>
  <c r="B10" i="10"/>
  <c r="B10" i="12"/>
  <c r="B11" i="6"/>
  <c r="B10" i="11"/>
  <c r="A27" i="1"/>
  <c r="G27" s="1"/>
  <c r="H26"/>
  <c r="J26" s="1"/>
  <c r="B27"/>
  <c r="A37" i="12"/>
  <c r="B37" s="1"/>
  <c r="E32" i="11"/>
  <c r="K32"/>
  <c r="B35" i="10"/>
  <c r="K33"/>
  <c r="E33"/>
  <c r="B34" i="6"/>
  <c r="H34" s="1"/>
  <c r="H33"/>
  <c r="A34"/>
  <c r="E33"/>
  <c r="A33" i="11"/>
  <c r="A34" i="10"/>
  <c r="H34" s="1"/>
  <c r="M32" i="1" l="1"/>
  <c r="S32" s="1"/>
  <c r="T31"/>
  <c r="V31" s="1"/>
  <c r="N32"/>
  <c r="H10" i="10"/>
  <c r="K10"/>
  <c r="E10"/>
  <c r="A11"/>
  <c r="H10" i="12"/>
  <c r="E10"/>
  <c r="K10"/>
  <c r="A11"/>
  <c r="B11"/>
  <c r="B28" i="1"/>
  <c r="B11" i="11"/>
  <c r="B12" i="6"/>
  <c r="A28" i="1"/>
  <c r="G28" s="1"/>
  <c r="B11" i="10"/>
  <c r="H27" i="1"/>
  <c r="J27" s="1"/>
  <c r="A12" i="6"/>
  <c r="E11"/>
  <c r="K11"/>
  <c r="H11"/>
  <c r="A11" i="11"/>
  <c r="H10"/>
  <c r="K10"/>
  <c r="E10"/>
  <c r="A38" i="12"/>
  <c r="B38" s="1"/>
  <c r="E33" i="11"/>
  <c r="K33"/>
  <c r="B36" i="10"/>
  <c r="K34"/>
  <c r="E34"/>
  <c r="A35" i="6"/>
  <c r="B35"/>
  <c r="K35" s="1"/>
  <c r="E34"/>
  <c r="K34"/>
  <c r="A34" i="11"/>
  <c r="A35" i="10"/>
  <c r="H35" s="1"/>
  <c r="T32" i="1" l="1"/>
  <c r="V32" s="1"/>
  <c r="N33"/>
  <c r="M33"/>
  <c r="S33" s="1"/>
  <c r="B12" i="12"/>
  <c r="A13" s="1"/>
  <c r="H28" i="1"/>
  <c r="B12" i="11"/>
  <c r="B13" i="6"/>
  <c r="B29" i="1"/>
  <c r="B12" i="10"/>
  <c r="A29" i="1"/>
  <c r="G29" s="1"/>
  <c r="K11" i="10"/>
  <c r="E11"/>
  <c r="A12"/>
  <c r="H11"/>
  <c r="A12" i="11"/>
  <c r="H11"/>
  <c r="E11"/>
  <c r="K11"/>
  <c r="A13" i="6"/>
  <c r="K12"/>
  <c r="H12"/>
  <c r="E12"/>
  <c r="K11" i="12"/>
  <c r="H11"/>
  <c r="E11"/>
  <c r="A12"/>
  <c r="J28" i="1"/>
  <c r="A39" i="12"/>
  <c r="B39" s="1"/>
  <c r="K34" i="11"/>
  <c r="H34"/>
  <c r="E34"/>
  <c r="E35" i="10"/>
  <c r="B37"/>
  <c r="K35"/>
  <c r="H35" i="6"/>
  <c r="A36"/>
  <c r="B36"/>
  <c r="E35"/>
  <c r="A35" i="11"/>
  <c r="A36" i="10"/>
  <c r="H36" s="1"/>
  <c r="T33" i="1" l="1"/>
  <c r="V33" s="1"/>
  <c r="N34"/>
  <c r="M34"/>
  <c r="S34" s="1"/>
  <c r="B13" i="12"/>
  <c r="E13" s="1"/>
  <c r="H29" i="1"/>
  <c r="J29" s="1"/>
  <c r="B14" i="6"/>
  <c r="B13" i="10"/>
  <c r="B13" i="11"/>
  <c r="A30" i="1"/>
  <c r="G30" s="1"/>
  <c r="B30"/>
  <c r="K12" i="10"/>
  <c r="E12"/>
  <c r="H12"/>
  <c r="A13"/>
  <c r="A13" i="11"/>
  <c r="E12"/>
  <c r="H12"/>
  <c r="K12"/>
  <c r="K12" i="12"/>
  <c r="E12"/>
  <c r="H12"/>
  <c r="K13" i="6"/>
  <c r="A14"/>
  <c r="E13"/>
  <c r="H13"/>
  <c r="A40" i="12"/>
  <c r="B40" s="1"/>
  <c r="K35" i="11"/>
  <c r="E35"/>
  <c r="B38" i="10"/>
  <c r="E36"/>
  <c r="K36"/>
  <c r="H36" i="6"/>
  <c r="E36"/>
  <c r="B37"/>
  <c r="A37"/>
  <c r="K36"/>
  <c r="A36" i="11"/>
  <c r="A37" i="10"/>
  <c r="H37" s="1"/>
  <c r="M35" i="1" l="1"/>
  <c r="S35" s="1"/>
  <c r="T34"/>
  <c r="V34" s="1"/>
  <c r="N35"/>
  <c r="B14" i="10"/>
  <c r="A31" i="1"/>
  <c r="G31" s="1"/>
  <c r="B31"/>
  <c r="H30"/>
  <c r="J30" s="1"/>
  <c r="B15" i="6"/>
  <c r="B14" i="11"/>
  <c r="B14" i="12"/>
  <c r="A15" s="1"/>
  <c r="A15" i="6"/>
  <c r="K14"/>
  <c r="H14"/>
  <c r="E14"/>
  <c r="H13" i="10"/>
  <c r="A14"/>
  <c r="K13"/>
  <c r="E13"/>
  <c r="A14" i="11"/>
  <c r="H13"/>
  <c r="K13"/>
  <c r="E13"/>
  <c r="A14" i="12"/>
  <c r="K13"/>
  <c r="H13"/>
  <c r="A41"/>
  <c r="C30" a="1"/>
  <c r="H36" i="11"/>
  <c r="E36"/>
  <c r="B39" i="10"/>
  <c r="K37"/>
  <c r="E37"/>
  <c r="E37" i="6"/>
  <c r="B38"/>
  <c r="H38" s="1"/>
  <c r="A38"/>
  <c r="H37"/>
  <c r="K37"/>
  <c r="A37" i="11"/>
  <c r="A38" i="10"/>
  <c r="H38" s="1"/>
  <c r="T35" i="1" l="1"/>
  <c r="V35" s="1"/>
  <c r="N36"/>
  <c r="M36"/>
  <c r="S36" s="1"/>
  <c r="K15" i="6"/>
  <c r="H15"/>
  <c r="E15"/>
  <c r="A16"/>
  <c r="H14" i="10"/>
  <c r="E14"/>
  <c r="K14"/>
  <c r="A15"/>
  <c r="A15" i="11"/>
  <c r="K14"/>
  <c r="E14"/>
  <c r="H14"/>
  <c r="H15" i="12"/>
  <c r="B15" i="11"/>
  <c r="B16" i="6"/>
  <c r="A32" i="1"/>
  <c r="G32" s="1"/>
  <c r="B15" i="10"/>
  <c r="H31" i="1"/>
  <c r="J31" s="1"/>
  <c r="B15" i="12"/>
  <c r="A16" s="1"/>
  <c r="B32" i="1"/>
  <c r="H14" i="12"/>
  <c r="K14"/>
  <c r="E14"/>
  <c r="C41"/>
  <c r="I41" s="1"/>
  <c r="C37"/>
  <c r="C33"/>
  <c r="C38"/>
  <c r="C34"/>
  <c r="C30"/>
  <c r="L30" s="1"/>
  <c r="C39"/>
  <c r="C35"/>
  <c r="C31"/>
  <c r="C40"/>
  <c r="I40" s="1"/>
  <c r="C36"/>
  <c r="C32"/>
  <c r="E43"/>
  <c r="H37" i="11"/>
  <c r="E37"/>
  <c r="B40" i="10"/>
  <c r="K38"/>
  <c r="E38"/>
  <c r="K38" i="6"/>
  <c r="B39"/>
  <c r="A40" s="1"/>
  <c r="A39"/>
  <c r="E38"/>
  <c r="A38" i="11"/>
  <c r="A39" i="10"/>
  <c r="H39" s="1"/>
  <c r="T36" i="1" l="1"/>
  <c r="V36" s="1"/>
  <c r="M37"/>
  <c r="S37" s="1"/>
  <c r="V37" s="1"/>
  <c r="O26" a="1"/>
  <c r="E16" i="6"/>
  <c r="K16"/>
  <c r="H16"/>
  <c r="A17"/>
  <c r="K15" i="12"/>
  <c r="B16"/>
  <c r="A17" s="1"/>
  <c r="B17" i="6"/>
  <c r="B16" i="10"/>
  <c r="B16" i="11"/>
  <c r="B33" i="1"/>
  <c r="H32"/>
  <c r="J32" s="1"/>
  <c r="A33"/>
  <c r="G33" s="1"/>
  <c r="E15" i="12"/>
  <c r="E15" i="10"/>
  <c r="H15"/>
  <c r="A16"/>
  <c r="K15"/>
  <c r="A16" i="11"/>
  <c r="E15"/>
  <c r="H15"/>
  <c r="K15"/>
  <c r="L39" i="12"/>
  <c r="I39"/>
  <c r="I31"/>
  <c r="L31"/>
  <c r="F31"/>
  <c r="I34"/>
  <c r="L34"/>
  <c r="F34"/>
  <c r="L41"/>
  <c r="F41"/>
  <c r="L40"/>
  <c r="F40"/>
  <c r="I37"/>
  <c r="L37"/>
  <c r="F37"/>
  <c r="F39"/>
  <c r="I30"/>
  <c r="C43"/>
  <c r="F30"/>
  <c r="I36"/>
  <c r="L36"/>
  <c r="F36"/>
  <c r="I33"/>
  <c r="L33"/>
  <c r="F33"/>
  <c r="I32"/>
  <c r="L32"/>
  <c r="F32"/>
  <c r="I35"/>
  <c r="L35"/>
  <c r="F35"/>
  <c r="I38"/>
  <c r="L38"/>
  <c r="F38"/>
  <c r="E38" i="11"/>
  <c r="K38"/>
  <c r="E39" i="10"/>
  <c r="K39"/>
  <c r="B40" i="6"/>
  <c r="E40" s="1"/>
  <c r="E39"/>
  <c r="K39"/>
  <c r="H39"/>
  <c r="A39" i="11"/>
  <c r="A40" i="10"/>
  <c r="H40" s="1"/>
  <c r="O27" i="1" l="1"/>
  <c r="O30"/>
  <c r="O33"/>
  <c r="O36"/>
  <c r="O28"/>
  <c r="O31"/>
  <c r="O34"/>
  <c r="O37"/>
  <c r="O35"/>
  <c r="O29"/>
  <c r="O26"/>
  <c r="O32"/>
  <c r="V39"/>
  <c r="B17" i="10"/>
  <c r="H33" i="1"/>
  <c r="B34"/>
  <c r="B17" i="12"/>
  <c r="A34" i="1"/>
  <c r="G34" s="1"/>
  <c r="B17" i="11"/>
  <c r="B18" i="6"/>
  <c r="K17" i="12"/>
  <c r="H17"/>
  <c r="E16"/>
  <c r="A18" i="6"/>
  <c r="H17"/>
  <c r="K17"/>
  <c r="E17"/>
  <c r="K16" i="12"/>
  <c r="E16" i="10"/>
  <c r="H16"/>
  <c r="A17"/>
  <c r="K16"/>
  <c r="J33" i="1"/>
  <c r="H16" i="12"/>
  <c r="A17" i="11"/>
  <c r="K16"/>
  <c r="E16"/>
  <c r="H16"/>
  <c r="L43" i="12"/>
  <c r="L45" s="1"/>
  <c r="F43"/>
  <c r="F45" s="1"/>
  <c r="I43"/>
  <c r="I45" s="1"/>
  <c r="K39" i="11"/>
  <c r="H39"/>
  <c r="K40" i="10"/>
  <c r="E40"/>
  <c r="B41" i="6"/>
  <c r="E41" s="1"/>
  <c r="K40"/>
  <c r="A41"/>
  <c r="H40"/>
  <c r="A40" i="11"/>
  <c r="A41" i="10"/>
  <c r="C30" a="1"/>
  <c r="Q34" i="1" l="1"/>
  <c r="U34"/>
  <c r="W34" s="1"/>
  <c r="U27"/>
  <c r="W27" s="1"/>
  <c r="Q27"/>
  <c r="Q37"/>
  <c r="U37"/>
  <c r="W37" s="1"/>
  <c r="U30"/>
  <c r="W30" s="1"/>
  <c r="Q30"/>
  <c r="Q35"/>
  <c r="U35"/>
  <c r="W35" s="1"/>
  <c r="U33"/>
  <c r="W33" s="1"/>
  <c r="Q33"/>
  <c r="Q29"/>
  <c r="U29"/>
  <c r="W29" s="1"/>
  <c r="U36"/>
  <c r="W36" s="1"/>
  <c r="Q36"/>
  <c r="O39"/>
  <c r="Q26"/>
  <c r="U26"/>
  <c r="Q28"/>
  <c r="U28"/>
  <c r="W28" s="1"/>
  <c r="Q32"/>
  <c r="U32"/>
  <c r="W32" s="1"/>
  <c r="Q31"/>
  <c r="U31"/>
  <c r="W31" s="1"/>
  <c r="H17" i="10"/>
  <c r="A18"/>
  <c r="K17"/>
  <c r="E17"/>
  <c r="E17" i="11"/>
  <c r="A18"/>
  <c r="H17"/>
  <c r="K17"/>
  <c r="H18" i="6"/>
  <c r="E18"/>
  <c r="K18"/>
  <c r="A19"/>
  <c r="B18" i="11"/>
  <c r="B19" i="6"/>
  <c r="H34" i="1"/>
  <c r="J34" s="1"/>
  <c r="B35"/>
  <c r="B18" i="12"/>
  <c r="A19" s="1"/>
  <c r="B18" i="10"/>
  <c r="A35" i="1"/>
  <c r="G35" s="1"/>
  <c r="A18" i="12"/>
  <c r="E17"/>
  <c r="E40" i="11"/>
  <c r="E41" i="10"/>
  <c r="E43" s="1"/>
  <c r="K41"/>
  <c r="H41"/>
  <c r="K41" i="6"/>
  <c r="C31" a="1"/>
  <c r="A42"/>
  <c r="H41"/>
  <c r="A41" i="11"/>
  <c r="C30" a="1"/>
  <c r="C41" i="10"/>
  <c r="F41" s="1"/>
  <c r="C37"/>
  <c r="C33"/>
  <c r="C38"/>
  <c r="C34"/>
  <c r="L34" s="1"/>
  <c r="C30"/>
  <c r="C35"/>
  <c r="C31"/>
  <c r="C39"/>
  <c r="C40"/>
  <c r="C36"/>
  <c r="F36" s="1"/>
  <c r="C32"/>
  <c r="K43"/>
  <c r="H43"/>
  <c r="W26" i="1" l="1"/>
  <c r="W39" s="1"/>
  <c r="W41" s="1"/>
  <c r="U39"/>
  <c r="Q39"/>
  <c r="Q41" s="1"/>
  <c r="A19" i="11"/>
  <c r="K18"/>
  <c r="E18"/>
  <c r="H18"/>
  <c r="H18" i="10"/>
  <c r="A19"/>
  <c r="K18"/>
  <c r="E18"/>
  <c r="E19" i="6"/>
  <c r="H19"/>
  <c r="A20"/>
  <c r="K19"/>
  <c r="H18" i="12"/>
  <c r="E18"/>
  <c r="K18"/>
  <c r="B19" i="11"/>
  <c r="B36" i="1"/>
  <c r="H35"/>
  <c r="J35" s="1"/>
  <c r="B20" i="6"/>
  <c r="B19" i="12"/>
  <c r="A20" s="1"/>
  <c r="A36" i="1"/>
  <c r="G36" s="1"/>
  <c r="B19" i="10"/>
  <c r="E19" i="12"/>
  <c r="H43" i="11"/>
  <c r="E41"/>
  <c r="F30" i="10"/>
  <c r="I30"/>
  <c r="C38" i="6"/>
  <c r="C41"/>
  <c r="C37"/>
  <c r="C35"/>
  <c r="K42"/>
  <c r="K44" s="1"/>
  <c r="H42"/>
  <c r="H44" s="1"/>
  <c r="E42"/>
  <c r="E44" s="1"/>
  <c r="C31"/>
  <c r="C32"/>
  <c r="C39"/>
  <c r="F39" s="1"/>
  <c r="C33"/>
  <c r="I33" s="1"/>
  <c r="C42"/>
  <c r="C34"/>
  <c r="C40"/>
  <c r="C36"/>
  <c r="C41" i="11"/>
  <c r="C37"/>
  <c r="F37" s="1"/>
  <c r="C33"/>
  <c r="I33" s="1"/>
  <c r="C38"/>
  <c r="C34"/>
  <c r="C30"/>
  <c r="C40"/>
  <c r="C36"/>
  <c r="C32"/>
  <c r="F32" s="1"/>
  <c r="C39"/>
  <c r="F39" s="1"/>
  <c r="C35"/>
  <c r="C31"/>
  <c r="F31" s="1"/>
  <c r="K43"/>
  <c r="I39" i="10"/>
  <c r="F39"/>
  <c r="L39"/>
  <c r="I34"/>
  <c r="F34"/>
  <c r="L41"/>
  <c r="I41"/>
  <c r="C43"/>
  <c r="L30"/>
  <c r="I36"/>
  <c r="L36"/>
  <c r="I35"/>
  <c r="L35"/>
  <c r="F35"/>
  <c r="I33"/>
  <c r="L33"/>
  <c r="F33"/>
  <c r="I40"/>
  <c r="L40"/>
  <c r="F40"/>
  <c r="I37"/>
  <c r="L37"/>
  <c r="F37"/>
  <c r="I32"/>
  <c r="L32"/>
  <c r="F32"/>
  <c r="I31"/>
  <c r="F31"/>
  <c r="L31"/>
  <c r="I38"/>
  <c r="L38"/>
  <c r="F38"/>
  <c r="H19" i="12" l="1"/>
  <c r="K19"/>
  <c r="K20" i="6"/>
  <c r="A21"/>
  <c r="E20"/>
  <c r="H20"/>
  <c r="H20" i="12"/>
  <c r="A20" i="11"/>
  <c r="K19"/>
  <c r="E19"/>
  <c r="H19"/>
  <c r="H36" i="1"/>
  <c r="J36" s="1"/>
  <c r="A37"/>
  <c r="G37" s="1"/>
  <c r="J37" s="1"/>
  <c r="B20" i="12"/>
  <c r="A21" s="1"/>
  <c r="C26" i="1" a="1"/>
  <c r="B20" i="11"/>
  <c r="B20" i="10"/>
  <c r="B21" i="6"/>
  <c r="H19" i="10"/>
  <c r="A20"/>
  <c r="K19"/>
  <c r="E19"/>
  <c r="C10" i="12" a="1"/>
  <c r="C19" s="1"/>
  <c r="F40" i="11"/>
  <c r="L40"/>
  <c r="L41"/>
  <c r="I41"/>
  <c r="F41"/>
  <c r="C43"/>
  <c r="L30"/>
  <c r="F30"/>
  <c r="F36"/>
  <c r="L36"/>
  <c r="H21" i="12"/>
  <c r="H23" s="1"/>
  <c r="E21"/>
  <c r="K21"/>
  <c r="F43" i="10"/>
  <c r="F45" s="1"/>
  <c r="I39" i="6"/>
  <c r="C44"/>
  <c r="F34"/>
  <c r="L34"/>
  <c r="I34"/>
  <c r="L38"/>
  <c r="I38"/>
  <c r="F38"/>
  <c r="I41"/>
  <c r="L41"/>
  <c r="F41"/>
  <c r="I32"/>
  <c r="L32"/>
  <c r="F32"/>
  <c r="I37"/>
  <c r="L37"/>
  <c r="F37"/>
  <c r="F40"/>
  <c r="I40"/>
  <c r="L40"/>
  <c r="L36"/>
  <c r="F36"/>
  <c r="I36"/>
  <c r="L33"/>
  <c r="F33"/>
  <c r="I42"/>
  <c r="F42"/>
  <c r="L42"/>
  <c r="F31"/>
  <c r="I31"/>
  <c r="L31"/>
  <c r="L35"/>
  <c r="F35"/>
  <c r="I35"/>
  <c r="L39"/>
  <c r="I32" i="11"/>
  <c r="L32"/>
  <c r="I34"/>
  <c r="L34"/>
  <c r="F34"/>
  <c r="I39"/>
  <c r="L39"/>
  <c r="I30"/>
  <c r="I37"/>
  <c r="L37"/>
  <c r="I35"/>
  <c r="L35"/>
  <c r="F35"/>
  <c r="I40"/>
  <c r="L33"/>
  <c r="F33"/>
  <c r="I31"/>
  <c r="L31"/>
  <c r="I36"/>
  <c r="I38"/>
  <c r="L38"/>
  <c r="F38"/>
  <c r="L43" i="10"/>
  <c r="L45" s="1"/>
  <c r="I43"/>
  <c r="I45" s="1"/>
  <c r="E20" i="12" l="1"/>
  <c r="A21" i="11"/>
  <c r="H20"/>
  <c r="K20"/>
  <c r="E20"/>
  <c r="C10" i="12"/>
  <c r="C11"/>
  <c r="C16"/>
  <c r="C20"/>
  <c r="C21"/>
  <c r="C18"/>
  <c r="J39" i="1"/>
  <c r="A21" i="10"/>
  <c r="K20"/>
  <c r="C10" a="1"/>
  <c r="H20"/>
  <c r="E20"/>
  <c r="C15" i="12"/>
  <c r="C14"/>
  <c r="E21" i="6"/>
  <c r="H21"/>
  <c r="K21"/>
  <c r="A22"/>
  <c r="C11" a="1"/>
  <c r="C13" i="12"/>
  <c r="I13" s="1"/>
  <c r="E23"/>
  <c r="C12"/>
  <c r="F12" s="1"/>
  <c r="C17"/>
  <c r="K20"/>
  <c r="K23" s="1"/>
  <c r="C29" i="1"/>
  <c r="C26"/>
  <c r="C28"/>
  <c r="C32"/>
  <c r="C36"/>
  <c r="C37"/>
  <c r="C33"/>
  <c r="C30"/>
  <c r="C31"/>
  <c r="C35"/>
  <c r="C27"/>
  <c r="C34"/>
  <c r="C10" i="11" a="1"/>
  <c r="L18" i="12"/>
  <c r="I18"/>
  <c r="F18"/>
  <c r="L12"/>
  <c r="I17"/>
  <c r="F17"/>
  <c r="L17"/>
  <c r="F19"/>
  <c r="L19"/>
  <c r="I19"/>
  <c r="I21"/>
  <c r="F21"/>
  <c r="L21"/>
  <c r="I10"/>
  <c r="F10"/>
  <c r="L10"/>
  <c r="F11"/>
  <c r="I11"/>
  <c r="L11"/>
  <c r="F16"/>
  <c r="I16"/>
  <c r="L16"/>
  <c r="I43" i="11"/>
  <c r="I45" s="1"/>
  <c r="F20" i="12"/>
  <c r="I20"/>
  <c r="L13"/>
  <c r="I15"/>
  <c r="L15"/>
  <c r="F15"/>
  <c r="I14"/>
  <c r="F14"/>
  <c r="L14"/>
  <c r="F43" i="11"/>
  <c r="F45" s="1"/>
  <c r="L44" i="6"/>
  <c r="L46" s="1"/>
  <c r="I44"/>
  <c r="I46" s="1"/>
  <c r="F44"/>
  <c r="F46" s="1"/>
  <c r="L43" i="11"/>
  <c r="L45" s="1"/>
  <c r="F13" i="12" l="1"/>
  <c r="I12"/>
  <c r="I34" i="1"/>
  <c r="K34" s="1"/>
  <c r="E34"/>
  <c r="E30"/>
  <c r="I30"/>
  <c r="K30" s="1"/>
  <c r="I32"/>
  <c r="K32" s="1"/>
  <c r="E32"/>
  <c r="C20" i="6"/>
  <c r="C22"/>
  <c r="C15"/>
  <c r="C11"/>
  <c r="C16"/>
  <c r="C12"/>
  <c r="C19"/>
  <c r="C14"/>
  <c r="C21"/>
  <c r="C13"/>
  <c r="C17"/>
  <c r="C18"/>
  <c r="I31" i="1"/>
  <c r="K31" s="1"/>
  <c r="E31"/>
  <c r="E36"/>
  <c r="I36"/>
  <c r="K36" s="1"/>
  <c r="E29"/>
  <c r="I29"/>
  <c r="K29" s="1"/>
  <c r="C14" i="10"/>
  <c r="C16"/>
  <c r="C17"/>
  <c r="C21"/>
  <c r="C20"/>
  <c r="C13"/>
  <c r="C11"/>
  <c r="C19"/>
  <c r="C18"/>
  <c r="C12"/>
  <c r="C15"/>
  <c r="C10"/>
  <c r="H21" i="11"/>
  <c r="H23" s="1"/>
  <c r="K21"/>
  <c r="E21"/>
  <c r="E23" s="1"/>
  <c r="I35" i="1"/>
  <c r="K35" s="1"/>
  <c r="E35"/>
  <c r="I37"/>
  <c r="K37" s="1"/>
  <c r="E37"/>
  <c r="I26"/>
  <c r="E26"/>
  <c r="C39"/>
  <c r="C21" i="11"/>
  <c r="C20"/>
  <c r="C16"/>
  <c r="C19"/>
  <c r="C14"/>
  <c r="C18"/>
  <c r="C15"/>
  <c r="C11"/>
  <c r="C13"/>
  <c r="C12"/>
  <c r="C17"/>
  <c r="C10"/>
  <c r="I27" i="1"/>
  <c r="K27" s="1"/>
  <c r="E27"/>
  <c r="E33"/>
  <c r="I33"/>
  <c r="K33" s="1"/>
  <c r="I28"/>
  <c r="K28" s="1"/>
  <c r="E28"/>
  <c r="K22" i="6"/>
  <c r="K24" s="1"/>
  <c r="E22"/>
  <c r="E24" s="1"/>
  <c r="H22"/>
  <c r="H24" s="1"/>
  <c r="H21" i="10"/>
  <c r="H23" s="1"/>
  <c r="E21"/>
  <c r="E23" s="1"/>
  <c r="K21"/>
  <c r="K23" s="1"/>
  <c r="L20" i="12"/>
  <c r="C23"/>
  <c r="K23" i="11"/>
  <c r="I23" i="12"/>
  <c r="I25" s="1"/>
  <c r="F23"/>
  <c r="F25" s="1"/>
  <c r="L23"/>
  <c r="L25" s="1"/>
  <c r="F10" i="11" l="1"/>
  <c r="L10"/>
  <c r="I10"/>
  <c r="C23"/>
  <c r="L11"/>
  <c r="F11"/>
  <c r="I11"/>
  <c r="L19"/>
  <c r="F19"/>
  <c r="I19"/>
  <c r="L10" i="10"/>
  <c r="I10"/>
  <c r="C23"/>
  <c r="F10"/>
  <c r="F19"/>
  <c r="L19"/>
  <c r="I19"/>
  <c r="L21"/>
  <c r="F21"/>
  <c r="I21"/>
  <c r="I13" i="6"/>
  <c r="L13"/>
  <c r="F13"/>
  <c r="F12"/>
  <c r="I12"/>
  <c r="L12"/>
  <c r="L22"/>
  <c r="I22"/>
  <c r="F22"/>
  <c r="K26" i="1"/>
  <c r="K39" s="1"/>
  <c r="K41" s="1"/>
  <c r="I39"/>
  <c r="I13" i="11"/>
  <c r="L13"/>
  <c r="F13"/>
  <c r="I14"/>
  <c r="L14"/>
  <c r="F14"/>
  <c r="F21"/>
  <c r="I21"/>
  <c r="L21"/>
  <c r="L18" i="10"/>
  <c r="I18"/>
  <c r="F18"/>
  <c r="F20"/>
  <c r="L20"/>
  <c r="I20"/>
  <c r="L14"/>
  <c r="F14"/>
  <c r="I14"/>
  <c r="F17" i="6"/>
  <c r="L17"/>
  <c r="I17"/>
  <c r="L19"/>
  <c r="F19"/>
  <c r="I19"/>
  <c r="L15"/>
  <c r="F15"/>
  <c r="I15"/>
  <c r="E39" i="1"/>
  <c r="E41" s="1"/>
  <c r="F12" i="11"/>
  <c r="I12"/>
  <c r="L12"/>
  <c r="F18"/>
  <c r="L18"/>
  <c r="I18"/>
  <c r="L20"/>
  <c r="F20"/>
  <c r="I20"/>
  <c r="F12" i="10"/>
  <c r="L12"/>
  <c r="I12"/>
  <c r="L13"/>
  <c r="I13"/>
  <c r="F13"/>
  <c r="I16"/>
  <c r="L16"/>
  <c r="F16"/>
  <c r="L18" i="6"/>
  <c r="I18"/>
  <c r="F18"/>
  <c r="L14"/>
  <c r="F14"/>
  <c r="I14"/>
  <c r="I11"/>
  <c r="F11"/>
  <c r="L11"/>
  <c r="C24"/>
  <c r="F17" i="11"/>
  <c r="I17"/>
  <c r="L17"/>
  <c r="I15"/>
  <c r="F15"/>
  <c r="L15"/>
  <c r="I16"/>
  <c r="L16"/>
  <c r="F16"/>
  <c r="L15" i="10"/>
  <c r="I15"/>
  <c r="F15"/>
  <c r="L11"/>
  <c r="I11"/>
  <c r="F11"/>
  <c r="F17"/>
  <c r="L17"/>
  <c r="I17"/>
  <c r="L21" i="6"/>
  <c r="I21"/>
  <c r="F21"/>
  <c r="I16"/>
  <c r="L16"/>
  <c r="F16"/>
  <c r="I20"/>
  <c r="F20"/>
  <c r="L20"/>
  <c r="F24" l="1"/>
  <c r="F26" s="1"/>
  <c r="F23" i="11"/>
  <c r="F25" s="1"/>
  <c r="L24" i="6"/>
  <c r="L26" s="1"/>
  <c r="F23" i="10"/>
  <c r="F25" s="1"/>
  <c r="L23" i="11"/>
  <c r="L25" s="1"/>
  <c r="L23" i="10"/>
  <c r="L25" s="1"/>
  <c r="I23" i="11"/>
  <c r="I25" s="1"/>
  <c r="I24" i="6"/>
  <c r="I26" s="1"/>
  <c r="I23" i="10"/>
  <c r="I25" s="1"/>
</calcChain>
</file>

<file path=xl/sharedStrings.xml><?xml version="1.0" encoding="utf-8"?>
<sst xmlns="http://schemas.openxmlformats.org/spreadsheetml/2006/main" count="293" uniqueCount="120">
  <si>
    <t>o-e</t>
  </si>
  <si>
    <t>(o-e)^2</t>
  </si>
  <si>
    <t>MLE</t>
  </si>
  <si>
    <t>MOP</t>
  </si>
  <si>
    <t>((o-e)^2)/e</t>
  </si>
  <si>
    <t>X</t>
  </si>
  <si>
    <t>Number of bins</t>
  </si>
  <si>
    <t>E per bin</t>
  </si>
  <si>
    <t>prob</t>
  </si>
  <si>
    <t>observed (o)</t>
  </si>
  <si>
    <t>expected (e)</t>
  </si>
  <si>
    <t>mean</t>
  </si>
  <si>
    <t>standard deviation</t>
  </si>
  <si>
    <t>median</t>
  </si>
  <si>
    <t>data</t>
  </si>
  <si>
    <t>Bins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</si>
  <si>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</si>
  <si>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</si>
  <si>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</si>
  <si>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</si>
  <si>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</si>
  <si>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</si>
  <si>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</si>
  <si>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</si>
  <si>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</si>
  <si>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</si>
  <si>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10+</t>
  </si>
  <si>
    <t>E</t>
  </si>
  <si>
    <t>O</t>
  </si>
  <si>
    <t>alpha</t>
  </si>
  <si>
    <t>theta</t>
  </si>
  <si>
    <t>percentile</t>
  </si>
  <si>
    <t>mean(x^2)</t>
  </si>
  <si>
    <t>xp (data)</t>
  </si>
  <si>
    <t>xp (theory)</t>
  </si>
  <si>
    <t>MOM</t>
  </si>
  <si>
    <t>mu</t>
  </si>
  <si>
    <t>sum(ln(x))</t>
  </si>
  <si>
    <t>ln(x)</t>
  </si>
  <si>
    <t>sum(x)</t>
  </si>
  <si>
    <t>delta alpha</t>
  </si>
  <si>
    <t>score eqn</t>
  </si>
  <si>
    <t>trigamma</t>
  </si>
  <si>
    <t>digamma(alpha + da)</t>
  </si>
  <si>
    <t>digamma(alpha - da)</t>
  </si>
  <si>
    <t>digamma(alpha)</t>
  </si>
  <si>
    <t>... used in CI calcs</t>
  </si>
  <si>
    <t>Exponential bins (based on MLE)</t>
  </si>
  <si>
    <t>Histogram bins</t>
  </si>
  <si>
    <t>testing gamma MLE</t>
  </si>
  <si>
    <t>testing gamma MOP</t>
  </si>
  <si>
    <t>Exponential bins (based on MOP)</t>
  </si>
  <si>
    <t>testing exponential MLE</t>
  </si>
  <si>
    <t>testing exponential MOP</t>
  </si>
  <si>
    <t>Gamma bins (based on MLE)</t>
  </si>
  <si>
    <t>testing gamma MOM</t>
  </si>
  <si>
    <t>sigma squared</t>
  </si>
  <si>
    <t>EXPONENTIAL</t>
  </si>
  <si>
    <t>GAMMA</t>
  </si>
  <si>
    <t>LOG-NORMAL</t>
  </si>
  <si>
    <t>WEIBULL</t>
  </si>
  <si>
    <t>testing lognormal MLE</t>
  </si>
  <si>
    <t>testing lognormal MOP</t>
  </si>
  <si>
    <t>testing lognormal MOM</t>
  </si>
  <si>
    <t>ln(x)^2</t>
  </si>
  <si>
    <t>sum(ln(x)^2)</t>
  </si>
  <si>
    <t>Lognormal bins (based on MLE)</t>
  </si>
  <si>
    <t>gamma</t>
  </si>
  <si>
    <t>testing weibull MLE</t>
  </si>
  <si>
    <t>testing weibull MOP</t>
  </si>
  <si>
    <t>testing weibull MOM</t>
  </si>
  <si>
    <t>Weibull bins (based on MLE)</t>
  </si>
  <si>
    <t>theoretical</t>
  </si>
  <si>
    <t>first moment</t>
  </si>
  <si>
    <t>second moment</t>
  </si>
  <si>
    <t>empirical</t>
  </si>
  <si>
    <t>difference</t>
  </si>
  <si>
    <t>Calculating MOM estimates</t>
  </si>
  <si>
    <t>Calculating MOP estimates</t>
  </si>
  <si>
    <t>xp</t>
  </si>
  <si>
    <t>Calculating MLE estimates</t>
  </si>
  <si>
    <t>Use solver - set H4=0, by changing D3:D4,</t>
  </si>
  <si>
    <t>subject to constraint: I4=0</t>
  </si>
  <si>
    <t>Use solver - set L4=0, by changing E3</t>
  </si>
  <si>
    <t>Use solver - set J3=0, by changing C3:C4,</t>
  </si>
  <si>
    <t>subject to constraint: J4=0</t>
  </si>
  <si>
    <t>LOGNORMAL</t>
  </si>
  <si>
    <t>x</t>
  </si>
  <si>
    <t>x^gamma</t>
  </si>
  <si>
    <t>2nd score eqn</t>
  </si>
  <si>
    <t>1st score eqn</t>
  </si>
  <si>
    <t>(x^gamma) * ln(x)</t>
  </si>
  <si>
    <t>subject to constraint: M3=0</t>
  </si>
  <si>
    <t>Use solver - set M2=0, by changing E3:E4,</t>
  </si>
  <si>
    <t>PARETO</t>
  </si>
  <si>
    <t>delta</t>
  </si>
  <si>
    <t>xp1</t>
  </si>
  <si>
    <t>xp2</t>
  </si>
  <si>
    <t>Use solver - set J3=0, by changing D3:D4,</t>
  </si>
  <si>
    <t>ln(x+delta)</t>
  </si>
  <si>
    <t>1/(x+delta)</t>
  </si>
  <si>
    <t>testing pareto MLE</t>
  </si>
  <si>
    <t>testing pareto MOP</t>
  </si>
  <si>
    <t>testing pareto MOM</t>
  </si>
  <si>
    <t>Pareto bins (based on MLE)</t>
  </si>
  <si>
    <t>Observed data</t>
  </si>
  <si>
    <t>NEGATIVE BINOMIAL</t>
  </si>
  <si>
    <t>lambda</t>
  </si>
  <si>
    <t>POISSON</t>
  </si>
  <si>
    <t>E(n)</t>
  </si>
  <si>
    <t>E(n^2)</t>
  </si>
  <si>
    <t>digamma(alpha+ni)</t>
  </si>
  <si>
    <t>sum</t>
  </si>
  <si>
    <t>Use solver - set I2=0, by changing D3:D4,</t>
  </si>
  <si>
    <t>subject to constraint: I3=0</t>
  </si>
  <si>
    <t>testing poisson MLE (or MOM)</t>
  </si>
  <si>
    <t>testing negative binomial MOM</t>
  </si>
  <si>
    <t>(could repeat with MLE estimates)</t>
  </si>
  <si>
    <t>Calculating MLE estimates (for negative binomial)</t>
  </si>
  <si>
    <t>(highlight entries I3 to I13 and click: ctrl-shift-enter to read in as array)</t>
  </si>
</sst>
</file>

<file path=xl/styles.xml><?xml version="1.0" encoding="utf-8"?>
<styleSheet xmlns="http://schemas.openxmlformats.org/spreadsheetml/2006/main">
  <numFmts count="8">
    <numFmt numFmtId="43" formatCode="_-* #,##0.00_-;\-* #,##0.00_-;_-* &quot;-&quot;??_-;_-@_-"/>
    <numFmt numFmtId="164" formatCode="0.0000"/>
    <numFmt numFmtId="165" formatCode="0.000"/>
    <numFmt numFmtId="166" formatCode="0.00000"/>
    <numFmt numFmtId="167" formatCode="_-* #,##0.000_-;\-* #,##0.000_-;_-* &quot;-&quot;??_-;_-@_-"/>
    <numFmt numFmtId="168" formatCode="_-* #,##0_-;\-* #,##0_-;_-* &quot;-&quot;??_-;_-@_-"/>
    <numFmt numFmtId="169" formatCode="_-* #,##0.0000_-;\-* #,##0.0000_-;_-* &quot;-&quot;??_-;_-@_-"/>
    <numFmt numFmtId="170" formatCode="0.00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7" fontId="0" fillId="0" borderId="0" xfId="1" applyNumberFormat="1" applyFont="1"/>
    <xf numFmtId="2" fontId="2" fillId="0" borderId="0" xfId="0" applyNumberFormat="1" applyFont="1"/>
    <xf numFmtId="9" fontId="0" fillId="0" borderId="0" xfId="0" applyNumberFormat="1"/>
    <xf numFmtId="168" fontId="0" fillId="0" borderId="0" xfId="1" applyNumberFormat="1" applyFont="1"/>
    <xf numFmtId="2" fontId="0" fillId="0" borderId="0" xfId="0" applyNumberFormat="1" applyFill="1"/>
    <xf numFmtId="43" fontId="0" fillId="0" borderId="0" xfId="0" applyNumberFormat="1"/>
    <xf numFmtId="0" fontId="3" fillId="0" borderId="0" xfId="0" applyFont="1" applyFill="1"/>
    <xf numFmtId="0" fontId="0" fillId="0" borderId="0" xfId="0" applyFill="1"/>
    <xf numFmtId="43" fontId="0" fillId="0" borderId="0" xfId="1" applyNumberFormat="1" applyFont="1"/>
    <xf numFmtId="0" fontId="0" fillId="6" borderId="0" xfId="0" applyFill="1"/>
    <xf numFmtId="166" fontId="0" fillId="0" borderId="0" xfId="0" applyNumberFormat="1"/>
    <xf numFmtId="170" fontId="0" fillId="0" borderId="0" xfId="0" applyNumberFormat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0" borderId="3" xfId="0" applyFill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5" xfId="0" applyNumberFormat="1" applyFill="1" applyBorder="1"/>
    <xf numFmtId="0" fontId="0" fillId="0" borderId="7" xfId="0" applyBorder="1"/>
    <xf numFmtId="165" fontId="0" fillId="0" borderId="5" xfId="0" applyNumberFormat="1" applyBorder="1"/>
    <xf numFmtId="43" fontId="0" fillId="0" borderId="8" xfId="1" applyNumberFormat="1" applyFont="1" applyBorder="1"/>
    <xf numFmtId="0" fontId="0" fillId="0" borderId="2" xfId="0" applyFill="1" applyBorder="1"/>
    <xf numFmtId="0" fontId="0" fillId="0" borderId="0" xfId="0" applyBorder="1"/>
    <xf numFmtId="1" fontId="0" fillId="0" borderId="0" xfId="0" applyNumberFormat="1" applyBorder="1"/>
    <xf numFmtId="1" fontId="0" fillId="0" borderId="7" xfId="0" applyNumberFormat="1" applyBorder="1"/>
    <xf numFmtId="2" fontId="0" fillId="0" borderId="8" xfId="0" applyNumberFormat="1" applyBorder="1"/>
    <xf numFmtId="0" fontId="3" fillId="4" borderId="1" xfId="0" applyFont="1" applyFill="1" applyBorder="1"/>
    <xf numFmtId="0" fontId="3" fillId="3" borderId="3" xfId="0" applyFont="1" applyFill="1" applyBorder="1"/>
    <xf numFmtId="0" fontId="0" fillId="0" borderId="1" xfId="0" applyBorder="1"/>
    <xf numFmtId="0" fontId="3" fillId="3" borderId="2" xfId="0" applyFont="1" applyFill="1" applyBorder="1"/>
    <xf numFmtId="0" fontId="3" fillId="5" borderId="3" xfId="0" applyFont="1" applyFill="1" applyBorder="1"/>
    <xf numFmtId="164" fontId="0" fillId="0" borderId="5" xfId="0" applyNumberFormat="1" applyBorder="1"/>
    <xf numFmtId="0" fontId="0" fillId="0" borderId="0" xfId="0" applyFill="1" applyBorder="1"/>
    <xf numFmtId="2" fontId="0" fillId="0" borderId="7" xfId="0" applyNumberFormat="1" applyBorder="1"/>
    <xf numFmtId="0" fontId="4" fillId="0" borderId="0" xfId="0" applyFont="1" applyBorder="1"/>
    <xf numFmtId="0" fontId="4" fillId="0" borderId="0" xfId="0" applyFont="1" applyFill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2" fontId="0" fillId="0" borderId="6" xfId="0" applyNumberFormat="1" applyBorder="1"/>
    <xf numFmtId="43" fontId="0" fillId="0" borderId="5" xfId="1" applyFont="1" applyBorder="1"/>
    <xf numFmtId="43" fontId="0" fillId="0" borderId="8" xfId="1" applyFont="1" applyBorder="1"/>
    <xf numFmtId="169" fontId="0" fillId="0" borderId="8" xfId="1" applyNumberFormat="1" applyFont="1" applyBorder="1"/>
    <xf numFmtId="1" fontId="0" fillId="0" borderId="0" xfId="0" applyNumberFormat="1" applyAlignment="1">
      <alignment horizontal="right"/>
    </xf>
    <xf numFmtId="0" fontId="3" fillId="4" borderId="9" xfId="0" applyFont="1" applyFill="1" applyBorder="1"/>
    <xf numFmtId="0" fontId="0" fillId="0" borderId="10" xfId="0" applyBorder="1"/>
    <xf numFmtId="164" fontId="0" fillId="0" borderId="6" xfId="0" applyNumberFormat="1" applyBorder="1"/>
    <xf numFmtId="164" fontId="0" fillId="0" borderId="8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36767744"/>
        <c:axId val="136904704"/>
      </c:barChart>
      <c:catAx>
        <c:axId val="136767744"/>
        <c:scaling>
          <c:orientation val="minMax"/>
        </c:scaling>
        <c:axPos val="b"/>
        <c:numFmt formatCode="General" sourceLinked="1"/>
        <c:majorTickMark val="none"/>
        <c:tickLblPos val="nextTo"/>
        <c:crossAx val="136904704"/>
        <c:crosses val="autoZero"/>
        <c:auto val="1"/>
        <c:lblAlgn val="ctr"/>
        <c:lblOffset val="100"/>
      </c:catAx>
      <c:valAx>
        <c:axId val="136904704"/>
        <c:scaling>
          <c:orientation val="minMax"/>
        </c:scaling>
        <c:axPos val="l"/>
        <c:majorGridlines/>
        <c:numFmt formatCode="0.000" sourceLinked="1"/>
        <c:majorTickMark val="none"/>
        <c:tickLblPos val="nextTo"/>
        <c:crossAx val="13676774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lineChart>
        <c:grouping val="standard"/>
        <c:ser>
          <c:idx val="0"/>
          <c:order val="0"/>
          <c:tx>
            <c:v>Exponential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Distributions!$B$9:$B$108</c:f>
              <c:numCache>
                <c:formatCode>0.0000</c:formatCode>
                <c:ptCount val="100"/>
                <c:pt idx="0">
                  <c:v>3.2893524429279508E-2</c:v>
                </c:pt>
                <c:pt idx="1">
                  <c:v>3.1811540479899758E-2</c:v>
                </c:pt>
                <c:pt idx="2">
                  <c:v>3.0765146795991294E-2</c:v>
                </c:pt>
                <c:pt idx="3">
                  <c:v>2.9753172688286922E-2</c:v>
                </c:pt>
                <c:pt idx="4">
                  <c:v>2.8774485975616271E-2</c:v>
                </c:pt>
                <c:pt idx="5">
                  <c:v>2.7827991718237355E-2</c:v>
                </c:pt>
                <c:pt idx="6">
                  <c:v>2.6912630992835584E-2</c:v>
                </c:pt>
                <c:pt idx="7">
                  <c:v>2.6027379707816767E-2</c:v>
                </c:pt>
                <c:pt idx="8">
                  <c:v>2.5171247457567492E-2</c:v>
                </c:pt>
                <c:pt idx="9">
                  <c:v>2.4343276414406478E-2</c:v>
                </c:pt>
                <c:pt idx="10">
                  <c:v>2.3542540256980549E-2</c:v>
                </c:pt>
                <c:pt idx="11">
                  <c:v>2.276814313391029E-2</c:v>
                </c:pt>
                <c:pt idx="12">
                  <c:v>2.2019218661525675E-2</c:v>
                </c:pt>
                <c:pt idx="13">
                  <c:v>2.1294928954569081E-2</c:v>
                </c:pt>
                <c:pt idx="14">
                  <c:v>2.0594463688782261E-2</c:v>
                </c:pt>
                <c:pt idx="15">
                  <c:v>1.9917039194327302E-2</c:v>
                </c:pt>
                <c:pt idx="16">
                  <c:v>1.9261897579029852E-2</c:v>
                </c:pt>
                <c:pt idx="17">
                  <c:v>1.8628305880459717E-2</c:v>
                </c:pt>
                <c:pt idx="18">
                  <c:v>1.8015555245904813E-2</c:v>
                </c:pt>
                <c:pt idx="19">
                  <c:v>1.7422960139316546E-2</c:v>
                </c:pt>
                <c:pt idx="20">
                  <c:v>1.6849857574343652E-2</c:v>
                </c:pt>
                <c:pt idx="21">
                  <c:v>1.6295606372591864E-2</c:v>
                </c:pt>
                <c:pt idx="22">
                  <c:v>1.575958644628539E-2</c:v>
                </c:pt>
                <c:pt idx="23">
                  <c:v>1.524119810451896E-2</c:v>
                </c:pt>
                <c:pt idx="24">
                  <c:v>1.4739861382336517E-2</c:v>
                </c:pt>
                <c:pt idx="25">
                  <c:v>1.4255015391872572E-2</c:v>
                </c:pt>
                <c:pt idx="26">
                  <c:v>1.3786117694840061E-2</c:v>
                </c:pt>
                <c:pt idx="27">
                  <c:v>1.3332643695660007E-2</c:v>
                </c:pt>
                <c:pt idx="28">
                  <c:v>1.2894086054549891E-2</c:v>
                </c:pt>
                <c:pt idx="29">
                  <c:v>1.2469954119921467E-2</c:v>
                </c:pt>
                <c:pt idx="30">
                  <c:v>1.2059773379445637E-2</c:v>
                </c:pt>
                <c:pt idx="31">
                  <c:v>1.1663084929177336E-2</c:v>
                </c:pt>
                <c:pt idx="32">
                  <c:v>1.1279444960138663E-2</c:v>
                </c:pt>
                <c:pt idx="33">
                  <c:v>1.0908424261793725E-2</c:v>
                </c:pt>
                <c:pt idx="34">
                  <c:v>1.0549607741853428E-2</c:v>
                </c:pt>
                <c:pt idx="35">
                  <c:v>1.0202593961877393E-2</c:v>
                </c:pt>
                <c:pt idx="36">
                  <c:v>9.8669946881504433E-3</c:v>
                </c:pt>
                <c:pt idx="37">
                  <c:v>9.5424344573322717E-3</c:v>
                </c:pt>
                <c:pt idx="38">
                  <c:v>9.2285501563950101E-3</c:v>
                </c:pt>
                <c:pt idx="39">
                  <c:v>8.9249906163789694E-3</c:v>
                </c:pt>
                <c:pt idx="40">
                  <c:v>8.6314162195079147E-3</c:v>
                </c:pt>
                <c:pt idx="41">
                  <c:v>8.3474985192323325E-3</c:v>
                </c:pt>
                <c:pt idx="42">
                  <c:v>8.0729198727664819E-3</c:v>
                </c:pt>
                <c:pt idx="43">
                  <c:v>7.8073730857159962E-3</c:v>
                </c:pt>
                <c:pt idx="44">
                  <c:v>7.5505610683925806E-3</c:v>
                </c:pt>
                <c:pt idx="45">
                  <c:v>7.3021965034346659E-3</c:v>
                </c:pt>
                <c:pt idx="46">
                  <c:v>7.0620015243615386E-3</c:v>
                </c:pt>
                <c:pt idx="47">
                  <c:v>6.829707404700347E-3</c:v>
                </c:pt>
                <c:pt idx="48">
                  <c:v>6.605054257338927E-3</c:v>
                </c:pt>
                <c:pt idx="49">
                  <c:v>6.3877907437684955E-3</c:v>
                </c:pt>
                <c:pt idx="50">
                  <c:v>6.1776737928892489E-3</c:v>
                </c:pt>
                <c:pt idx="51">
                  <c:v>5.9744683290666734E-3</c:v>
                </c:pt>
                <c:pt idx="52">
                  <c:v>5.7779470091325891E-3</c:v>
                </c:pt>
                <c:pt idx="53">
                  <c:v>5.5878899680366079E-3</c:v>
                </c:pt>
                <c:pt idx="54">
                  <c:v>5.4040845728647868E-3</c:v>
                </c:pt>
                <c:pt idx="55">
                  <c:v>5.2263251849494763E-3</c:v>
                </c:pt>
                <c:pt idx="56">
                  <c:v>5.0544129298029095E-3</c:v>
                </c:pt>
                <c:pt idx="57">
                  <c:v>4.8881554746208478E-3</c:v>
                </c:pt>
                <c:pt idx="58">
                  <c:v>4.7273668131022628E-3</c:v>
                </c:pt>
                <c:pt idx="59">
                  <c:v>4.5718670573492437E-3</c:v>
                </c:pt>
                <c:pt idx="60">
                  <c:v>4.4214822366109852E-3</c:v>
                </c:pt>
                <c:pt idx="61">
                  <c:v>4.2760441026473694E-3</c:v>
                </c:pt>
                <c:pt idx="62">
                  <c:v>4.1353899414962036E-3</c:v>
                </c:pt>
                <c:pt idx="63">
                  <c:v>3.9993623914311716E-3</c:v>
                </c:pt>
                <c:pt idx="64">
                  <c:v>3.8678092669068853E-3</c:v>
                </c:pt>
                <c:pt idx="65">
                  <c:v>3.7405833882981909E-3</c:v>
                </c:pt>
                <c:pt idx="66">
                  <c:v>3.617542417235553E-3</c:v>
                </c:pt>
                <c:pt idx="67">
                  <c:v>3.4985486973601043E-3</c:v>
                </c:pt>
                <c:pt idx="68">
                  <c:v>3.3834691003165052E-3</c:v>
                </c:pt>
                <c:pt idx="69">
                  <c:v>3.2721748768095305E-3</c:v>
                </c:pt>
                <c:pt idx="70">
                  <c:v>3.1645415125624021E-3</c:v>
                </c:pt>
                <c:pt idx="71">
                  <c:v>3.0604485890113331E-3</c:v>
                </c:pt>
                <c:pt idx="72">
                  <c:v>2.9597796485841821E-3</c:v>
                </c:pt>
                <c:pt idx="73">
                  <c:v>2.8624220644082321E-3</c:v>
                </c:pt>
                <c:pt idx="74">
                  <c:v>2.7682669143056504E-3</c:v>
                </c:pt>
                <c:pt idx="75">
                  <c:v>2.6772088589332999E-3</c:v>
                </c:pt>
                <c:pt idx="76">
                  <c:v>2.5891460239295672E-3</c:v>
                </c:pt>
                <c:pt idx="77">
                  <c:v>2.5039798859405327E-3</c:v>
                </c:pt>
                <c:pt idx="78">
                  <c:v>2.4216151623918103E-3</c:v>
                </c:pt>
                <c:pt idx="79">
                  <c:v>2.3419597048894847E-3</c:v>
                </c:pt>
                <c:pt idx="80">
                  <c:v>2.264924396124246E-3</c:v>
                </c:pt>
                <c:pt idx="81">
                  <c:v>2.1904230501699207E-3</c:v>
                </c:pt>
                <c:pt idx="82">
                  <c:v>2.1183723160587142E-3</c:v>
                </c:pt>
                <c:pt idx="83">
                  <c:v>2.0486915845300269E-3</c:v>
                </c:pt>
                <c:pt idx="84">
                  <c:v>1.9813028978462599E-3</c:v>
                </c:pt>
                <c:pt idx="85">
                  <c:v>1.9161308625741391E-3</c:v>
                </c:pt>
                <c:pt idx="86">
                  <c:v>1.8531025652364086E-3</c:v>
                </c:pt>
                <c:pt idx="87">
                  <c:v>1.7921474907368617E-3</c:v>
                </c:pt>
                <c:pt idx="88">
                  <c:v>1.7331974434694475E-3</c:v>
                </c:pt>
                <c:pt idx="89">
                  <c:v>1.6761864710218566E-3</c:v>
                </c:pt>
                <c:pt idx="90">
                  <c:v>1.6210507903893223E-3</c:v>
                </c:pt>
                <c:pt idx="91">
                  <c:v>1.5677287166144804E-3</c:v>
                </c:pt>
                <c:pt idx="92">
                  <c:v>1.516160593776128E-3</c:v>
                </c:pt>
                <c:pt idx="93">
                  <c:v>1.4662887282459458E-3</c:v>
                </c:pt>
                <c:pt idx="94">
                  <c:v>1.4180573241431293E-3</c:v>
                </c:pt>
                <c:pt idx="95">
                  <c:v>1.3714124209092127E-3</c:v>
                </c:pt>
                <c:pt idx="96">
                  <c:v>1.3263018329394693E-3</c:v>
                </c:pt>
                <c:pt idx="97">
                  <c:v>1.2826750911970608E-3</c:v>
                </c:pt>
                <c:pt idx="98">
                  <c:v>1.2404833867498688E-3</c:v>
                </c:pt>
                <c:pt idx="99">
                  <c:v>1.1996795161637319E-3</c:v>
                </c:pt>
              </c:numCache>
            </c:numRef>
          </c:val>
        </c:ser>
        <c:ser>
          <c:idx val="1"/>
          <c:order val="1"/>
          <c:tx>
            <c:v>Gamma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Distributions!$C$9:$C$108</c:f>
              <c:numCache>
                <c:formatCode>0.0000</c:formatCode>
                <c:ptCount val="100"/>
                <c:pt idx="0">
                  <c:v>9.8443992561335875E-2</c:v>
                </c:pt>
                <c:pt idx="1">
                  <c:v>5.2238686030417009E-2</c:v>
                </c:pt>
                <c:pt idx="2">
                  <c:v>4.1973851082664299E-2</c:v>
                </c:pt>
                <c:pt idx="3">
                  <c:v>3.6175284509715633E-2</c:v>
                </c:pt>
                <c:pt idx="4">
                  <c:v>3.22215078123754E-2</c:v>
                </c:pt>
                <c:pt idx="5">
                  <c:v>2.9259721643430325E-2</c:v>
                </c:pt>
                <c:pt idx="6">
                  <c:v>2.691090663357959E-2</c:v>
                </c:pt>
                <c:pt idx="7">
                  <c:v>2.4975571786654216E-2</c:v>
                </c:pt>
                <c:pt idx="8">
                  <c:v>2.3336644189453304E-2</c:v>
                </c:pt>
                <c:pt idx="9">
                  <c:v>2.1919920975121965E-2</c:v>
                </c:pt>
                <c:pt idx="10">
                  <c:v>2.0675625391246788E-2</c:v>
                </c:pt>
                <c:pt idx="11">
                  <c:v>1.9568825808833457E-2</c:v>
                </c:pt>
                <c:pt idx="12">
                  <c:v>1.8574127178658584E-2</c:v>
                </c:pt>
                <c:pt idx="13">
                  <c:v>1.7672518568674245E-2</c:v>
                </c:pt>
                <c:pt idx="14">
                  <c:v>1.6849416466887757E-2</c:v>
                </c:pt>
                <c:pt idx="15">
                  <c:v>1.6093408819045918E-2</c:v>
                </c:pt>
                <c:pt idx="16">
                  <c:v>1.5395367190153553E-2</c:v>
                </c:pt>
                <c:pt idx="17">
                  <c:v>1.4747938875383504E-2</c:v>
                </c:pt>
                <c:pt idx="18">
                  <c:v>1.4145067152844581E-2</c:v>
                </c:pt>
                <c:pt idx="19">
                  <c:v>1.3581725812638279E-2</c:v>
                </c:pt>
                <c:pt idx="20">
                  <c:v>1.3053694905476365E-2</c:v>
                </c:pt>
                <c:pt idx="21">
                  <c:v>1.2557397267048631E-2</c:v>
                </c:pt>
                <c:pt idx="22">
                  <c:v>1.2089774276656473E-2</c:v>
                </c:pt>
                <c:pt idx="23">
                  <c:v>1.1648190119720403E-2</c:v>
                </c:pt>
                <c:pt idx="24">
                  <c:v>1.1230371176593645E-2</c:v>
                </c:pt>
                <c:pt idx="25">
                  <c:v>1.0834281876786034E-2</c:v>
                </c:pt>
                <c:pt idx="26">
                  <c:v>1.0458199167147408E-2</c:v>
                </c:pt>
                <c:pt idx="27">
                  <c:v>1.0100560852962626E-2</c:v>
                </c:pt>
                <c:pt idx="28">
                  <c:v>9.7599884063278575E-3</c:v>
                </c:pt>
                <c:pt idx="29">
                  <c:v>9.4349967046080119E-3</c:v>
                </c:pt>
                <c:pt idx="30">
                  <c:v>9.1253091219778426E-3</c:v>
                </c:pt>
                <c:pt idx="31">
                  <c:v>8.8289718052805277E-3</c:v>
                </c:pt>
                <c:pt idx="32">
                  <c:v>8.5456173492488574E-3</c:v>
                </c:pt>
                <c:pt idx="33">
                  <c:v>8.2741664182961472E-3</c:v>
                </c:pt>
                <c:pt idx="34">
                  <c:v>8.0141327848840538E-3</c:v>
                </c:pt>
                <c:pt idx="35">
                  <c:v>7.764599889829582E-3</c:v>
                </c:pt>
                <c:pt idx="36">
                  <c:v>7.5251854035185417E-3</c:v>
                </c:pt>
                <c:pt idx="37">
                  <c:v>7.2950937579205899E-3</c:v>
                </c:pt>
                <c:pt idx="38">
                  <c:v>7.0740312110062487E-3</c:v>
                </c:pt>
                <c:pt idx="39">
                  <c:v>6.8613433840172267E-3</c:v>
                </c:pt>
                <c:pt idx="40">
                  <c:v>6.6566058332546696E-3</c:v>
                </c:pt>
                <c:pt idx="41">
                  <c:v>6.4595443970107969E-3</c:v>
                </c:pt>
                <c:pt idx="42">
                  <c:v>6.2696315715566886E-3</c:v>
                </c:pt>
                <c:pt idx="43">
                  <c:v>6.0865260718532266E-3</c:v>
                </c:pt>
                <c:pt idx="44">
                  <c:v>5.910019940356448E-3</c:v>
                </c:pt>
                <c:pt idx="45">
                  <c:v>5.7396745740303512E-3</c:v>
                </c:pt>
                <c:pt idx="46">
                  <c:v>5.5752111117167713E-3</c:v>
                </c:pt>
                <c:pt idx="47">
                  <c:v>5.4164760333825779E-3</c:v>
                </c:pt>
                <c:pt idx="48">
                  <c:v>5.2630929825909778E-3</c:v>
                </c:pt>
                <c:pt idx="49">
                  <c:v>5.1148680054564633E-3</c:v>
                </c:pt>
                <c:pt idx="50">
                  <c:v>4.9715457725034717E-3</c:v>
                </c:pt>
                <c:pt idx="51">
                  <c:v>4.8330158250471378E-3</c:v>
                </c:pt>
                <c:pt idx="52">
                  <c:v>4.6989743955131447E-3</c:v>
                </c:pt>
                <c:pt idx="53">
                  <c:v>4.5692715172219733E-3</c:v>
                </c:pt>
                <c:pt idx="54">
                  <c:v>4.4437302633728581E-3</c:v>
                </c:pt>
                <c:pt idx="55">
                  <c:v>4.3221577793911559E-3</c:v>
                </c:pt>
                <c:pt idx="56">
                  <c:v>4.2044756301318209E-3</c:v>
                </c:pt>
                <c:pt idx="57">
                  <c:v>4.0904496369960075E-3</c:v>
                </c:pt>
                <c:pt idx="58">
                  <c:v>3.9799669057639653E-3</c:v>
                </c:pt>
                <c:pt idx="59">
                  <c:v>3.8728921461653742E-3</c:v>
                </c:pt>
                <c:pt idx="60">
                  <c:v>3.7690742334508531E-3</c:v>
                </c:pt>
                <c:pt idx="61">
                  <c:v>3.6684614081380351E-3</c:v>
                </c:pt>
                <c:pt idx="62">
                  <c:v>3.5708634494638902E-3</c:v>
                </c:pt>
                <c:pt idx="63">
                  <c:v>3.4761953292391512E-3</c:v>
                </c:pt>
                <c:pt idx="64">
                  <c:v>3.3843513085778376E-3</c:v>
                </c:pt>
                <c:pt idx="65">
                  <c:v>3.295230509250624E-3</c:v>
                </c:pt>
                <c:pt idx="66">
                  <c:v>3.2087173394429458E-3</c:v>
                </c:pt>
                <c:pt idx="67">
                  <c:v>3.1247799436059376E-3</c:v>
                </c:pt>
                <c:pt idx="68">
                  <c:v>3.0432676482576859E-3</c:v>
                </c:pt>
                <c:pt idx="69">
                  <c:v>2.9641182319454229E-3</c:v>
                </c:pt>
                <c:pt idx="70">
                  <c:v>2.8872511799176159E-3</c:v>
                </c:pt>
                <c:pt idx="71">
                  <c:v>2.812589391641418E-3</c:v>
                </c:pt>
                <c:pt idx="72">
                  <c:v>2.740058995796768E-3</c:v>
                </c:pt>
                <c:pt idx="73">
                  <c:v>2.6695891778600878E-3</c:v>
                </c:pt>
                <c:pt idx="74">
                  <c:v>2.6010974213567239E-3</c:v>
                </c:pt>
                <c:pt idx="75">
                  <c:v>2.5345639432559075E-3</c:v>
                </c:pt>
                <c:pt idx="76">
                  <c:v>2.469879007264586E-3</c:v>
                </c:pt>
                <c:pt idx="77">
                  <c:v>2.4069989179670293E-3</c:v>
                </c:pt>
                <c:pt idx="78">
                  <c:v>2.3458659293339457E-3</c:v>
                </c:pt>
                <c:pt idx="79">
                  <c:v>2.2864245308080733E-3</c:v>
                </c:pt>
                <c:pt idx="80">
                  <c:v>2.2286213388617027E-3</c:v>
                </c:pt>
                <c:pt idx="81">
                  <c:v>2.1724049951232782E-3</c:v>
                </c:pt>
                <c:pt idx="82">
                  <c:v>2.1177260705961265E-3</c:v>
                </c:pt>
                <c:pt idx="83">
                  <c:v>2.0645369755245557E-3</c:v>
                </c:pt>
                <c:pt idx="84">
                  <c:v>2.0127815169458385E-3</c:v>
                </c:pt>
                <c:pt idx="85">
                  <c:v>1.9624476395624368E-3</c:v>
                </c:pt>
                <c:pt idx="86">
                  <c:v>1.9134595346208538E-3</c:v>
                </c:pt>
                <c:pt idx="87">
                  <c:v>1.8657876775867166E-3</c:v>
                </c:pt>
                <c:pt idx="88">
                  <c:v>1.8193924928133764E-3</c:v>
                </c:pt>
                <c:pt idx="89">
                  <c:v>1.7742358014589676E-3</c:v>
                </c:pt>
                <c:pt idx="90">
                  <c:v>1.7302807612540327E-3</c:v>
                </c:pt>
                <c:pt idx="91">
                  <c:v>1.6874918094793578E-3</c:v>
                </c:pt>
                <c:pt idx="92">
                  <c:v>1.6458346089445186E-3</c:v>
                </c:pt>
                <c:pt idx="93">
                  <c:v>1.605275996777622E-3</c:v>
                </c:pt>
                <c:pt idx="94">
                  <c:v>1.5657839358476089E-3</c:v>
                </c:pt>
                <c:pt idx="95">
                  <c:v>1.5273274686560256E-3</c:v>
                </c:pt>
                <c:pt idx="96">
                  <c:v>1.4898694058351758E-3</c:v>
                </c:pt>
                <c:pt idx="97">
                  <c:v>1.4534032802956398E-3</c:v>
                </c:pt>
                <c:pt idx="98">
                  <c:v>1.4178779396615271E-3</c:v>
                </c:pt>
                <c:pt idx="99">
                  <c:v>1.3832743212472964E-3</c:v>
                </c:pt>
              </c:numCache>
            </c:numRef>
          </c:val>
        </c:ser>
        <c:ser>
          <c:idx val="2"/>
          <c:order val="2"/>
          <c:tx>
            <c:v>Lognormal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Distributions!$D$9:$D$108</c:f>
              <c:numCache>
                <c:formatCode>0.0000</c:formatCode>
                <c:ptCount val="100"/>
                <c:pt idx="0">
                  <c:v>4.2042637703687102E-2</c:v>
                </c:pt>
                <c:pt idx="1">
                  <c:v>6.6947513885130872E-2</c:v>
                </c:pt>
                <c:pt idx="2">
                  <c:v>6.4095250184137753E-2</c:v>
                </c:pt>
                <c:pt idx="3">
                  <c:v>5.7666180151377033E-2</c:v>
                </c:pt>
                <c:pt idx="4">
                  <c:v>5.1270542122793805E-2</c:v>
                </c:pt>
                <c:pt idx="5">
                  <c:v>4.5595876500992505E-2</c:v>
                </c:pt>
                <c:pt idx="6">
                  <c:v>4.0706111993739746E-2</c:v>
                </c:pt>
                <c:pt idx="7">
                  <c:v>3.6518769741772261E-2</c:v>
                </c:pt>
                <c:pt idx="8">
                  <c:v>3.2926774787015889E-2</c:v>
                </c:pt>
                <c:pt idx="9">
                  <c:v>2.9831082242553708E-2</c:v>
                </c:pt>
                <c:pt idx="10">
                  <c:v>2.7147918168046736E-2</c:v>
                </c:pt>
                <c:pt idx="11">
                  <c:v>2.4808566685953215E-2</c:v>
                </c:pt>
                <c:pt idx="12">
                  <c:v>2.2757206390212281E-2</c:v>
                </c:pt>
                <c:pt idx="13">
                  <c:v>2.0948525725932088E-2</c:v>
                </c:pt>
                <c:pt idx="14">
                  <c:v>1.9345622316523037E-2</c:v>
                </c:pt>
                <c:pt idx="15">
                  <c:v>1.791828550192287E-2</c:v>
                </c:pt>
                <c:pt idx="16">
                  <c:v>1.664163331150037E-2</c:v>
                </c:pt>
                <c:pt idx="17">
                  <c:v>1.5495042971124362E-2</c:v>
                </c:pt>
                <c:pt idx="18">
                  <c:v>1.4461314006585901E-2</c:v>
                </c:pt>
                <c:pt idx="19">
                  <c:v>1.3526012241815266E-2</c:v>
                </c:pt>
                <c:pt idx="20">
                  <c:v>1.2676953515233014E-2</c:v>
                </c:pt>
                <c:pt idx="21">
                  <c:v>1.190379521842766E-2</c:v>
                </c:pt>
                <c:pt idx="22">
                  <c:v>1.1197711243915887E-2</c:v>
                </c:pt>
                <c:pt idx="23">
                  <c:v>1.0551131729242824E-2</c:v>
                </c:pt>
                <c:pt idx="24">
                  <c:v>9.9575334007200311E-3</c:v>
                </c:pt>
                <c:pt idx="25">
                  <c:v>9.4112696567489884E-3</c:v>
                </c:pt>
                <c:pt idx="26">
                  <c:v>8.9074320470174939E-3</c:v>
                </c:pt>
                <c:pt idx="27">
                  <c:v>8.441736704115077E-3</c:v>
                </c:pt>
                <c:pt idx="28">
                  <c:v>8.0104307238583194E-3</c:v>
                </c:pt>
                <c:pt idx="29">
                  <c:v>7.6102145862533277E-3</c:v>
                </c:pt>
                <c:pt idx="30">
                  <c:v>7.2381775470056198E-3</c:v>
                </c:pt>
                <c:pt idx="31">
                  <c:v>6.8917435739177524E-3</c:v>
                </c:pt>
                <c:pt idx="32">
                  <c:v>6.5686259008421732E-3</c:v>
                </c:pt>
                <c:pt idx="33">
                  <c:v>6.2667886593932298E-3</c:v>
                </c:pt>
                <c:pt idx="34">
                  <c:v>5.9844143516509796E-3</c:v>
                </c:pt>
                <c:pt idx="35">
                  <c:v>5.7198761654198016E-3</c:v>
                </c:pt>
                <c:pt idx="36">
                  <c:v>5.4717143219368269E-3</c:v>
                </c:pt>
                <c:pt idx="37">
                  <c:v>5.2386157956497703E-3</c:v>
                </c:pt>
                <c:pt idx="38">
                  <c:v>5.0193968652241239E-3</c:v>
                </c:pt>
                <c:pt idx="39">
                  <c:v>4.8129880509021339E-3</c:v>
                </c:pt>
                <c:pt idx="40">
                  <c:v>4.6184210707037598E-3</c:v>
                </c:pt>
                <c:pt idx="41">
                  <c:v>4.4348175106569965E-3</c:v>
                </c:pt>
                <c:pt idx="42">
                  <c:v>4.2613789552137238E-3</c:v>
                </c:pt>
                <c:pt idx="43">
                  <c:v>4.0973783657145546E-3</c:v>
                </c:pt>
                <c:pt idx="44">
                  <c:v>3.9421525289078385E-3</c:v>
                </c:pt>
                <c:pt idx="45">
                  <c:v>3.7950954257293112E-3</c:v>
                </c:pt>
                <c:pt idx="46">
                  <c:v>3.6556523937860685E-3</c:v>
                </c:pt>
                <c:pt idx="47">
                  <c:v>3.5233149763440608E-3</c:v>
                </c:pt>
                <c:pt idx="48">
                  <c:v>3.3976163666628034E-3</c:v>
                </c:pt>
                <c:pt idx="49">
                  <c:v>3.278127370006545E-3</c:v>
                </c:pt>
                <c:pt idx="50">
                  <c:v>3.1644528168791597E-3</c:v>
                </c:pt>
                <c:pt idx="51">
                  <c:v>3.0562283705467541E-3</c:v>
                </c:pt>
                <c:pt idx="52">
                  <c:v>2.9531176798732739E-3</c:v>
                </c:pt>
                <c:pt idx="53">
                  <c:v>2.8548098352729756E-3</c:v>
                </c:pt>
                <c:pt idx="54">
                  <c:v>2.7610170913113796E-3</c:v>
                </c:pt>
                <c:pt idx="55">
                  <c:v>2.6714728243704133E-3</c:v>
                </c:pt>
                <c:pt idx="56">
                  <c:v>2.5859296979497959E-3</c:v>
                </c:pt>
                <c:pt idx="57">
                  <c:v>2.5041580117473039E-3</c:v>
                </c:pt>
                <c:pt idx="58">
                  <c:v>2.4259442137013476E-3</c:v>
                </c:pt>
                <c:pt idx="59">
                  <c:v>2.3510895568086276E-3</c:v>
                </c:pt>
                <c:pt idx="60">
                  <c:v>2.2794088847937211E-3</c:v>
                </c:pt>
                <c:pt idx="61">
                  <c:v>2.2107295326454501E-3</c:v>
                </c:pt>
                <c:pt idx="62">
                  <c:v>2.1448903297338617E-3</c:v>
                </c:pt>
                <c:pt idx="63">
                  <c:v>2.081740694688361E-3</c:v>
                </c:pt>
                <c:pt idx="64">
                  <c:v>2.0211398124750923E-3</c:v>
                </c:pt>
                <c:pt idx="65">
                  <c:v>1.962955885235429E-3</c:v>
                </c:pt>
                <c:pt idx="66">
                  <c:v>1.9070654494039996E-3</c:v>
                </c:pt>
                <c:pt idx="67">
                  <c:v>1.8533527524728921E-3</c:v>
                </c:pt>
                <c:pt idx="68">
                  <c:v>1.801709183511857E-3</c:v>
                </c:pt>
                <c:pt idx="69">
                  <c:v>1.7520327521880485E-3</c:v>
                </c:pt>
                <c:pt idx="70">
                  <c:v>1.7042276116288058E-3</c:v>
                </c:pt>
                <c:pt idx="71">
                  <c:v>1.658203620933163E-3</c:v>
                </c:pt>
                <c:pt idx="72">
                  <c:v>1.6138759436246097E-3</c:v>
                </c:pt>
                <c:pt idx="73">
                  <c:v>1.5711646786841227E-3</c:v>
                </c:pt>
                <c:pt idx="74">
                  <c:v>1.5299945211894039E-3</c:v>
                </c:pt>
                <c:pt idx="75">
                  <c:v>1.4902944498594861E-3</c:v>
                </c:pt>
                <c:pt idx="76">
                  <c:v>1.451997439098629E-3</c:v>
                </c:pt>
                <c:pt idx="77">
                  <c:v>1.4150401933610279E-3</c:v>
                </c:pt>
                <c:pt idx="78">
                  <c:v>1.3793629018821196E-3</c:v>
                </c:pt>
                <c:pt idx="79">
                  <c:v>1.3449090120052354E-3</c:v>
                </c:pt>
                <c:pt idx="80">
                  <c:v>1.311625019511542E-3</c:v>
                </c:pt>
                <c:pt idx="81">
                  <c:v>1.2794602745092032E-3</c:v>
                </c:pt>
                <c:pt idx="82">
                  <c:v>1.2483668015722538E-3</c:v>
                </c:pt>
                <c:pt idx="83">
                  <c:v>1.2182991329491299E-3</c:v>
                </c:pt>
                <c:pt idx="84">
                  <c:v>1.1892141537648282E-3</c:v>
                </c:pt>
                <c:pt idx="85">
                  <c:v>1.1610709582385859E-3</c:v>
                </c:pt>
                <c:pt idx="86">
                  <c:v>1.1338307160315697E-3</c:v>
                </c:pt>
                <c:pt idx="87">
                  <c:v>1.1074565479194387E-3</c:v>
                </c:pt>
                <c:pt idx="88">
                  <c:v>1.0819134100472638E-3</c:v>
                </c:pt>
                <c:pt idx="89">
                  <c:v>1.0571679861024474E-3</c:v>
                </c:pt>
                <c:pt idx="90">
                  <c:v>1.0331885867896906E-3</c:v>
                </c:pt>
                <c:pt idx="91">
                  <c:v>1.0099450560466794E-3</c:v>
                </c:pt>
                <c:pt idx="92">
                  <c:v>9.8740868349489475E-4</c:v>
                </c:pt>
                <c:pt idx="93">
                  <c:v>9.65552122647928E-4</c:v>
                </c:pt>
                <c:pt idx="94">
                  <c:v>9.4434931445941395E-4</c:v>
                </c:pt>
                <c:pt idx="95">
                  <c:v>9.2377541580168643E-4</c:v>
                </c:pt>
                <c:pt idx="96">
                  <c:v>9.0380673253320776E-4</c:v>
                </c:pt>
                <c:pt idx="97">
                  <c:v>8.8442065680327531E-4</c:v>
                </c:pt>
                <c:pt idx="98">
                  <c:v>8.6559560830656856E-4</c:v>
                </c:pt>
                <c:pt idx="99">
                  <c:v>8.4731097919399367E-4</c:v>
                </c:pt>
              </c:numCache>
            </c:numRef>
          </c:val>
        </c:ser>
        <c:ser>
          <c:idx val="3"/>
          <c:order val="3"/>
          <c:tx>
            <c:v>Weibull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Distributions!$E$9:$E$108</c:f>
              <c:numCache>
                <c:formatCode>0.0000</c:formatCode>
                <c:ptCount val="100"/>
                <c:pt idx="0">
                  <c:v>0.10304070475651705</c:v>
                </c:pt>
                <c:pt idx="1">
                  <c:v>6.0249718357262116E-2</c:v>
                </c:pt>
                <c:pt idx="2">
                  <c:v>4.8553078794226323E-2</c:v>
                </c:pt>
                <c:pt idx="3">
                  <c:v>4.1591571102156166E-2</c:v>
                </c:pt>
                <c:pt idx="4">
                  <c:v>3.6707538611452706E-2</c:v>
                </c:pt>
                <c:pt idx="5">
                  <c:v>3.2988523102705058E-2</c:v>
                </c:pt>
                <c:pt idx="6">
                  <c:v>3.0012745469125357E-2</c:v>
                </c:pt>
                <c:pt idx="7">
                  <c:v>2.7551062493510248E-2</c:v>
                </c:pt>
                <c:pt idx="8">
                  <c:v>2.5465355713753413E-2</c:v>
                </c:pt>
                <c:pt idx="9">
                  <c:v>2.366606272643168E-2</c:v>
                </c:pt>
                <c:pt idx="10">
                  <c:v>2.209186173729627E-2</c:v>
                </c:pt>
                <c:pt idx="11">
                  <c:v>2.0698960630002428E-2</c:v>
                </c:pt>
                <c:pt idx="12">
                  <c:v>1.9455016812754189E-2</c:v>
                </c:pt>
                <c:pt idx="13">
                  <c:v>1.8335478821473239E-2</c:v>
                </c:pt>
                <c:pt idx="14">
                  <c:v>1.7321278747344682E-2</c:v>
                </c:pt>
                <c:pt idx="15">
                  <c:v>1.6397318749479917E-2</c:v>
                </c:pt>
                <c:pt idx="16">
                  <c:v>1.5551445204470271E-2</c:v>
                </c:pt>
                <c:pt idx="17">
                  <c:v>1.4773733570166203E-2</c:v>
                </c:pt>
                <c:pt idx="18">
                  <c:v>1.405597759932975E-2</c:v>
                </c:pt>
                <c:pt idx="19">
                  <c:v>1.3391316691210298E-2</c:v>
                </c:pt>
                <c:pt idx="20">
                  <c:v>1.2773958895987092E-2</c:v>
                </c:pt>
                <c:pt idx="21">
                  <c:v>1.2198971576162343E-2</c:v>
                </c:pt>
                <c:pt idx="22">
                  <c:v>1.1662120836750112E-2</c:v>
                </c:pt>
                <c:pt idx="23">
                  <c:v>1.1159746710073581E-2</c:v>
                </c:pt>
                <c:pt idx="24">
                  <c:v>1.0688664957346106E-2</c:v>
                </c:pt>
                <c:pt idx="25">
                  <c:v>1.0246088960649158E-2</c:v>
                </c:pt>
                <c:pt idx="26">
                  <c:v>9.8295669713895917E-3</c:v>
                </c:pt>
                <c:pt idx="27">
                  <c:v>9.4369312326950672E-3</c:v>
                </c:pt>
                <c:pt idx="28">
                  <c:v>9.0662563805010699E-3</c:v>
                </c:pt>
                <c:pt idx="29">
                  <c:v>8.7158251662079467E-3</c:v>
                </c:pt>
                <c:pt idx="30">
                  <c:v>8.3841000087744311E-3</c:v>
                </c:pt>
                <c:pt idx="31">
                  <c:v>8.0696992270324897E-3</c:v>
                </c:pt>
                <c:pt idx="32">
                  <c:v>7.7713770587800601E-3</c:v>
                </c:pt>
                <c:pt idx="33">
                  <c:v>7.4880067659380822E-3</c:v>
                </c:pt>
                <c:pt idx="34">
                  <c:v>7.2185662717273447E-3</c:v>
                </c:pt>
                <c:pt idx="35">
                  <c:v>6.9621258884231541E-3</c:v>
                </c:pt>
                <c:pt idx="36">
                  <c:v>6.71783778145707E-3</c:v>
                </c:pt>
                <c:pt idx="37">
                  <c:v>6.4849268836860707E-3</c:v>
                </c:pt>
                <c:pt idx="38">
                  <c:v>6.2626830271816925E-3</c:v>
                </c:pt>
                <c:pt idx="39">
                  <c:v>6.0504541022625702E-3</c:v>
                </c:pt>
                <c:pt idx="40">
                  <c:v>5.8476400872945478E-3</c:v>
                </c:pt>
                <c:pt idx="41">
                  <c:v>5.6536878198679696E-3</c:v>
                </c:pt>
                <c:pt idx="42">
                  <c:v>5.4680864018443742E-3</c:v>
                </c:pt>
                <c:pt idx="43">
                  <c:v>5.2903631485028413E-3</c:v>
                </c:pt>
                <c:pt idx="44">
                  <c:v>5.1200800064923335E-3</c:v>
                </c:pt>
                <c:pt idx="45">
                  <c:v>4.9568303771692079E-3</c:v>
                </c:pt>
                <c:pt idx="46">
                  <c:v>4.8002362916783614E-3</c:v>
                </c:pt>
                <c:pt idx="47">
                  <c:v>4.6499458922240056E-3</c:v>
                </c:pt>
                <c:pt idx="48">
                  <c:v>4.5056311807099014E-3</c:v>
                </c:pt>
                <c:pt idx="49">
                  <c:v>4.3669860015470574E-3</c:v>
                </c:pt>
                <c:pt idx="50">
                  <c:v>4.2337242301221378E-3</c:v>
                </c:pt>
                <c:pt idx="51">
                  <c:v>4.1055781423973148E-3</c:v>
                </c:pt>
                <c:pt idx="52">
                  <c:v>3.9822969444386347E-3</c:v>
                </c:pt>
                <c:pt idx="53">
                  <c:v>3.8636454435153622E-3</c:v>
                </c:pt>
                <c:pt idx="54">
                  <c:v>3.7494028448159522E-3</c:v>
                </c:pt>
                <c:pt idx="55">
                  <c:v>3.6393616598833223E-3</c:v>
                </c:pt>
                <c:pt idx="56">
                  <c:v>3.5333267146251401E-3</c:v>
                </c:pt>
                <c:pt idx="57">
                  <c:v>3.4311142462717381E-3</c:v>
                </c:pt>
                <c:pt idx="58">
                  <c:v>3.3325510799433467E-3</c:v>
                </c:pt>
                <c:pt idx="59">
                  <c:v>3.2374738766154376E-3</c:v>
                </c:pt>
                <c:pt idx="60">
                  <c:v>3.1457284452355294E-3</c:v>
                </c:pt>
                <c:pt idx="61">
                  <c:v>3.0571691125902412E-3</c:v>
                </c:pt>
                <c:pt idx="62">
                  <c:v>2.9716581452473578E-3</c:v>
                </c:pt>
                <c:pt idx="63">
                  <c:v>2.8890652185408205E-3</c:v>
                </c:pt>
                <c:pt idx="64">
                  <c:v>2.809266928118892E-3</c:v>
                </c:pt>
                <c:pt idx="65">
                  <c:v>2.7321463400664658E-3</c:v>
                </c:pt>
                <c:pt idx="66">
                  <c:v>2.657592576038148E-3</c:v>
                </c:pt>
                <c:pt idx="67">
                  <c:v>2.5855004302187679E-3</c:v>
                </c:pt>
                <c:pt idx="68">
                  <c:v>2.5157700152559359E-3</c:v>
                </c:pt>
                <c:pt idx="69">
                  <c:v>2.4483064346015881E-3</c:v>
                </c:pt>
                <c:pt idx="70">
                  <c:v>2.38301947896713E-3</c:v>
                </c:pt>
                <c:pt idx="71">
                  <c:v>2.3198233448115113E-3</c:v>
                </c:pt>
                <c:pt idx="72">
                  <c:v>2.2586363729999448E-3</c:v>
                </c:pt>
                <c:pt idx="73">
                  <c:v>2.1993808059450615E-3</c:v>
                </c:pt>
                <c:pt idx="74">
                  <c:v>2.1419825617007282E-3</c:v>
                </c:pt>
                <c:pt idx="75">
                  <c:v>2.0863710236346256E-3</c:v>
                </c:pt>
                <c:pt idx="76">
                  <c:v>2.0324788444180397E-3</c:v>
                </c:pt>
                <c:pt idx="77">
                  <c:v>1.9802417632044378E-3</c:v>
                </c:pt>
                <c:pt idx="78">
                  <c:v>1.92959843495355E-3</c:v>
                </c:pt>
                <c:pt idx="79">
                  <c:v>1.8804902709691484E-3</c:v>
                </c:pt>
                <c:pt idx="80">
                  <c:v>1.8328612897843266E-3</c:v>
                </c:pt>
                <c:pt idx="81">
                  <c:v>1.7866579776173452E-3</c:v>
                </c:pt>
                <c:pt idx="82">
                  <c:v>1.7418291576796197E-3</c:v>
                </c:pt>
                <c:pt idx="83">
                  <c:v>1.6983258676833701E-3</c:v>
                </c:pt>
                <c:pt idx="84">
                  <c:v>1.6561012449516355E-3</c:v>
                </c:pt>
                <c:pt idx="85">
                  <c:v>1.6151104185768705E-3</c:v>
                </c:pt>
                <c:pt idx="86">
                  <c:v>1.575310408131525E-3</c:v>
                </c:pt>
                <c:pt idx="87">
                  <c:v>1.5366600284628662E-3</c:v>
                </c:pt>
                <c:pt idx="88">
                  <c:v>1.4991198001496064E-3</c:v>
                </c:pt>
                <c:pt idx="89">
                  <c:v>1.462651865228759E-3</c:v>
                </c:pt>
                <c:pt idx="90">
                  <c:v>1.4272199078319003E-3</c:v>
                </c:pt>
                <c:pt idx="91">
                  <c:v>1.3927890793994369E-3</c:v>
                </c:pt>
                <c:pt idx="92">
                  <c:v>1.3593259281661219E-3</c:v>
                </c:pt>
                <c:pt idx="93">
                  <c:v>1.3267983326347155E-3</c:v>
                </c:pt>
                <c:pt idx="94">
                  <c:v>1.2951754387765524E-3</c:v>
                </c:pt>
                <c:pt idx="95">
                  <c:v>1.2644276007158783E-3</c:v>
                </c:pt>
                <c:pt idx="96">
                  <c:v>1.2345263246771321E-3</c:v>
                </c:pt>
                <c:pt idx="97">
                  <c:v>1.2054442159806777E-3</c:v>
                </c:pt>
                <c:pt idx="98">
                  <c:v>1.1771549289048E-3</c:v>
                </c:pt>
                <c:pt idx="99">
                  <c:v>1.1496331192237808E-3</c:v>
                </c:pt>
              </c:numCache>
            </c:numRef>
          </c:val>
        </c:ser>
        <c:ser>
          <c:idx val="4"/>
          <c:order val="4"/>
          <c:tx>
            <c:v>Pareto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Distributions!$F$9:$F$108</c:f>
              <c:numCache>
                <c:formatCode>0.0000</c:formatCode>
                <c:ptCount val="100"/>
                <c:pt idx="0">
                  <c:v>6.6961448757977826E-2</c:v>
                </c:pt>
                <c:pt idx="1">
                  <c:v>6.0360811998282804E-2</c:v>
                </c:pt>
                <c:pt idx="2">
                  <c:v>5.4605775354405806E-2</c:v>
                </c:pt>
                <c:pt idx="3">
                  <c:v>4.9564623559678167E-2</c:v>
                </c:pt>
                <c:pt idx="4">
                  <c:v>4.5129576287986195E-2</c:v>
                </c:pt>
                <c:pt idx="5">
                  <c:v>4.1211854743549492E-2</c:v>
                </c:pt>
                <c:pt idx="6">
                  <c:v>3.7737878501663991E-2</c:v>
                </c:pt>
                <c:pt idx="7">
                  <c:v>3.4646309146175058E-2</c:v>
                </c:pt>
                <c:pt idx="8">
                  <c:v>3.188573414665552E-2</c:v>
                </c:pt>
                <c:pt idx="9">
                  <c:v>2.9412838962430965E-2</c:v>
                </c:pt>
                <c:pt idx="10">
                  <c:v>2.7190954460429961E-2</c:v>
                </c:pt>
                <c:pt idx="11">
                  <c:v>2.5188895042264126E-2</c:v>
                </c:pt>
                <c:pt idx="12">
                  <c:v>2.3380023564164576E-2</c:v>
                </c:pt>
                <c:pt idx="13">
                  <c:v>2.1741494386577354E-2</c:v>
                </c:pt>
                <c:pt idx="14">
                  <c:v>2.0253637230369548E-2</c:v>
                </c:pt>
                <c:pt idx="15">
                  <c:v>1.8899453014391832E-2</c:v>
                </c:pt>
                <c:pt idx="16">
                  <c:v>1.7664199264803893E-2</c:v>
                </c:pt>
                <c:pt idx="17">
                  <c:v>1.6535047564801231E-2</c:v>
                </c:pt>
                <c:pt idx="18">
                  <c:v>1.5500799247648078E-2</c:v>
                </c:pt>
                <c:pt idx="19">
                  <c:v>1.4551648412993612E-2</c:v>
                </c:pt>
                <c:pt idx="20">
                  <c:v>1.3678983576626114E-2</c:v>
                </c:pt>
                <c:pt idx="21">
                  <c:v>1.2875221002804527E-2</c:v>
                </c:pt>
                <c:pt idx="22">
                  <c:v>1.2133664131563249E-2</c:v>
                </c:pt>
                <c:pt idx="23">
                  <c:v>1.1448384588258587E-2</c:v>
                </c:pt>
                <c:pt idx="24">
                  <c:v>1.0814121114015196E-2</c:v>
                </c:pt>
                <c:pt idx="25">
                  <c:v>1.0226193433670649E-2</c:v>
                </c:pt>
                <c:pt idx="26">
                  <c:v>9.6804286200742884E-3</c:v>
                </c:pt>
                <c:pt idx="27">
                  <c:v>9.1730979493456766E-3</c:v>
                </c:pt>
                <c:pt idx="28">
                  <c:v>8.7008625932581962E-3</c:v>
                </c:pt>
                <c:pt idx="29">
                  <c:v>8.2607267798851802E-3</c:v>
                </c:pt>
                <c:pt idx="30">
                  <c:v>7.8499972854179922E-3</c:v>
                </c:pt>
                <c:pt idx="31">
                  <c:v>7.4662483094041776E-3</c:v>
                </c:pt>
                <c:pt idx="32">
                  <c:v>7.1072909408474161E-3</c:v>
                </c:pt>
                <c:pt idx="33">
                  <c:v>6.7711465502522106E-3</c:v>
                </c:pt>
                <c:pt idx="34">
                  <c:v>6.4560235481276873E-3</c:v>
                </c:pt>
                <c:pt idx="35">
                  <c:v>6.1602970377195865E-3</c:v>
                </c:pt>
                <c:pt idx="36">
                  <c:v>5.8824909623001742E-3</c:v>
                </c:pt>
                <c:pt idx="37">
                  <c:v>5.6212624077584816E-3</c:v>
                </c:pt>
                <c:pt idx="38">
                  <c:v>5.3753877718328291E-3</c:v>
                </c:pt>
                <c:pt idx="39">
                  <c:v>5.1437505536202632E-3</c:v>
                </c:pt>
                <c:pt idx="40">
                  <c:v>4.9253305527049152E-3</c:v>
                </c:pt>
                <c:pt idx="41">
                  <c:v>4.7191942972121814E-3</c:v>
                </c:pt>
                <c:pt idx="42">
                  <c:v>4.5244865455375816E-3</c:v>
                </c:pt>
                <c:pt idx="43">
                  <c:v>4.3404227279740804E-3</c:v>
                </c:pt>
                <c:pt idx="44">
                  <c:v>4.1662822127686572E-3</c:v>
                </c:pt>
                <c:pt idx="45">
                  <c:v>4.0014022966870233E-3</c:v>
                </c:pt>
                <c:pt idx="46">
                  <c:v>3.8451728334650548E-3</c:v>
                </c:pt>
                <c:pt idx="47">
                  <c:v>3.6970314248823133E-3</c:v>
                </c:pt>
                <c:pt idx="48">
                  <c:v>3.5564591089481123E-3</c:v>
                </c:pt>
                <c:pt idx="49">
                  <c:v>3.4229764880591984E-3</c:v>
                </c:pt>
                <c:pt idx="50">
                  <c:v>3.2961402472048706E-3</c:v>
                </c:pt>
                <c:pt idx="51">
                  <c:v>3.1755400185207172E-3</c:v>
                </c:pt>
                <c:pt idx="52">
                  <c:v>3.0607955538544673E-3</c:v>
                </c:pt>
                <c:pt idx="53">
                  <c:v>2.9515541716856608E-3</c:v>
                </c:pt>
                <c:pt idx="54">
                  <c:v>2.8474884487715568E-3</c:v>
                </c:pt>
                <c:pt idx="55">
                  <c:v>2.7482941304199787E-3</c:v>
                </c:pt>
                <c:pt idx="56">
                  <c:v>2.6536882363286107E-3</c:v>
                </c:pt>
                <c:pt idx="57">
                  <c:v>2.5634073416252734E-3</c:v>
                </c:pt>
                <c:pt idx="58">
                  <c:v>2.4772060150622666E-3</c:v>
                </c:pt>
                <c:pt idx="59">
                  <c:v>2.3948553983665494E-3</c:v>
                </c:pt>
                <c:pt idx="60">
                  <c:v>2.3161419125374977E-3</c:v>
                </c:pt>
                <c:pt idx="61">
                  <c:v>2.2408660784543066E-3</c:v>
                </c:pt>
                <c:pt idx="62">
                  <c:v>2.1688414405485607E-3</c:v>
                </c:pt>
                <c:pt idx="63">
                  <c:v>2.0998935834996985E-3</c:v>
                </c:pt>
                <c:pt idx="64">
                  <c:v>2.0338592329953026E-3</c:v>
                </c:pt>
                <c:pt idx="65">
                  <c:v>1.9705854325596656E-3</c:v>
                </c:pt>
                <c:pt idx="66">
                  <c:v>1.9099287892588718E-3</c:v>
                </c:pt>
                <c:pt idx="67">
                  <c:v>1.8517547818774072E-3</c:v>
                </c:pt>
                <c:pt idx="68">
                  <c:v>1.7959371257846996E-3</c:v>
                </c:pt>
                <c:pt idx="69">
                  <c:v>1.7423571893236817E-3</c:v>
                </c:pt>
                <c:pt idx="70">
                  <c:v>1.6909034570537634E-3</c:v>
                </c:pt>
                <c:pt idx="71">
                  <c:v>1.6414710356550954E-3</c:v>
                </c:pt>
                <c:pt idx="72">
                  <c:v>1.5939611987139668E-3</c:v>
                </c:pt>
                <c:pt idx="73">
                  <c:v>1.5482809669790237E-3</c:v>
                </c:pt>
                <c:pt idx="74">
                  <c:v>1.5043427209995575E-3</c:v>
                </c:pt>
                <c:pt idx="75">
                  <c:v>1.4620638433628791E-3</c:v>
                </c:pt>
                <c:pt idx="76">
                  <c:v>1.4213663880089378E-3</c:v>
                </c:pt>
                <c:pt idx="77">
                  <c:v>1.3821767743302238E-3</c:v>
                </c:pt>
                <c:pt idx="78">
                  <c:v>1.3444255039889719E-3</c:v>
                </c:pt>
                <c:pt idx="79">
                  <c:v>1.308046898569365E-3</c:v>
                </c:pt>
                <c:pt idx="80">
                  <c:v>1.2729788563464878E-3</c:v>
                </c:pt>
                <c:pt idx="81">
                  <c:v>1.2391626266287786E-3</c:v>
                </c:pt>
                <c:pt idx="82">
                  <c:v>1.206542600245511E-3</c:v>
                </c:pt>
                <c:pt idx="83">
                  <c:v>1.1750661148974134E-3</c:v>
                </c:pt>
                <c:pt idx="84">
                  <c:v>1.144683274190747E-3</c:v>
                </c:pt>
                <c:pt idx="85">
                  <c:v>1.1153467792802546E-3</c:v>
                </c:pt>
                <c:pt idx="86">
                  <c:v>1.0870117721387823E-3</c:v>
                </c:pt>
                <c:pt idx="87">
                  <c:v>1.0596356895614945E-3</c:v>
                </c:pt>
                <c:pt idx="88">
                  <c:v>1.0331781270797036E-3</c:v>
                </c:pt>
                <c:pt idx="89">
                  <c:v>1.0076007120339778E-3</c:v>
                </c:pt>
                <c:pt idx="90">
                  <c:v>9.8286698511870774E-4</c:v>
                </c:pt>
                <c:pt idx="91">
                  <c:v>9.589422897638214E-4</c:v>
                </c:pt>
                <c:pt idx="92">
                  <c:v>9.3579366878145109E-4</c:v>
                </c:pt>
                <c:pt idx="93">
                  <c:v>9.1338976773514685E-4</c:v>
                </c:pt>
                <c:pt idx="94">
                  <c:v>8.9170074454899412E-4</c:v>
                </c:pt>
                <c:pt idx="95">
                  <c:v>8.706981849065723E-4</c:v>
                </c:pt>
                <c:pt idx="96">
                  <c:v>8.5035502302240745E-4</c:v>
                </c:pt>
                <c:pt idx="97">
                  <c:v>8.3064546740735379E-4</c:v>
                </c:pt>
                <c:pt idx="98">
                  <c:v>8.1154493127157112E-4</c:v>
                </c:pt>
                <c:pt idx="99">
                  <c:v>7.9302996725186259E-4</c:v>
                </c:pt>
              </c:numCache>
            </c:numRef>
          </c:val>
        </c:ser>
        <c:marker val="1"/>
        <c:axId val="136947968"/>
        <c:axId val="136974336"/>
      </c:lineChart>
      <c:catAx>
        <c:axId val="136947968"/>
        <c:scaling>
          <c:orientation val="minMax"/>
        </c:scaling>
        <c:axPos val="b"/>
        <c:numFmt formatCode="General" sourceLinked="1"/>
        <c:tickLblPos val="nextTo"/>
        <c:crossAx val="136974336"/>
        <c:crosses val="autoZero"/>
        <c:auto val="1"/>
        <c:lblAlgn val="ctr"/>
        <c:lblOffset val="100"/>
      </c:catAx>
      <c:valAx>
        <c:axId val="136974336"/>
        <c:scaling>
          <c:orientation val="minMax"/>
          <c:max val="0.10500000000000002"/>
        </c:scaling>
        <c:axPos val="l"/>
        <c:majorGridlines/>
        <c:numFmt formatCode="0.0000" sourceLinked="1"/>
        <c:tickLblPos val="nextTo"/>
        <c:crossAx val="136947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41350400"/>
        <c:axId val="141351936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Exponential!$C$7:$C$16</c:f>
              <c:numCache>
                <c:formatCode>0.0000</c:formatCode>
                <c:ptCount val="10"/>
                <c:pt idx="0">
                  <c:v>0.28428039665993743</c:v>
                </c:pt>
                <c:pt idx="1">
                  <c:v>0.20346505273480608</c:v>
                </c:pt>
                <c:pt idx="2">
                  <c:v>0.14562392683692027</c:v>
                </c:pt>
                <c:pt idx="3">
                  <c:v>0.10422589915254293</c:v>
                </c:pt>
                <c:pt idx="4">
                  <c:v>7.4596519199219363E-2</c:v>
                </c:pt>
                <c:pt idx="5">
                  <c:v>5.3390191131814618E-2</c:v>
                </c:pt>
                <c:pt idx="6">
                  <c:v>3.8212406419112527E-2</c:v>
                </c:pt>
                <c:pt idx="7">
                  <c:v>2.7349368364956467E-2</c:v>
                </c:pt>
                <c:pt idx="8">
                  <c:v>1.9574479077767881E-2</c:v>
                </c:pt>
                <c:pt idx="9">
                  <c:v>1.4009838401128405E-2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Exponential!$D$7:$D$16</c:f>
              <c:numCache>
                <c:formatCode>0.0000</c:formatCode>
                <c:ptCount val="10"/>
                <c:pt idx="0">
                  <c:v>0.42989532250132156</c:v>
                </c:pt>
                <c:pt idx="1">
                  <c:v>0.24508533419280626</c:v>
                </c:pt>
                <c:pt idx="2">
                  <c:v>0.13972429540964562</c:v>
                </c:pt>
                <c:pt idx="3">
                  <c:v>7.9657474373246148E-2</c:v>
                </c:pt>
                <c:pt idx="4">
                  <c:v>4.5413098737918718E-2</c:v>
                </c:pt>
                <c:pt idx="5">
                  <c:v>2.58902200101968E-2</c:v>
                </c:pt>
                <c:pt idx="6">
                  <c:v>1.4760135529283076E-2</c:v>
                </c:pt>
                <c:pt idx="7">
                  <c:v>8.414822305758721E-3</c:v>
                </c:pt>
                <c:pt idx="8">
                  <c:v>4.7973295568332578E-3</c:v>
                </c:pt>
                <c:pt idx="9">
                  <c:v>2.7349800198533027E-3</c:v>
                </c:pt>
              </c:numCache>
            </c:numRef>
          </c:val>
        </c:ser>
        <c:marker val="1"/>
        <c:axId val="141350400"/>
        <c:axId val="141351936"/>
      </c:lineChart>
      <c:catAx>
        <c:axId val="141350400"/>
        <c:scaling>
          <c:orientation val="minMax"/>
        </c:scaling>
        <c:axPos val="b"/>
        <c:numFmt formatCode="General" sourceLinked="1"/>
        <c:majorTickMark val="none"/>
        <c:tickLblPos val="nextTo"/>
        <c:crossAx val="141351936"/>
        <c:crosses val="autoZero"/>
        <c:auto val="1"/>
        <c:lblAlgn val="ctr"/>
        <c:lblOffset val="100"/>
      </c:catAx>
      <c:valAx>
        <c:axId val="141351936"/>
        <c:scaling>
          <c:orientation val="minMax"/>
        </c:scaling>
        <c:axPos val="l"/>
        <c:majorGridlines/>
        <c:numFmt formatCode="0.000" sourceLinked="1"/>
        <c:majorTickMark val="none"/>
        <c:tickLblPos val="nextTo"/>
        <c:crossAx val="141350400"/>
        <c:crosses val="autoZero"/>
        <c:crossBetween val="between"/>
      </c:valAx>
    </c:plotArea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41270400"/>
        <c:axId val="141276288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Gamma!$R$11:$R$20</c:f>
              <c:numCache>
                <c:formatCode>0.00</c:formatCode>
                <c:ptCount val="10"/>
                <c:pt idx="0">
                  <c:v>0.63470743237333693</c:v>
                </c:pt>
                <c:pt idx="1">
                  <c:v>8.3228209060204894E-2</c:v>
                </c:pt>
                <c:pt idx="2">
                  <c:v>5.0650173368906759E-2</c:v>
                </c:pt>
                <c:pt idx="3">
                  <c:v>3.599841788321223E-2</c:v>
                </c:pt>
                <c:pt idx="4">
                  <c:v>2.7492454964842761E-2</c:v>
                </c:pt>
                <c:pt idx="5">
                  <c:v>2.1897023041105412E-2</c:v>
                </c:pt>
                <c:pt idx="6">
                  <c:v>1.7929160661754984E-2</c:v>
                </c:pt>
                <c:pt idx="7">
                  <c:v>1.4970796350885163E-2</c:v>
                </c:pt>
                <c:pt idx="8">
                  <c:v>1.2684870089734401E-2</c:v>
                </c:pt>
                <c:pt idx="9">
                  <c:v>1.087056683570109E-2</c:v>
                </c:pt>
              </c:numCache>
            </c:numRef>
          </c:val>
        </c:ser>
        <c:ser>
          <c:idx val="5"/>
          <c:order val="5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Gamma!$S$11:$S$20</c:f>
              <c:numCache>
                <c:formatCode>0.00</c:formatCode>
                <c:ptCount val="10"/>
                <c:pt idx="0">
                  <c:v>0.44541294424101407</c:v>
                </c:pt>
                <c:pt idx="1">
                  <c:v>0.19959399369192166</c:v>
                </c:pt>
                <c:pt idx="2">
                  <c:v>0.12118808697111993</c:v>
                </c:pt>
                <c:pt idx="3">
                  <c:v>7.7568012346042048E-2</c:v>
                </c:pt>
                <c:pt idx="4">
                  <c:v>5.0887659731793655E-2</c:v>
                </c:pt>
                <c:pt idx="5">
                  <c:v>3.3869318634379475E-2</c:v>
                </c:pt>
                <c:pt idx="6">
                  <c:v>2.275746437490922E-2</c:v>
                </c:pt>
                <c:pt idx="7">
                  <c:v>1.5394481082413369E-2</c:v>
                </c:pt>
                <c:pt idx="8">
                  <c:v>1.0466193804461121E-2</c:v>
                </c:pt>
                <c:pt idx="9">
                  <c:v>7.1433884809771753E-3</c:v>
                </c:pt>
              </c:numCache>
            </c:numRef>
          </c:val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Gamma!$T$11:$T$20</c:f>
              <c:numCache>
                <c:formatCode>0.00</c:formatCode>
                <c:ptCount val="10"/>
                <c:pt idx="0">
                  <c:v>0.38745608722474761</c:v>
                </c:pt>
                <c:pt idx="1">
                  <c:v>0.16730402126436666</c:v>
                </c:pt>
                <c:pt idx="2">
                  <c:v>0.11116745475332745</c:v>
                </c:pt>
                <c:pt idx="3">
                  <c:v>7.9308451125979618E-2</c:v>
                </c:pt>
                <c:pt idx="4">
                  <c:v>5.8491650521208971E-2</c:v>
                </c:pt>
                <c:pt idx="5">
                  <c:v>4.3986479872106909E-2</c:v>
                </c:pt>
                <c:pt idx="6">
                  <c:v>3.3505059401372383E-2</c:v>
                </c:pt>
                <c:pt idx="7">
                  <c:v>2.5754318495202155E-2</c:v>
                </c:pt>
                <c:pt idx="8">
                  <c:v>1.9931394043093853E-2</c:v>
                </c:pt>
                <c:pt idx="9">
                  <c:v>1.5506419527998805E-2</c:v>
                </c:pt>
              </c:numCache>
            </c:numRef>
          </c:val>
        </c:ser>
        <c:marker val="1"/>
        <c:axId val="141270400"/>
        <c:axId val="141276288"/>
      </c:lineChart>
      <c:catAx>
        <c:axId val="141270400"/>
        <c:scaling>
          <c:orientation val="minMax"/>
        </c:scaling>
        <c:axPos val="b"/>
        <c:numFmt formatCode="General" sourceLinked="1"/>
        <c:majorTickMark val="none"/>
        <c:tickLblPos val="nextTo"/>
        <c:crossAx val="141276288"/>
        <c:crosses val="autoZero"/>
        <c:auto val="1"/>
        <c:lblAlgn val="ctr"/>
        <c:lblOffset val="100"/>
      </c:catAx>
      <c:valAx>
        <c:axId val="141276288"/>
        <c:scaling>
          <c:orientation val="minMax"/>
          <c:max val="0.70000000000000062"/>
        </c:scaling>
        <c:axPos val="l"/>
        <c:majorGridlines/>
        <c:numFmt formatCode="0.000" sourceLinked="1"/>
        <c:majorTickMark val="none"/>
        <c:tickLblPos val="nextTo"/>
        <c:crossAx val="141270400"/>
        <c:crosses val="autoZero"/>
        <c:crossBetween val="between"/>
      </c:valAx>
    </c:plotArea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41878400"/>
        <c:axId val="141879936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Lognormal!$R$10:$R$19</c:f>
              <c:numCache>
                <c:formatCode>0.00</c:formatCode>
                <c:ptCount val="10"/>
                <c:pt idx="0">
                  <c:v>0.44622965591024999</c:v>
                </c:pt>
                <c:pt idx="1">
                  <c:v>0.20100922682578715</c:v>
                </c:pt>
                <c:pt idx="2">
                  <c:v>0.10387626030626196</c:v>
                </c:pt>
                <c:pt idx="3">
                  <c:v>6.2405852952700624E-2</c:v>
                </c:pt>
                <c:pt idx="4">
                  <c:v>4.1021797062070653E-2</c:v>
                </c:pt>
                <c:pt idx="5">
                  <c:v>2.8644689059941775E-2</c:v>
                </c:pt>
                <c:pt idx="6">
                  <c:v>2.0895973557577108E-2</c:v>
                </c:pt>
                <c:pt idx="7">
                  <c:v>1.5759479684220312E-2</c:v>
                </c:pt>
                <c:pt idx="8">
                  <c:v>1.2202463469197733E-2</c:v>
                </c:pt>
                <c:pt idx="9">
                  <c:v>9.652458280878351E-3</c:v>
                </c:pt>
              </c:numCache>
            </c:numRef>
          </c:val>
        </c:ser>
        <c:ser>
          <c:idx val="5"/>
          <c:order val="5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Lognormal!$S$10:$S$19</c:f>
              <c:numCache>
                <c:formatCode>0.00</c:formatCode>
                <c:ptCount val="10"/>
                <c:pt idx="0">
                  <c:v>0.48228197293693331</c:v>
                </c:pt>
                <c:pt idx="1">
                  <c:v>0.18539477942307414</c:v>
                </c:pt>
                <c:pt idx="2">
                  <c:v>9.4425277296496968E-2</c:v>
                </c:pt>
                <c:pt idx="3">
                  <c:v>5.6866462080051194E-2</c:v>
                </c:pt>
                <c:pt idx="4">
                  <c:v>3.7661750038561981E-2</c:v>
                </c:pt>
                <c:pt idx="5">
                  <c:v>2.6545832913234979E-2</c:v>
                </c:pt>
                <c:pt idx="6">
                  <c:v>1.956053992398421E-2</c:v>
                </c:pt>
                <c:pt idx="7">
                  <c:v>1.4904038656291974E-2</c:v>
                </c:pt>
                <c:pt idx="8">
                  <c:v>1.1658079147782607E-2</c:v>
                </c:pt>
                <c:pt idx="9">
                  <c:v>9.314455638159358E-3</c:v>
                </c:pt>
              </c:numCache>
            </c:numRef>
          </c:val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Lognormal!$T$10:$T$19</c:f>
              <c:numCache>
                <c:formatCode>0.00</c:formatCode>
                <c:ptCount val="10"/>
                <c:pt idx="0">
                  <c:v>0.46760073931320068</c:v>
                </c:pt>
                <c:pt idx="1">
                  <c:v>0.19305012731961613</c:v>
                </c:pt>
                <c:pt idx="2">
                  <c:v>9.8668208825532622E-2</c:v>
                </c:pt>
                <c:pt idx="3">
                  <c:v>5.9212341231942411E-2</c:v>
                </c:pt>
                <c:pt idx="4">
                  <c:v>3.9003954963725662E-2</c:v>
                </c:pt>
                <c:pt idx="5">
                  <c:v>2.7328220098461031E-2</c:v>
                </c:pt>
                <c:pt idx="6">
                  <c:v>2.0015025277148712E-2</c:v>
                </c:pt>
                <c:pt idx="7">
                  <c:v>1.5159070372266603E-2</c:v>
                </c:pt>
                <c:pt idx="8">
                  <c:v>1.1788405000646263E-2</c:v>
                </c:pt>
                <c:pt idx="9">
                  <c:v>9.3653531560773384E-3</c:v>
                </c:pt>
              </c:numCache>
            </c:numRef>
          </c:val>
        </c:ser>
        <c:marker val="1"/>
        <c:axId val="141878400"/>
        <c:axId val="141879936"/>
      </c:lineChart>
      <c:catAx>
        <c:axId val="141878400"/>
        <c:scaling>
          <c:orientation val="minMax"/>
        </c:scaling>
        <c:axPos val="b"/>
        <c:numFmt formatCode="General" sourceLinked="1"/>
        <c:majorTickMark val="none"/>
        <c:tickLblPos val="nextTo"/>
        <c:crossAx val="141879936"/>
        <c:crosses val="autoZero"/>
        <c:auto val="1"/>
        <c:lblAlgn val="ctr"/>
        <c:lblOffset val="100"/>
      </c:catAx>
      <c:valAx>
        <c:axId val="141879936"/>
        <c:scaling>
          <c:orientation val="minMax"/>
          <c:max val="0.70000000000000062"/>
        </c:scaling>
        <c:axPos val="l"/>
        <c:majorGridlines/>
        <c:numFmt formatCode="0.000" sourceLinked="1"/>
        <c:majorTickMark val="none"/>
        <c:tickLblPos val="nextTo"/>
        <c:crossAx val="141878400"/>
        <c:crosses val="autoZero"/>
        <c:crossBetween val="between"/>
      </c:valAx>
    </c:plotArea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45104256"/>
        <c:axId val="145114240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Weibull!$R$10:$R$19</c:f>
              <c:numCache>
                <c:formatCode>0.00</c:formatCode>
                <c:ptCount val="10"/>
                <c:pt idx="0">
                  <c:v>0.56438878967530748</c:v>
                </c:pt>
                <c:pt idx="1">
                  <c:v>0.12508691766376379</c:v>
                </c:pt>
                <c:pt idx="2">
                  <c:v>7.0794913108985891E-2</c:v>
                </c:pt>
                <c:pt idx="3">
                  <c:v>4.6881824564675711E-2</c:v>
                </c:pt>
                <c:pt idx="4">
                  <c:v>3.3589797291823653E-2</c:v>
                </c:pt>
                <c:pt idx="5">
                  <c:v>2.5269386585610509E-2</c:v>
                </c:pt>
                <c:pt idx="6">
                  <c:v>1.9661518999973482E-2</c:v>
                </c:pt>
                <c:pt idx="7">
                  <c:v>1.5684140246992606E-2</c:v>
                </c:pt>
                <c:pt idx="8">
                  <c:v>1.2755223617085587E-2</c:v>
                </c:pt>
                <c:pt idx="9">
                  <c:v>1.0535041547267143E-2</c:v>
                </c:pt>
              </c:numCache>
            </c:numRef>
          </c:val>
        </c:ser>
        <c:ser>
          <c:idx val="5"/>
          <c:order val="5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Weibull!$S$10:$S$19</c:f>
              <c:numCache>
                <c:formatCode>0.00</c:formatCode>
                <c:ptCount val="10"/>
                <c:pt idx="0">
                  <c:v>0.45099221761633834</c:v>
                </c:pt>
                <c:pt idx="1">
                  <c:v>0.1979374293788545</c:v>
                </c:pt>
                <c:pt idx="2">
                  <c:v>0.116515072385034</c:v>
                </c:pt>
                <c:pt idx="3">
                  <c:v>7.3707353455288671E-2</c:v>
                </c:pt>
                <c:pt idx="4">
                  <c:v>4.8511944677223195E-2</c:v>
                </c:pt>
                <c:pt idx="5">
                  <c:v>3.2781251665930378E-2</c:v>
                </c:pt>
                <c:pt idx="6">
                  <c:v>2.2583020508791796E-2</c:v>
                </c:pt>
                <c:pt idx="7">
                  <c:v>1.5792695602384277E-2</c:v>
                </c:pt>
                <c:pt idx="8">
                  <c:v>1.1179206617228155E-2</c:v>
                </c:pt>
                <c:pt idx="9">
                  <c:v>7.9941452711180805E-3</c:v>
                </c:pt>
              </c:numCache>
            </c:numRef>
          </c:val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Weibull!$T$10:$T$19</c:f>
              <c:numCache>
                <c:formatCode>0.00</c:formatCode>
                <c:ptCount val="10"/>
                <c:pt idx="0">
                  <c:v>0.42982636112714012</c:v>
                </c:pt>
                <c:pt idx="1">
                  <c:v>0.17207238856352725</c:v>
                </c:pt>
                <c:pt idx="2">
                  <c:v>0.10577813168776207</c:v>
                </c:pt>
                <c:pt idx="3">
                  <c:v>7.1409777015262965E-2</c:v>
                </c:pt>
                <c:pt idx="4">
                  <c:v>5.06594872073306E-2</c:v>
                </c:pt>
                <c:pt idx="5">
                  <c:v>3.7108475182628387E-2</c:v>
                </c:pt>
                <c:pt idx="6">
                  <c:v>2.7812203645913747E-2</c:v>
                </c:pt>
                <c:pt idx="7">
                  <c:v>2.1212022901604177E-2</c:v>
                </c:pt>
                <c:pt idx="8">
                  <c:v>1.6404628058265924E-2</c:v>
                </c:pt>
                <c:pt idx="9">
                  <c:v>1.2832494876310996E-2</c:v>
                </c:pt>
              </c:numCache>
            </c:numRef>
          </c:val>
        </c:ser>
        <c:marker val="1"/>
        <c:axId val="145104256"/>
        <c:axId val="145114240"/>
      </c:lineChart>
      <c:catAx>
        <c:axId val="145104256"/>
        <c:scaling>
          <c:orientation val="minMax"/>
        </c:scaling>
        <c:axPos val="b"/>
        <c:numFmt formatCode="General" sourceLinked="1"/>
        <c:majorTickMark val="none"/>
        <c:tickLblPos val="nextTo"/>
        <c:crossAx val="145114240"/>
        <c:crosses val="autoZero"/>
        <c:auto val="1"/>
        <c:lblAlgn val="ctr"/>
        <c:lblOffset val="100"/>
      </c:catAx>
      <c:valAx>
        <c:axId val="145114240"/>
        <c:scaling>
          <c:orientation val="minMax"/>
          <c:max val="0.70000000000000062"/>
        </c:scaling>
        <c:axPos val="l"/>
        <c:majorGridlines/>
        <c:numFmt formatCode="0.000" sourceLinked="1"/>
        <c:majorTickMark val="none"/>
        <c:tickLblPos val="nextTo"/>
        <c:crossAx val="145104256"/>
        <c:crosses val="autoZero"/>
        <c:crossBetween val="between"/>
      </c:valAx>
    </c:plotArea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46502784"/>
        <c:axId val="146504320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'Gamma - Pearson test'!#REF!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Pareto!$R$10:$R$19</c:f>
              <c:numCache>
                <c:formatCode>0.00</c:formatCode>
                <c:ptCount val="10"/>
                <c:pt idx="0">
                  <c:v>0.39694380627891812</c:v>
                </c:pt>
                <c:pt idx="1">
                  <c:v>0.20672145907911177</c:v>
                </c:pt>
                <c:pt idx="2">
                  <c:v>0.11948800275668953</c:v>
                </c:pt>
                <c:pt idx="3">
                  <c:v>7.4467087922764658E-2</c:v>
                </c:pt>
                <c:pt idx="4">
                  <c:v>4.9131098011986979E-2</c:v>
                </c:pt>
                <c:pt idx="5">
                  <c:v>3.3896004525533027E-2</c:v>
                </c:pt>
                <c:pt idx="6">
                  <c:v>2.4241602582845967E-2</c:v>
                </c:pt>
                <c:pt idx="7">
                  <c:v>1.7857698061540181E-2</c:v>
                </c:pt>
                <c:pt idx="8">
                  <c:v>1.3484970515793809E-2</c:v>
                </c:pt>
                <c:pt idx="9">
                  <c:v>1.0399609787331565E-2</c:v>
                </c:pt>
              </c:numCache>
            </c:numRef>
          </c:val>
        </c:ser>
        <c:ser>
          <c:idx val="5"/>
          <c:order val="5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Pareto!$S$10:$S$19</c:f>
              <c:numCache>
                <c:formatCode>0.00</c:formatCode>
                <c:ptCount val="10"/>
                <c:pt idx="0">
                  <c:v>0.47146677123003766</c:v>
                </c:pt>
                <c:pt idx="1">
                  <c:v>0.19191945709909175</c:v>
                </c:pt>
                <c:pt idx="2">
                  <c:v>9.9271403332944597E-2</c:v>
                </c:pt>
                <c:pt idx="3">
                  <c:v>5.8900319742408058E-2</c:v>
                </c:pt>
                <c:pt idx="4">
                  <c:v>3.8216482390090234E-2</c:v>
                </c:pt>
                <c:pt idx="5">
                  <c:v>2.641029388637299E-2</c:v>
                </c:pt>
                <c:pt idx="6">
                  <c:v>1.9128172865526386E-2</c:v>
                </c:pt>
                <c:pt idx="7">
                  <c:v>1.4366061592911358E-2</c:v>
                </c:pt>
                <c:pt idx="8">
                  <c:v>1.1106188543743276E-2</c:v>
                </c:pt>
                <c:pt idx="9">
                  <c:v>8.7910826213489293E-3</c:v>
                </c:pt>
              </c:numCache>
            </c:numRef>
          </c:val>
        </c:ser>
        <c:ser>
          <c:idx val="6"/>
          <c:order val="6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Pareto!$T$10:$T$19</c:f>
              <c:numCache>
                <c:formatCode>0.00</c:formatCode>
                <c:ptCount val="10"/>
                <c:pt idx="0">
                  <c:v>0.45151685145880582</c:v>
                </c:pt>
                <c:pt idx="1">
                  <c:v>0.20090615218844421</c:v>
                </c:pt>
                <c:pt idx="2">
                  <c:v>0.10699168378950166</c:v>
                </c:pt>
                <c:pt idx="3">
                  <c:v>6.3833895367280818E-2</c:v>
                </c:pt>
                <c:pt idx="4">
                  <c:v>4.1198758488239118E-2</c:v>
                </c:pt>
                <c:pt idx="5">
                  <c:v>2.8168969561839952E-2</c:v>
                </c:pt>
                <c:pt idx="6">
                  <c:v>2.0130165566839692E-2</c:v>
                </c:pt>
                <c:pt idx="7">
                  <c:v>1.4897038787661784E-2</c:v>
                </c:pt>
                <c:pt idx="8">
                  <c:v>1.1341206552403151E-2</c:v>
                </c:pt>
                <c:pt idx="9">
                  <c:v>8.8389670298078885E-3</c:v>
                </c:pt>
              </c:numCache>
            </c:numRef>
          </c:val>
        </c:ser>
        <c:marker val="1"/>
        <c:axId val="146502784"/>
        <c:axId val="146504320"/>
      </c:lineChart>
      <c:catAx>
        <c:axId val="146502784"/>
        <c:scaling>
          <c:orientation val="minMax"/>
        </c:scaling>
        <c:axPos val="b"/>
        <c:numFmt formatCode="General" sourceLinked="1"/>
        <c:majorTickMark val="none"/>
        <c:tickLblPos val="nextTo"/>
        <c:crossAx val="146504320"/>
        <c:crosses val="autoZero"/>
        <c:auto val="1"/>
        <c:lblAlgn val="ctr"/>
        <c:lblOffset val="100"/>
      </c:catAx>
      <c:valAx>
        <c:axId val="146504320"/>
        <c:scaling>
          <c:orientation val="minMax"/>
          <c:max val="0.70000000000000062"/>
        </c:scaling>
        <c:axPos val="l"/>
        <c:majorGridlines/>
        <c:numFmt formatCode="0.000" sourceLinked="1"/>
        <c:majorTickMark val="none"/>
        <c:tickLblPos val="nextTo"/>
        <c:crossAx val="146502784"/>
        <c:crosses val="autoZero"/>
        <c:crossBetween val="between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16</xdr:row>
      <xdr:rowOff>85725</xdr:rowOff>
    </xdr:from>
    <xdr:to>
      <xdr:col>12</xdr:col>
      <xdr:colOff>114300</xdr:colOff>
      <xdr:row>34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6</xdr:row>
      <xdr:rowOff>38100</xdr:rowOff>
    </xdr:from>
    <xdr:to>
      <xdr:col>25</xdr:col>
      <xdr:colOff>380999</xdr:colOff>
      <xdr:row>45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3</xdr:row>
      <xdr:rowOff>123825</xdr:rowOff>
    </xdr:from>
    <xdr:to>
      <xdr:col>25</xdr:col>
      <xdr:colOff>285750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25</xdr:row>
      <xdr:rowOff>133350</xdr:rowOff>
    </xdr:from>
    <xdr:to>
      <xdr:col>23</xdr:col>
      <xdr:colOff>47625</xdr:colOff>
      <xdr:row>43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24</xdr:row>
      <xdr:rowOff>133350</xdr:rowOff>
    </xdr:from>
    <xdr:to>
      <xdr:col>23</xdr:col>
      <xdr:colOff>47625</xdr:colOff>
      <xdr:row>42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24</xdr:row>
      <xdr:rowOff>133350</xdr:rowOff>
    </xdr:from>
    <xdr:to>
      <xdr:col>23</xdr:col>
      <xdr:colOff>47625</xdr:colOff>
      <xdr:row>42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24</xdr:row>
      <xdr:rowOff>133350</xdr:rowOff>
    </xdr:from>
    <xdr:to>
      <xdr:col>23</xdr:col>
      <xdr:colOff>47625</xdr:colOff>
      <xdr:row>42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>
      <selection activeCell="N13" sqref="N13"/>
    </sheetView>
  </sheetViews>
  <sheetFormatPr defaultRowHeight="15"/>
  <cols>
    <col min="3" max="3" width="17.85546875" bestFit="1" customWidth="1"/>
    <col min="4" max="4" width="14.28515625" bestFit="1" customWidth="1"/>
  </cols>
  <sheetData>
    <row r="1" spans="1:26">
      <c r="A1" t="s">
        <v>14</v>
      </c>
      <c r="I1" t="s">
        <v>119</v>
      </c>
      <c r="Y1" t="s">
        <v>38</v>
      </c>
      <c r="Z1" t="s">
        <v>64</v>
      </c>
    </row>
    <row r="2" spans="1:26">
      <c r="A2">
        <v>24</v>
      </c>
      <c r="C2" t="s">
        <v>11</v>
      </c>
      <c r="D2" s="3">
        <f>AVERAGE(A2:A97)</f>
        <v>2989.8333333333335</v>
      </c>
      <c r="G2" t="s">
        <v>15</v>
      </c>
      <c r="Y2">
        <f>LN(A2)</f>
        <v>3.1780538303479458</v>
      </c>
      <c r="Z2">
        <f>Y2^2</f>
        <v>10.100026148589249</v>
      </c>
    </row>
    <row r="3" spans="1:26">
      <c r="A3">
        <v>26</v>
      </c>
      <c r="C3" t="s">
        <v>12</v>
      </c>
      <c r="D3" s="3">
        <f>STDEV(A2:A97)</f>
        <v>6856.1095822272828</v>
      </c>
      <c r="G3">
        <v>0</v>
      </c>
      <c r="H3">
        <v>1000</v>
      </c>
      <c r="I3" s="18">
        <f t="array" ref="I3:I13">FREQUENCY(A$2:A$97,H$3:H$13)</f>
        <v>43</v>
      </c>
      <c r="K3" s="5" t="s">
        <v>16</v>
      </c>
      <c r="L3" s="2">
        <f t="shared" ref="L3:L13" si="0">I3/96</f>
        <v>0.44791666666666669</v>
      </c>
      <c r="Y3">
        <f t="shared" ref="Y3:Y66" si="1">LN(A3)</f>
        <v>3.2580965380214821</v>
      </c>
      <c r="Z3">
        <f t="shared" ref="Z3:Z66" si="2">Y3^2</f>
        <v>10.615193051067568</v>
      </c>
    </row>
    <row r="4" spans="1:26">
      <c r="A4">
        <v>73</v>
      </c>
      <c r="C4" t="s">
        <v>13</v>
      </c>
      <c r="D4" s="3">
        <f>MEDIAN(A2:A97)</f>
        <v>1233.5</v>
      </c>
      <c r="G4">
        <v>1000</v>
      </c>
      <c r="H4">
        <v>2000</v>
      </c>
      <c r="I4" s="18">
        <v>20</v>
      </c>
      <c r="K4" s="5" t="s">
        <v>17</v>
      </c>
      <c r="L4" s="2">
        <f t="shared" si="0"/>
        <v>0.20833333333333334</v>
      </c>
      <c r="Y4">
        <f t="shared" si="1"/>
        <v>4.290459441148391</v>
      </c>
      <c r="Z4">
        <f t="shared" si="2"/>
        <v>18.408042216139364</v>
      </c>
    </row>
    <row r="5" spans="1:26">
      <c r="A5">
        <v>84</v>
      </c>
      <c r="G5">
        <v>2000</v>
      </c>
      <c r="H5">
        <v>3000</v>
      </c>
      <c r="I5" s="18">
        <v>11</v>
      </c>
      <c r="K5" s="5" t="s">
        <v>18</v>
      </c>
      <c r="L5" s="2">
        <f t="shared" si="0"/>
        <v>0.11458333333333333</v>
      </c>
      <c r="Y5">
        <f t="shared" si="1"/>
        <v>4.4308167988433134</v>
      </c>
      <c r="Z5">
        <f t="shared" si="2"/>
        <v>19.632137504912105</v>
      </c>
    </row>
    <row r="6" spans="1:26">
      <c r="A6">
        <v>102</v>
      </c>
      <c r="C6" t="s">
        <v>39</v>
      </c>
      <c r="D6" s="12">
        <f>D2*96</f>
        <v>287024</v>
      </c>
      <c r="G6">
        <v>3000</v>
      </c>
      <c r="H6">
        <v>4000</v>
      </c>
      <c r="I6" s="18">
        <v>7</v>
      </c>
      <c r="K6" s="5" t="s">
        <v>19</v>
      </c>
      <c r="L6" s="2">
        <f t="shared" si="0"/>
        <v>7.2916666666666671E-2</v>
      </c>
      <c r="Y6">
        <f t="shared" si="1"/>
        <v>4.6249728132842707</v>
      </c>
      <c r="Z6">
        <f t="shared" si="2"/>
        <v>21.390373523618621</v>
      </c>
    </row>
    <row r="7" spans="1:26">
      <c r="A7">
        <v>115</v>
      </c>
      <c r="C7" t="s">
        <v>32</v>
      </c>
      <c r="D7" s="12">
        <f>SUMSQ(A2:A97)/96</f>
        <v>55455693.645833336</v>
      </c>
      <c r="G7">
        <v>4000</v>
      </c>
      <c r="H7">
        <v>5000</v>
      </c>
      <c r="I7" s="18">
        <v>2</v>
      </c>
      <c r="K7" s="5" t="s">
        <v>20</v>
      </c>
      <c r="L7" s="2">
        <f t="shared" si="0"/>
        <v>2.0833333333333332E-2</v>
      </c>
      <c r="Y7">
        <f t="shared" si="1"/>
        <v>4.7449321283632502</v>
      </c>
      <c r="Z7">
        <f t="shared" si="2"/>
        <v>22.514380902773802</v>
      </c>
    </row>
    <row r="8" spans="1:26">
      <c r="A8">
        <v>132</v>
      </c>
      <c r="C8" t="s">
        <v>37</v>
      </c>
      <c r="D8" s="12">
        <f>SUM(Y2:Y97)</f>
        <v>674.0619028406536</v>
      </c>
      <c r="G8">
        <v>5000</v>
      </c>
      <c r="H8">
        <v>6000</v>
      </c>
      <c r="I8" s="18">
        <v>3</v>
      </c>
      <c r="K8" s="5" t="s">
        <v>21</v>
      </c>
      <c r="L8" s="2">
        <f t="shared" si="0"/>
        <v>3.125E-2</v>
      </c>
      <c r="Y8">
        <f t="shared" si="1"/>
        <v>4.8828019225863706</v>
      </c>
      <c r="Z8">
        <f t="shared" si="2"/>
        <v>23.841754615213159</v>
      </c>
    </row>
    <row r="9" spans="1:26">
      <c r="A9">
        <v>159</v>
      </c>
      <c r="C9" t="s">
        <v>65</v>
      </c>
      <c r="D9" s="6">
        <f>SUM(Z2:Z97)</f>
        <v>4920.7389301708199</v>
      </c>
      <c r="G9">
        <v>6000</v>
      </c>
      <c r="H9">
        <v>7000</v>
      </c>
      <c r="I9" s="18">
        <v>1</v>
      </c>
      <c r="K9" s="5" t="s">
        <v>22</v>
      </c>
      <c r="L9" s="2">
        <f t="shared" si="0"/>
        <v>1.0416666666666666E-2</v>
      </c>
      <c r="Y9">
        <f t="shared" si="1"/>
        <v>5.0689042022202315</v>
      </c>
      <c r="Z9">
        <f t="shared" si="2"/>
        <v>25.693789811285921</v>
      </c>
    </row>
    <row r="10" spans="1:26">
      <c r="A10">
        <v>207</v>
      </c>
      <c r="D10" s="14"/>
      <c r="G10">
        <v>7000</v>
      </c>
      <c r="H10">
        <v>8000</v>
      </c>
      <c r="I10" s="18">
        <v>3</v>
      </c>
      <c r="K10" s="5" t="s">
        <v>23</v>
      </c>
      <c r="L10" s="2">
        <f t="shared" si="0"/>
        <v>3.125E-2</v>
      </c>
      <c r="Y10">
        <f t="shared" si="1"/>
        <v>5.3327187932653688</v>
      </c>
      <c r="Z10">
        <f t="shared" si="2"/>
        <v>28.437889728045651</v>
      </c>
    </row>
    <row r="11" spans="1:26">
      <c r="A11">
        <v>240</v>
      </c>
      <c r="C11" t="s">
        <v>31</v>
      </c>
      <c r="D11" s="11">
        <v>0.25</v>
      </c>
      <c r="E11" s="11">
        <v>0.75</v>
      </c>
      <c r="G11">
        <v>8000</v>
      </c>
      <c r="H11">
        <v>9000</v>
      </c>
      <c r="I11" s="18">
        <v>1</v>
      </c>
      <c r="K11" s="5" t="s">
        <v>24</v>
      </c>
      <c r="L11" s="2">
        <f t="shared" si="0"/>
        <v>1.0416666666666666E-2</v>
      </c>
      <c r="Y11">
        <f t="shared" si="1"/>
        <v>5.4806389233419912</v>
      </c>
      <c r="Z11">
        <f t="shared" si="2"/>
        <v>30.03740300805126</v>
      </c>
    </row>
    <row r="12" spans="1:26">
      <c r="A12">
        <v>241</v>
      </c>
      <c r="C12" t="s">
        <v>79</v>
      </c>
      <c r="D12" s="13">
        <f>'X data'!A25+0.25*('X data'!A26-'X data'!A25)</f>
        <v>401</v>
      </c>
      <c r="E12" s="13">
        <f>'X data'!A73+0.75*('X data'!A74-'X data'!A73)</f>
        <v>2836.75</v>
      </c>
      <c r="G12">
        <v>9000</v>
      </c>
      <c r="H12">
        <v>10000</v>
      </c>
      <c r="I12" s="18">
        <v>1</v>
      </c>
      <c r="K12" s="5" t="s">
        <v>25</v>
      </c>
      <c r="L12" s="2">
        <f t="shared" si="0"/>
        <v>1.0416666666666666E-2</v>
      </c>
      <c r="Y12">
        <f t="shared" si="1"/>
        <v>5.4847969334906548</v>
      </c>
      <c r="Z12">
        <f t="shared" si="2"/>
        <v>30.082997401628489</v>
      </c>
    </row>
    <row r="13" spans="1:26">
      <c r="A13">
        <v>254</v>
      </c>
      <c r="G13">
        <v>10000</v>
      </c>
      <c r="I13" s="18">
        <v>4</v>
      </c>
      <c r="K13" s="5" t="s">
        <v>26</v>
      </c>
      <c r="L13" s="2">
        <f t="shared" si="0"/>
        <v>4.1666666666666664E-2</v>
      </c>
      <c r="Y13">
        <f t="shared" si="1"/>
        <v>5.5373342670185366</v>
      </c>
      <c r="Z13">
        <f t="shared" si="2"/>
        <v>30.662070784697715</v>
      </c>
    </row>
    <row r="14" spans="1:26">
      <c r="A14">
        <v>268</v>
      </c>
      <c r="Y14">
        <f t="shared" si="1"/>
        <v>5.5909869805108565</v>
      </c>
      <c r="Z14">
        <f t="shared" si="2"/>
        <v>31.259135416241904</v>
      </c>
    </row>
    <row r="15" spans="1:26">
      <c r="A15">
        <v>272</v>
      </c>
      <c r="Y15">
        <f t="shared" si="1"/>
        <v>5.6058020662959978</v>
      </c>
      <c r="Z15">
        <f t="shared" si="2"/>
        <v>31.425016806488479</v>
      </c>
    </row>
    <row r="16" spans="1:26">
      <c r="A16">
        <v>282</v>
      </c>
      <c r="Y16">
        <f t="shared" si="1"/>
        <v>5.6419070709381138</v>
      </c>
      <c r="Z16">
        <f t="shared" si="2"/>
        <v>31.831115397101488</v>
      </c>
    </row>
    <row r="17" spans="1:26">
      <c r="A17">
        <v>300</v>
      </c>
      <c r="Y17">
        <f t="shared" si="1"/>
        <v>5.7037824746562009</v>
      </c>
      <c r="Z17">
        <f t="shared" si="2"/>
        <v>32.533134518195219</v>
      </c>
    </row>
    <row r="18" spans="1:26">
      <c r="A18">
        <v>302</v>
      </c>
      <c r="Y18">
        <f t="shared" si="1"/>
        <v>5.7104270173748697</v>
      </c>
      <c r="Z18">
        <f t="shared" si="2"/>
        <v>32.608976720764851</v>
      </c>
    </row>
    <row r="19" spans="1:26">
      <c r="A19">
        <v>329</v>
      </c>
      <c r="Y19">
        <f t="shared" si="1"/>
        <v>5.7960577507653719</v>
      </c>
      <c r="Z19">
        <f t="shared" si="2"/>
        <v>33.594285450207344</v>
      </c>
    </row>
    <row r="20" spans="1:26">
      <c r="A20">
        <v>346</v>
      </c>
      <c r="Y20">
        <f t="shared" si="1"/>
        <v>5.8464387750577247</v>
      </c>
      <c r="Z20">
        <f t="shared" si="2"/>
        <v>34.18084635049847</v>
      </c>
    </row>
    <row r="21" spans="1:26">
      <c r="A21">
        <v>359</v>
      </c>
      <c r="Y21">
        <f t="shared" si="1"/>
        <v>5.8833223884882786</v>
      </c>
      <c r="Z21">
        <f t="shared" si="2"/>
        <v>34.613482326887421</v>
      </c>
    </row>
    <row r="22" spans="1:26">
      <c r="A22">
        <v>367</v>
      </c>
      <c r="Y22">
        <f t="shared" si="1"/>
        <v>5.9053618480545707</v>
      </c>
      <c r="Z22">
        <f t="shared" si="2"/>
        <v>34.873298556458494</v>
      </c>
    </row>
    <row r="23" spans="1:26">
      <c r="A23">
        <v>375</v>
      </c>
      <c r="Y23">
        <f t="shared" si="1"/>
        <v>5.9269260259704106</v>
      </c>
      <c r="Z23">
        <f t="shared" si="2"/>
        <v>35.128452117325402</v>
      </c>
    </row>
    <row r="24" spans="1:26">
      <c r="A24">
        <v>378</v>
      </c>
      <c r="Y24">
        <f t="shared" si="1"/>
        <v>5.934894195619588</v>
      </c>
      <c r="Z24">
        <f t="shared" si="2"/>
        <v>35.222969113199078</v>
      </c>
    </row>
    <row r="25" spans="1:26">
      <c r="A25">
        <v>384</v>
      </c>
      <c r="Y25">
        <f t="shared" si="1"/>
        <v>5.9506425525877269</v>
      </c>
      <c r="Z25">
        <f t="shared" si="2"/>
        <v>35.410146788667781</v>
      </c>
    </row>
    <row r="26" spans="1:26">
      <c r="A26">
        <v>452</v>
      </c>
      <c r="Y26">
        <f t="shared" si="1"/>
        <v>6.1136821798322316</v>
      </c>
      <c r="Z26">
        <f t="shared" si="2"/>
        <v>37.377109795998187</v>
      </c>
    </row>
    <row r="27" spans="1:26">
      <c r="A27">
        <v>475</v>
      </c>
      <c r="Y27">
        <f t="shared" si="1"/>
        <v>6.1633148040346413</v>
      </c>
      <c r="Z27">
        <f t="shared" si="2"/>
        <v>37.986449373632567</v>
      </c>
    </row>
    <row r="28" spans="1:26">
      <c r="A28">
        <v>495</v>
      </c>
      <c r="Y28">
        <f t="shared" si="1"/>
        <v>6.2045577625686903</v>
      </c>
      <c r="Z28">
        <f t="shared" si="2"/>
        <v>38.496537029051389</v>
      </c>
    </row>
    <row r="29" spans="1:26">
      <c r="A29">
        <v>503</v>
      </c>
      <c r="N29" s="2"/>
      <c r="Y29">
        <f t="shared" si="1"/>
        <v>6.2205901700997392</v>
      </c>
      <c r="Z29">
        <f t="shared" si="2"/>
        <v>38.695742064341502</v>
      </c>
    </row>
    <row r="30" spans="1:26">
      <c r="A30">
        <v>531</v>
      </c>
      <c r="Y30">
        <f t="shared" si="1"/>
        <v>6.2747620212419388</v>
      </c>
      <c r="Z30">
        <f t="shared" si="2"/>
        <v>39.372638423220224</v>
      </c>
    </row>
    <row r="31" spans="1:26">
      <c r="A31">
        <v>543</v>
      </c>
      <c r="N31" s="2"/>
      <c r="Y31">
        <f t="shared" si="1"/>
        <v>6.2971093199339352</v>
      </c>
      <c r="Z31">
        <f t="shared" si="2"/>
        <v>39.653585787198828</v>
      </c>
    </row>
    <row r="32" spans="1:26">
      <c r="A32">
        <v>563</v>
      </c>
      <c r="Y32">
        <f t="shared" si="1"/>
        <v>6.3332796281396906</v>
      </c>
      <c r="Z32">
        <f t="shared" si="2"/>
        <v>40.110430848209219</v>
      </c>
    </row>
    <row r="33" spans="1:26">
      <c r="A33">
        <v>594</v>
      </c>
      <c r="N33" s="3"/>
      <c r="Y33">
        <f t="shared" si="1"/>
        <v>6.3868793193626452</v>
      </c>
      <c r="Z33">
        <f t="shared" si="2"/>
        <v>40.792227440102245</v>
      </c>
    </row>
    <row r="34" spans="1:26">
      <c r="A34">
        <v>609</v>
      </c>
      <c r="Y34">
        <f t="shared" si="1"/>
        <v>6.4118182677098972</v>
      </c>
      <c r="Z34">
        <f t="shared" si="2"/>
        <v>41.111413498138347</v>
      </c>
    </row>
    <row r="35" spans="1:26">
      <c r="A35">
        <v>671</v>
      </c>
      <c r="Y35">
        <f t="shared" si="1"/>
        <v>6.508769136971682</v>
      </c>
      <c r="Z35">
        <f t="shared" si="2"/>
        <v>42.364075678395096</v>
      </c>
    </row>
    <row r="36" spans="1:26">
      <c r="A36">
        <v>687</v>
      </c>
      <c r="Y36">
        <f t="shared" si="1"/>
        <v>6.5323342922223491</v>
      </c>
      <c r="Z36">
        <f t="shared" si="2"/>
        <v>42.671391305344059</v>
      </c>
    </row>
    <row r="37" spans="1:26">
      <c r="A37">
        <v>691</v>
      </c>
      <c r="Y37">
        <f t="shared" si="1"/>
        <v>6.5381398237676702</v>
      </c>
      <c r="Z37">
        <f t="shared" si="2"/>
        <v>42.747272355136744</v>
      </c>
    </row>
    <row r="38" spans="1:26">
      <c r="A38">
        <v>716</v>
      </c>
      <c r="Y38">
        <f t="shared" si="1"/>
        <v>6.5736801669606457</v>
      </c>
      <c r="Z38">
        <f t="shared" si="2"/>
        <v>43.213270937491743</v>
      </c>
    </row>
    <row r="39" spans="1:26">
      <c r="A39">
        <v>757</v>
      </c>
      <c r="Y39">
        <f t="shared" si="1"/>
        <v>6.6293632534374485</v>
      </c>
      <c r="Z39">
        <f t="shared" si="2"/>
        <v>43.948457146026755</v>
      </c>
    </row>
    <row r="40" spans="1:26">
      <c r="A40">
        <v>821</v>
      </c>
      <c r="Y40">
        <f t="shared" si="1"/>
        <v>6.7105231094524278</v>
      </c>
      <c r="Z40">
        <f t="shared" si="2"/>
        <v>45.031120402495077</v>
      </c>
    </row>
    <row r="41" spans="1:26">
      <c r="A41">
        <v>829</v>
      </c>
      <c r="Y41">
        <f t="shared" si="1"/>
        <v>6.7202201551352951</v>
      </c>
      <c r="Z41">
        <f t="shared" si="2"/>
        <v>45.161358933486653</v>
      </c>
    </row>
    <row r="42" spans="1:26">
      <c r="A42">
        <v>885</v>
      </c>
      <c r="Y42">
        <f t="shared" si="1"/>
        <v>6.7855876450079293</v>
      </c>
      <c r="Z42">
        <f t="shared" si="2"/>
        <v>46.044199688084255</v>
      </c>
    </row>
    <row r="43" spans="1:26">
      <c r="A43">
        <v>893</v>
      </c>
      <c r="Y43">
        <f t="shared" si="1"/>
        <v>6.7945865808764987</v>
      </c>
      <c r="Z43">
        <f t="shared" si="2"/>
        <v>46.166406805026988</v>
      </c>
    </row>
    <row r="44" spans="1:26">
      <c r="A44">
        <v>968</v>
      </c>
      <c r="Y44">
        <f t="shared" si="1"/>
        <v>6.8752320872765766</v>
      </c>
      <c r="Z44">
        <f t="shared" si="2"/>
        <v>47.268816253917436</v>
      </c>
    </row>
    <row r="45" spans="1:26">
      <c r="A45">
        <v>1053</v>
      </c>
      <c r="Y45">
        <f t="shared" si="1"/>
        <v>6.9593985121339754</v>
      </c>
      <c r="Z45">
        <f t="shared" si="2"/>
        <v>48.433227650692594</v>
      </c>
    </row>
    <row r="46" spans="1:26">
      <c r="A46">
        <v>1081</v>
      </c>
      <c r="Y46">
        <f t="shared" si="1"/>
        <v>6.9856418176392081</v>
      </c>
      <c r="Z46">
        <f t="shared" si="2"/>
        <v>48.799191604349616</v>
      </c>
    </row>
    <row r="47" spans="1:26">
      <c r="A47">
        <v>1083</v>
      </c>
      <c r="Y47">
        <f t="shared" si="1"/>
        <v>6.9874902470009905</v>
      </c>
      <c r="Z47">
        <f t="shared" si="2"/>
        <v>48.82501995193396</v>
      </c>
    </row>
    <row r="48" spans="1:26">
      <c r="A48">
        <v>1150</v>
      </c>
      <c r="Y48">
        <f t="shared" si="1"/>
        <v>7.0475172213572961</v>
      </c>
      <c r="Z48">
        <f t="shared" si="2"/>
        <v>49.667498985327661</v>
      </c>
    </row>
    <row r="49" spans="1:26">
      <c r="A49">
        <v>1205</v>
      </c>
      <c r="Y49">
        <f t="shared" si="1"/>
        <v>7.0942348459247553</v>
      </c>
      <c r="Z49">
        <f t="shared" si="2"/>
        <v>50.328168049133033</v>
      </c>
    </row>
    <row r="50" spans="1:26">
      <c r="A50">
        <v>1262</v>
      </c>
      <c r="Y50">
        <f t="shared" si="1"/>
        <v>7.1404530431011581</v>
      </c>
      <c r="Z50">
        <f t="shared" si="2"/>
        <v>50.986069660732589</v>
      </c>
    </row>
    <row r="51" spans="1:26">
      <c r="A51">
        <v>1270</v>
      </c>
      <c r="Y51">
        <f t="shared" si="1"/>
        <v>7.1467721794526371</v>
      </c>
      <c r="Z51">
        <f t="shared" si="2"/>
        <v>51.076352584998197</v>
      </c>
    </row>
    <row r="52" spans="1:26">
      <c r="A52">
        <v>1351</v>
      </c>
      <c r="Y52">
        <f t="shared" si="1"/>
        <v>7.2086003379601991</v>
      </c>
      <c r="Z52">
        <f t="shared" si="2"/>
        <v>51.963918832439894</v>
      </c>
    </row>
    <row r="53" spans="1:26">
      <c r="A53">
        <v>1385</v>
      </c>
      <c r="Y53">
        <f t="shared" si="1"/>
        <v>7.233455418621439</v>
      </c>
      <c r="Z53">
        <f t="shared" si="2"/>
        <v>52.322877293183858</v>
      </c>
    </row>
    <row r="54" spans="1:26">
      <c r="A54">
        <v>1498</v>
      </c>
      <c r="Y54">
        <f t="shared" si="1"/>
        <v>7.3118861640771646</v>
      </c>
      <c r="Z54">
        <f t="shared" si="2"/>
        <v>53.463679276423072</v>
      </c>
    </row>
    <row r="55" spans="1:26">
      <c r="A55">
        <v>1546</v>
      </c>
      <c r="Y55">
        <f t="shared" si="1"/>
        <v>7.3434262291473669</v>
      </c>
      <c r="Z55">
        <f t="shared" si="2"/>
        <v>53.925908782929518</v>
      </c>
    </row>
    <row r="56" spans="1:26">
      <c r="A56">
        <v>1565</v>
      </c>
      <c r="Y56">
        <f t="shared" si="1"/>
        <v>7.3556411029742534</v>
      </c>
      <c r="Z56">
        <f t="shared" si="2"/>
        <v>54.105456035764291</v>
      </c>
    </row>
    <row r="57" spans="1:26">
      <c r="A57">
        <v>1635</v>
      </c>
      <c r="Y57">
        <f t="shared" si="1"/>
        <v>7.399398083331354</v>
      </c>
      <c r="Z57">
        <f t="shared" si="2"/>
        <v>54.751091995607716</v>
      </c>
    </row>
    <row r="58" spans="1:26">
      <c r="A58">
        <v>1671</v>
      </c>
      <c r="Y58">
        <f t="shared" si="1"/>
        <v>7.4211775285953934</v>
      </c>
      <c r="Z58">
        <f t="shared" si="2"/>
        <v>55.073875910929232</v>
      </c>
    </row>
    <row r="59" spans="1:26">
      <c r="A59">
        <v>1706</v>
      </c>
      <c r="Y59">
        <f t="shared" si="1"/>
        <v>7.4419067280516247</v>
      </c>
      <c r="Z59">
        <f t="shared" si="2"/>
        <v>55.381975749020036</v>
      </c>
    </row>
    <row r="60" spans="1:26">
      <c r="A60">
        <v>1820</v>
      </c>
      <c r="Y60">
        <f t="shared" si="1"/>
        <v>7.506591780070841</v>
      </c>
      <c r="Z60">
        <f t="shared" si="2"/>
        <v>56.348920152627116</v>
      </c>
    </row>
    <row r="61" spans="1:26">
      <c r="A61">
        <v>1829</v>
      </c>
      <c r="Y61">
        <f t="shared" si="1"/>
        <v>7.511524648390866</v>
      </c>
      <c r="Z61">
        <f t="shared" si="2"/>
        <v>56.423002543383525</v>
      </c>
    </row>
    <row r="62" spans="1:26">
      <c r="A62">
        <v>1855</v>
      </c>
      <c r="Y62">
        <f t="shared" si="1"/>
        <v>7.5256399750415355</v>
      </c>
      <c r="Z62">
        <f t="shared" si="2"/>
        <v>56.635257033943162</v>
      </c>
    </row>
    <row r="63" spans="1:26">
      <c r="A63">
        <v>1873</v>
      </c>
      <c r="Y63">
        <f t="shared" si="1"/>
        <v>7.5352967024440884</v>
      </c>
      <c r="Z63">
        <f t="shared" si="2"/>
        <v>56.780696393864751</v>
      </c>
    </row>
    <row r="64" spans="1:26">
      <c r="A64">
        <v>1914</v>
      </c>
      <c r="Y64">
        <f t="shared" si="1"/>
        <v>7.5569505720128998</v>
      </c>
      <c r="Z64">
        <f t="shared" si="2"/>
        <v>57.107501947846096</v>
      </c>
    </row>
    <row r="65" spans="1:26">
      <c r="A65">
        <v>2030</v>
      </c>
      <c r="Y65">
        <f t="shared" si="1"/>
        <v>7.6157910720358331</v>
      </c>
      <c r="Z65">
        <f t="shared" si="2"/>
        <v>58.000273652900702</v>
      </c>
    </row>
    <row r="66" spans="1:26">
      <c r="A66">
        <v>2066</v>
      </c>
      <c r="Y66">
        <f t="shared" si="1"/>
        <v>7.633369649679584</v>
      </c>
      <c r="Z66">
        <f t="shared" si="2"/>
        <v>58.268332208649412</v>
      </c>
    </row>
    <row r="67" spans="1:26">
      <c r="A67">
        <v>2240</v>
      </c>
      <c r="Y67">
        <f t="shared" ref="Y67:Y97" si="3">LN(A67)</f>
        <v>7.7142311448490855</v>
      </c>
      <c r="Z67">
        <f t="shared" ref="Z67:Z97" si="4">Y67^2</f>
        <v>59.509362156159632</v>
      </c>
    </row>
    <row r="68" spans="1:26">
      <c r="A68">
        <v>2413</v>
      </c>
      <c r="Y68">
        <f t="shared" si="3"/>
        <v>7.7886260656250315</v>
      </c>
      <c r="Z68">
        <f t="shared" si="4"/>
        <v>60.662695990133656</v>
      </c>
    </row>
    <row r="69" spans="1:26">
      <c r="A69">
        <v>2421</v>
      </c>
      <c r="Y69">
        <f t="shared" si="3"/>
        <v>7.7919359569380582</v>
      </c>
      <c r="Z69">
        <f t="shared" si="4"/>
        <v>60.71426595702421</v>
      </c>
    </row>
    <row r="70" spans="1:26">
      <c r="A70">
        <v>2521</v>
      </c>
      <c r="Y70">
        <f t="shared" si="3"/>
        <v>7.8324109271879196</v>
      </c>
      <c r="Z70">
        <f t="shared" si="4"/>
        <v>61.346660932332725</v>
      </c>
    </row>
    <row r="71" spans="1:26">
      <c r="A71">
        <v>2586</v>
      </c>
      <c r="Y71">
        <f t="shared" si="3"/>
        <v>7.8578675593318028</v>
      </c>
      <c r="Z71">
        <f t="shared" si="4"/>
        <v>61.746082579999147</v>
      </c>
    </row>
    <row r="72" spans="1:26">
      <c r="A72">
        <v>2727</v>
      </c>
      <c r="Y72">
        <f t="shared" si="3"/>
        <v>7.9109573828455888</v>
      </c>
      <c r="Z72">
        <f t="shared" si="4"/>
        <v>62.583246713199131</v>
      </c>
    </row>
    <row r="73" spans="1:26">
      <c r="A73">
        <v>2797</v>
      </c>
      <c r="Y73">
        <f t="shared" si="3"/>
        <v>7.9363026932019594</v>
      </c>
      <c r="Z73">
        <f t="shared" si="4"/>
        <v>62.984900438124676</v>
      </c>
    </row>
    <row r="74" spans="1:26">
      <c r="A74">
        <v>2850</v>
      </c>
      <c r="Y74">
        <f t="shared" si="3"/>
        <v>7.9550742732626958</v>
      </c>
      <c r="Z74">
        <f t="shared" si="4"/>
        <v>63.283206693126004</v>
      </c>
    </row>
    <row r="75" spans="1:26">
      <c r="A75">
        <v>2989</v>
      </c>
      <c r="Y75">
        <f t="shared" si="3"/>
        <v>8.0026941622839374</v>
      </c>
      <c r="Z75">
        <f t="shared" si="4"/>
        <v>64.043113855053406</v>
      </c>
    </row>
    <row r="76" spans="1:26">
      <c r="A76">
        <v>3110</v>
      </c>
      <c r="Y76">
        <f t="shared" si="3"/>
        <v>8.0423780051732798</v>
      </c>
      <c r="Z76">
        <f t="shared" si="4"/>
        <v>64.679843978094951</v>
      </c>
    </row>
    <row r="77" spans="1:26">
      <c r="A77">
        <v>3166</v>
      </c>
      <c r="Y77">
        <f t="shared" si="3"/>
        <v>8.0602242404409576</v>
      </c>
      <c r="Z77">
        <f t="shared" si="4"/>
        <v>64.967214806192018</v>
      </c>
    </row>
    <row r="78" spans="1:26">
      <c r="A78">
        <v>3383</v>
      </c>
      <c r="Y78">
        <f t="shared" si="3"/>
        <v>8.1265181687807093</v>
      </c>
      <c r="Z78">
        <f t="shared" si="4"/>
        <v>66.040297547522968</v>
      </c>
    </row>
    <row r="79" spans="1:26">
      <c r="A79">
        <v>3443</v>
      </c>
      <c r="Y79">
        <f t="shared" si="3"/>
        <v>8.1440984633385245</v>
      </c>
      <c r="Z79">
        <f t="shared" si="4"/>
        <v>66.326339780552914</v>
      </c>
    </row>
    <row r="80" spans="1:26">
      <c r="A80">
        <v>3512</v>
      </c>
      <c r="Y80">
        <f t="shared" si="3"/>
        <v>8.1639409547550077</v>
      </c>
      <c r="Z80">
        <f t="shared" si="4"/>
        <v>66.649931912726103</v>
      </c>
    </row>
    <row r="81" spans="1:26">
      <c r="A81">
        <v>3515</v>
      </c>
      <c r="Y81">
        <f t="shared" si="3"/>
        <v>8.1647948042447656</v>
      </c>
      <c r="Z81">
        <f t="shared" si="4"/>
        <v>66.663874195422324</v>
      </c>
    </row>
    <row r="82" spans="1:26">
      <c r="A82">
        <v>3531</v>
      </c>
      <c r="Y82">
        <f t="shared" si="3"/>
        <v>8.1693363959283865</v>
      </c>
      <c r="Z82">
        <f t="shared" si="4"/>
        <v>66.738057149840202</v>
      </c>
    </row>
    <row r="83" spans="1:26">
      <c r="A83">
        <v>4068</v>
      </c>
      <c r="Y83">
        <f t="shared" si="3"/>
        <v>8.3109067571684498</v>
      </c>
      <c r="Z83">
        <f t="shared" si="4"/>
        <v>69.071171126348204</v>
      </c>
    </row>
    <row r="84" spans="1:26">
      <c r="A84">
        <v>4527</v>
      </c>
      <c r="Y84">
        <f t="shared" si="3"/>
        <v>8.4178147474359584</v>
      </c>
      <c r="Z84">
        <f t="shared" si="4"/>
        <v>70.859605122150313</v>
      </c>
    </row>
    <row r="85" spans="1:26">
      <c r="A85">
        <v>5006</v>
      </c>
      <c r="Y85">
        <f t="shared" si="3"/>
        <v>8.518392471991719</v>
      </c>
      <c r="Z85">
        <f t="shared" si="4"/>
        <v>72.563010306885189</v>
      </c>
    </row>
    <row r="86" spans="1:26">
      <c r="A86">
        <v>5065</v>
      </c>
      <c r="Y86">
        <f t="shared" si="3"/>
        <v>8.5301094166827838</v>
      </c>
      <c r="Z86">
        <f t="shared" si="4"/>
        <v>72.762766660580297</v>
      </c>
    </row>
    <row r="87" spans="1:26">
      <c r="A87">
        <v>5481</v>
      </c>
      <c r="Y87">
        <f t="shared" si="3"/>
        <v>8.6090428450461172</v>
      </c>
      <c r="Z87">
        <f t="shared" si="4"/>
        <v>74.115618707839744</v>
      </c>
    </row>
    <row r="88" spans="1:26">
      <c r="A88">
        <v>6046</v>
      </c>
      <c r="Y88">
        <f t="shared" si="3"/>
        <v>8.7071521753394041</v>
      </c>
      <c r="Z88">
        <f t="shared" si="4"/>
        <v>75.814499004517714</v>
      </c>
    </row>
    <row r="89" spans="1:26">
      <c r="A89">
        <v>7003</v>
      </c>
      <c r="Y89">
        <f t="shared" si="3"/>
        <v>8.8540939076555176</v>
      </c>
      <c r="Z89">
        <f t="shared" si="4"/>
        <v>78.394978925582549</v>
      </c>
    </row>
    <row r="90" spans="1:26">
      <c r="A90">
        <v>7245</v>
      </c>
      <c r="Y90">
        <f t="shared" si="3"/>
        <v>8.8880668547547828</v>
      </c>
      <c r="Z90">
        <f t="shared" si="4"/>
        <v>78.997732414590573</v>
      </c>
    </row>
    <row r="91" spans="1:26">
      <c r="A91">
        <v>7477</v>
      </c>
      <c r="Y91">
        <f t="shared" si="3"/>
        <v>8.9195869209999152</v>
      </c>
      <c r="Z91">
        <f t="shared" si="4"/>
        <v>79.559030841272744</v>
      </c>
    </row>
    <row r="92" spans="1:26">
      <c r="A92">
        <v>8738</v>
      </c>
      <c r="Y92">
        <f t="shared" si="3"/>
        <v>9.0754366095113816</v>
      </c>
      <c r="Z92">
        <f t="shared" si="4"/>
        <v>82.36354965325944</v>
      </c>
    </row>
    <row r="93" spans="1:26">
      <c r="A93">
        <v>9197</v>
      </c>
      <c r="Y93">
        <f t="shared" si="3"/>
        <v>9.1266326229026973</v>
      </c>
      <c r="Z93">
        <f t="shared" si="4"/>
        <v>83.295423033431774</v>
      </c>
    </row>
    <row r="94" spans="1:26">
      <c r="A94">
        <v>16370</v>
      </c>
      <c r="Y94">
        <f t="shared" si="3"/>
        <v>9.7032056703651808</v>
      </c>
      <c r="Z94">
        <f t="shared" si="4"/>
        <v>94.152200281406991</v>
      </c>
    </row>
    <row r="95" spans="1:26">
      <c r="A95">
        <v>17605</v>
      </c>
      <c r="Y95">
        <f t="shared" si="3"/>
        <v>9.7759382315891532</v>
      </c>
      <c r="Z95">
        <f t="shared" si="4"/>
        <v>95.568968307846461</v>
      </c>
    </row>
    <row r="96" spans="1:26">
      <c r="A96">
        <v>25318</v>
      </c>
      <c r="Y96">
        <f t="shared" si="3"/>
        <v>10.139270884196774</v>
      </c>
      <c r="Z96">
        <f t="shared" si="4"/>
        <v>102.80481406312043</v>
      </c>
    </row>
    <row r="97" spans="1:26">
      <c r="A97">
        <v>58524</v>
      </c>
      <c r="Y97">
        <f t="shared" si="3"/>
        <v>10.977192205498053</v>
      </c>
      <c r="Z97">
        <f t="shared" si="4"/>
        <v>120.49874871644721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>
      <selection activeCell="C6" sqref="C6"/>
    </sheetView>
  </sheetViews>
  <sheetFormatPr defaultRowHeight="15"/>
  <cols>
    <col min="1" max="1" width="14.140625" bestFit="1" customWidth="1"/>
    <col min="2" max="2" width="14.140625" customWidth="1"/>
    <col min="3" max="3" width="11.42578125" customWidth="1"/>
    <col min="4" max="4" width="14.140625" customWidth="1"/>
    <col min="5" max="5" width="11.5703125" customWidth="1"/>
    <col min="6" max="6" width="11.85546875" customWidth="1"/>
  </cols>
  <sheetData>
    <row r="1" spans="1:6">
      <c r="B1" t="s">
        <v>57</v>
      </c>
      <c r="C1" t="s">
        <v>58</v>
      </c>
      <c r="D1" t="s">
        <v>59</v>
      </c>
      <c r="E1" t="s">
        <v>60</v>
      </c>
      <c r="F1" t="s">
        <v>94</v>
      </c>
    </row>
    <row r="3" spans="1:6">
      <c r="B3" t="s">
        <v>30</v>
      </c>
      <c r="C3" t="s">
        <v>29</v>
      </c>
      <c r="D3" t="s">
        <v>36</v>
      </c>
      <c r="E3" t="s">
        <v>67</v>
      </c>
      <c r="F3" t="s">
        <v>29</v>
      </c>
    </row>
    <row r="4" spans="1:6">
      <c r="B4" s="6">
        <f>Exponential!C4</f>
        <v>2989.8333333333335</v>
      </c>
      <c r="C4" s="2">
        <f>Gamma!E3</f>
        <v>0.62567277948074018</v>
      </c>
      <c r="D4" s="2">
        <f>Lognormal!E3</f>
        <v>7.0214781545901417</v>
      </c>
      <c r="E4">
        <f>Weibull!E3</f>
        <v>0.71318433044635687</v>
      </c>
      <c r="F4" s="2">
        <f>Pareto!E3</f>
        <v>1.908877854995209</v>
      </c>
    </row>
    <row r="5" spans="1:6">
      <c r="C5" t="s">
        <v>30</v>
      </c>
      <c r="D5" t="s">
        <v>56</v>
      </c>
      <c r="E5" t="s">
        <v>30</v>
      </c>
      <c r="F5" t="s">
        <v>95</v>
      </c>
    </row>
    <row r="6" spans="1:6">
      <c r="C6" s="6">
        <f>Gamma!E4</f>
        <v>4778.5894342641259</v>
      </c>
      <c r="D6" s="3">
        <f>Lognormal!E4</f>
        <v>1.956541713892797</v>
      </c>
      <c r="E6" s="3">
        <f>Weibull!E4</f>
        <v>245.44838287433879</v>
      </c>
      <c r="F6" s="3">
        <f>Pareto!E4</f>
        <v>2704.4679457030961</v>
      </c>
    </row>
    <row r="7" spans="1:6">
      <c r="B7" s="2"/>
    </row>
    <row r="8" spans="1:6">
      <c r="A8" t="s">
        <v>5</v>
      </c>
    </row>
    <row r="9" spans="1:6">
      <c r="A9">
        <v>100</v>
      </c>
      <c r="B9" s="1">
        <f>EXPONDIST(A9,1/B4,TRUE)</f>
        <v>3.2893524429279508E-2</v>
      </c>
      <c r="C9" s="1">
        <f>GAMMADIST(A9,C$4,C$6,TRUE)</f>
        <v>9.8443992561335875E-2</v>
      </c>
      <c r="D9" s="1">
        <f>NORMDIST(LN(A9),D$4,SQRT(D$6),TRUE)</f>
        <v>4.2042637703687102E-2</v>
      </c>
      <c r="E9" s="1">
        <f>WEIBULL(A9,E$4,E$6^(1/E$4),TRUE)</f>
        <v>0.10304070475651705</v>
      </c>
      <c r="F9" s="1">
        <f>1-(F$6^F$4)/((A9+F$6)^F$4)</f>
        <v>6.6961448757977826E-2</v>
      </c>
    </row>
    <row r="10" spans="1:6">
      <c r="A10">
        <v>200</v>
      </c>
      <c r="B10" s="1">
        <f>EXPONDIST(A10,1/B$4,TRUE)-EXPONDIST(A9,1/B$4,TRUE)</f>
        <v>3.1811540479899758E-2</v>
      </c>
      <c r="C10" s="1">
        <f>GAMMADIST(A10,C$4,C$6,TRUE)-GAMMADIST(A9,C$4,C$6,TRUE)</f>
        <v>5.2238686030417009E-2</v>
      </c>
      <c r="D10" s="1">
        <f>NORMDIST(LN(A10),D$4,SQRT(D$6),TRUE)-NORMDIST(LN(A9),D$4,SQRT(D$6),TRUE)</f>
        <v>6.6947513885130872E-2</v>
      </c>
      <c r="E10" s="1">
        <f>WEIBULL(A10,E$4,E$6^(1/E$4),TRUE)-WEIBULL(A9,E$4,E$6^(1/E$4),TRUE)</f>
        <v>6.0249718357262116E-2</v>
      </c>
      <c r="F10" s="1">
        <f>(F$6^F$4)/((A9+F$6)^F$4)-(F$6^F$4)/((A10+F$6)^F$4)</f>
        <v>6.0360811998282804E-2</v>
      </c>
    </row>
    <row r="11" spans="1:6">
      <c r="A11">
        <v>300</v>
      </c>
      <c r="B11" s="1">
        <f t="shared" ref="B11:B74" si="0">EXPONDIST(A11,1/B$4,TRUE)-EXPONDIST(A10,1/B$4,TRUE)</f>
        <v>3.0765146795991294E-2</v>
      </c>
      <c r="C11" s="1">
        <f t="shared" ref="C11:C74" si="1">GAMMADIST(A11,C$4,C$6,TRUE)-GAMMADIST(A10,C$4,C$6,TRUE)</f>
        <v>4.1973851082664299E-2</v>
      </c>
      <c r="D11" s="1">
        <f t="shared" ref="D11:D74" si="2">NORMDIST(LN(A11),D$4,SQRT(D$6),TRUE)-NORMDIST(LN(A10),D$4,SQRT(D$6),TRUE)</f>
        <v>6.4095250184137753E-2</v>
      </c>
      <c r="E11" s="1">
        <f t="shared" ref="E11:E74" si="3">WEIBULL(A11,E$4,E$6^(1/E$4),TRUE)-WEIBULL(A10,E$4,E$6^(1/E$4),TRUE)</f>
        <v>4.8553078794226323E-2</v>
      </c>
      <c r="F11" s="1">
        <f>(F$6^F$4)/((A10+F$6)^F$4)-(F$6^F$4)/((A11+F$6)^F$4)</f>
        <v>5.4605775354405806E-2</v>
      </c>
    </row>
    <row r="12" spans="1:6">
      <c r="A12">
        <v>400</v>
      </c>
      <c r="B12" s="1">
        <f>EXPONDIST(A12,1/B$4,TRUE)-EXPONDIST(A11,1/B$4,TRUE)</f>
        <v>2.9753172688286922E-2</v>
      </c>
      <c r="C12" s="1">
        <f>GAMMADIST(A12,C$4,C$6,TRUE)-GAMMADIST(A11,C$4,C$6,TRUE)</f>
        <v>3.6175284509715633E-2</v>
      </c>
      <c r="D12" s="1">
        <f t="shared" si="2"/>
        <v>5.7666180151377033E-2</v>
      </c>
      <c r="E12" s="1">
        <f t="shared" si="3"/>
        <v>4.1591571102156166E-2</v>
      </c>
      <c r="F12" s="1">
        <f t="shared" ref="F12:F75" si="4">(F$6^F$4)/((A11+F$6)^F$4)-(F$6^F$4)/((A12+F$6)^F$4)</f>
        <v>4.9564623559678167E-2</v>
      </c>
    </row>
    <row r="13" spans="1:6">
      <c r="A13">
        <v>500</v>
      </c>
      <c r="B13" s="1">
        <f t="shared" si="0"/>
        <v>2.8774485975616271E-2</v>
      </c>
      <c r="C13" s="1">
        <f t="shared" si="1"/>
        <v>3.22215078123754E-2</v>
      </c>
      <c r="D13" s="1">
        <f t="shared" si="2"/>
        <v>5.1270542122793805E-2</v>
      </c>
      <c r="E13" s="1">
        <f t="shared" si="3"/>
        <v>3.6707538611452706E-2</v>
      </c>
      <c r="F13" s="1">
        <f t="shared" si="4"/>
        <v>4.5129576287986195E-2</v>
      </c>
    </row>
    <row r="14" spans="1:6">
      <c r="A14">
        <v>600</v>
      </c>
      <c r="B14" s="1">
        <f t="shared" si="0"/>
        <v>2.7827991718237355E-2</v>
      </c>
      <c r="C14" s="1">
        <f t="shared" si="1"/>
        <v>2.9259721643430325E-2</v>
      </c>
      <c r="D14" s="1">
        <f t="shared" si="2"/>
        <v>4.5595876500992505E-2</v>
      </c>
      <c r="E14" s="1">
        <f t="shared" si="3"/>
        <v>3.2988523102705058E-2</v>
      </c>
      <c r="F14" s="1">
        <f t="shared" si="4"/>
        <v>4.1211854743549492E-2</v>
      </c>
    </row>
    <row r="15" spans="1:6">
      <c r="A15">
        <v>700</v>
      </c>
      <c r="B15" s="1">
        <f t="shared" si="0"/>
        <v>2.6912630992835584E-2</v>
      </c>
      <c r="C15" s="1">
        <f t="shared" si="1"/>
        <v>2.691090663357959E-2</v>
      </c>
      <c r="D15" s="1">
        <f t="shared" si="2"/>
        <v>4.0706111993739746E-2</v>
      </c>
      <c r="E15" s="1">
        <f t="shared" si="3"/>
        <v>3.0012745469125357E-2</v>
      </c>
      <c r="F15" s="1">
        <f t="shared" si="4"/>
        <v>3.7737878501663991E-2</v>
      </c>
    </row>
    <row r="16" spans="1:6">
      <c r="A16">
        <v>800</v>
      </c>
      <c r="B16" s="1">
        <f t="shared" si="0"/>
        <v>2.6027379707816767E-2</v>
      </c>
      <c r="C16" s="1">
        <f t="shared" si="1"/>
        <v>2.4975571786654216E-2</v>
      </c>
      <c r="D16" s="1">
        <f t="shared" si="2"/>
        <v>3.6518769741772261E-2</v>
      </c>
      <c r="E16" s="1">
        <f t="shared" si="3"/>
        <v>2.7551062493510248E-2</v>
      </c>
      <c r="F16" s="1">
        <f t="shared" si="4"/>
        <v>3.4646309146175058E-2</v>
      </c>
    </row>
    <row r="17" spans="1:6">
      <c r="A17">
        <v>900</v>
      </c>
      <c r="B17" s="1">
        <f t="shared" si="0"/>
        <v>2.5171247457567492E-2</v>
      </c>
      <c r="C17" s="1">
        <f t="shared" si="1"/>
        <v>2.3336644189453304E-2</v>
      </c>
      <c r="D17" s="1">
        <f t="shared" si="2"/>
        <v>3.2926774787015889E-2</v>
      </c>
      <c r="E17" s="1">
        <f t="shared" si="3"/>
        <v>2.5465355713753413E-2</v>
      </c>
      <c r="F17" s="1">
        <f t="shared" si="4"/>
        <v>3.188573414665552E-2</v>
      </c>
    </row>
    <row r="18" spans="1:6">
      <c r="A18">
        <v>1000</v>
      </c>
      <c r="B18" s="1">
        <f t="shared" si="0"/>
        <v>2.4343276414406478E-2</v>
      </c>
      <c r="C18" s="1">
        <f t="shared" si="1"/>
        <v>2.1919920975121965E-2</v>
      </c>
      <c r="D18" s="1">
        <f t="shared" si="2"/>
        <v>2.9831082242553708E-2</v>
      </c>
      <c r="E18" s="1">
        <f t="shared" si="3"/>
        <v>2.366606272643168E-2</v>
      </c>
      <c r="F18" s="1">
        <f t="shared" si="4"/>
        <v>2.9412838962430965E-2</v>
      </c>
    </row>
    <row r="19" spans="1:6">
      <c r="A19">
        <v>1100</v>
      </c>
      <c r="B19" s="1">
        <f t="shared" si="0"/>
        <v>2.3542540256980549E-2</v>
      </c>
      <c r="C19" s="1">
        <f t="shared" si="1"/>
        <v>2.0675625391246788E-2</v>
      </c>
      <c r="D19" s="1">
        <f t="shared" si="2"/>
        <v>2.7147918168046736E-2</v>
      </c>
      <c r="E19" s="1">
        <f t="shared" si="3"/>
        <v>2.209186173729627E-2</v>
      </c>
      <c r="F19" s="1">
        <f t="shared" si="4"/>
        <v>2.7190954460429961E-2</v>
      </c>
    </row>
    <row r="20" spans="1:6">
      <c r="A20">
        <v>1200</v>
      </c>
      <c r="B20" s="1">
        <f t="shared" si="0"/>
        <v>2.276814313391029E-2</v>
      </c>
      <c r="C20" s="1">
        <f t="shared" si="1"/>
        <v>1.9568825808833457E-2</v>
      </c>
      <c r="D20" s="1">
        <f t="shared" si="2"/>
        <v>2.4808566685953215E-2</v>
      </c>
      <c r="E20" s="1">
        <f t="shared" si="3"/>
        <v>2.0698960630002428E-2</v>
      </c>
      <c r="F20" s="1">
        <f t="shared" si="4"/>
        <v>2.5188895042264126E-2</v>
      </c>
    </row>
    <row r="21" spans="1:6">
      <c r="A21">
        <v>1300</v>
      </c>
      <c r="B21" s="1">
        <f t="shared" si="0"/>
        <v>2.2019218661525675E-2</v>
      </c>
      <c r="C21" s="1">
        <f t="shared" si="1"/>
        <v>1.8574127178658584E-2</v>
      </c>
      <c r="D21" s="1">
        <f t="shared" si="2"/>
        <v>2.2757206390212281E-2</v>
      </c>
      <c r="E21" s="1">
        <f t="shared" si="3"/>
        <v>1.9455016812754189E-2</v>
      </c>
      <c r="F21" s="1">
        <f t="shared" si="4"/>
        <v>2.3380023564164576E-2</v>
      </c>
    </row>
    <row r="22" spans="1:6">
      <c r="A22">
        <v>1400</v>
      </c>
      <c r="B22" s="1">
        <f t="shared" si="0"/>
        <v>2.1294928954569081E-2</v>
      </c>
      <c r="C22" s="1">
        <f t="shared" si="1"/>
        <v>1.7672518568674245E-2</v>
      </c>
      <c r="D22" s="1">
        <f t="shared" si="2"/>
        <v>2.0948525725932088E-2</v>
      </c>
      <c r="E22" s="1">
        <f t="shared" si="3"/>
        <v>1.8335478821473239E-2</v>
      </c>
      <c r="F22" s="1">
        <f t="shared" si="4"/>
        <v>2.1741494386577354E-2</v>
      </c>
    </row>
    <row r="23" spans="1:6">
      <c r="A23">
        <v>1500</v>
      </c>
      <c r="B23" s="1">
        <f t="shared" si="0"/>
        <v>2.0594463688782261E-2</v>
      </c>
      <c r="C23" s="1">
        <f t="shared" si="1"/>
        <v>1.6849416466887757E-2</v>
      </c>
      <c r="D23" s="1">
        <f t="shared" si="2"/>
        <v>1.9345622316523037E-2</v>
      </c>
      <c r="E23" s="1">
        <f t="shared" si="3"/>
        <v>1.7321278747344682E-2</v>
      </c>
      <c r="F23" s="1">
        <f t="shared" si="4"/>
        <v>2.0253637230369548E-2</v>
      </c>
    </row>
    <row r="24" spans="1:6">
      <c r="A24">
        <v>1600</v>
      </c>
      <c r="B24" s="1">
        <f t="shared" si="0"/>
        <v>1.9917039194327302E-2</v>
      </c>
      <c r="C24" s="1">
        <f t="shared" si="1"/>
        <v>1.6093408819045918E-2</v>
      </c>
      <c r="D24" s="1">
        <f t="shared" si="2"/>
        <v>1.791828550192287E-2</v>
      </c>
      <c r="E24" s="1">
        <f t="shared" si="3"/>
        <v>1.6397318749479917E-2</v>
      </c>
      <c r="F24" s="1">
        <f t="shared" si="4"/>
        <v>1.8899453014391832E-2</v>
      </c>
    </row>
    <row r="25" spans="1:6">
      <c r="A25">
        <v>1700</v>
      </c>
      <c r="B25" s="1">
        <f t="shared" si="0"/>
        <v>1.9261897579029852E-2</v>
      </c>
      <c r="C25" s="1">
        <f t="shared" si="1"/>
        <v>1.5395367190153553E-2</v>
      </c>
      <c r="D25" s="1">
        <f t="shared" si="2"/>
        <v>1.664163331150037E-2</v>
      </c>
      <c r="E25" s="1">
        <f t="shared" si="3"/>
        <v>1.5551445204470271E-2</v>
      </c>
      <c r="F25" s="1">
        <f t="shared" si="4"/>
        <v>1.7664199264803893E-2</v>
      </c>
    </row>
    <row r="26" spans="1:6">
      <c r="A26">
        <v>1800</v>
      </c>
      <c r="B26" s="1">
        <f t="shared" si="0"/>
        <v>1.8628305880459717E-2</v>
      </c>
      <c r="C26" s="1">
        <f t="shared" si="1"/>
        <v>1.4747938875383504E-2</v>
      </c>
      <c r="D26" s="1">
        <f t="shared" si="2"/>
        <v>1.5495042971124362E-2</v>
      </c>
      <c r="E26" s="1">
        <f t="shared" si="3"/>
        <v>1.4773733570166203E-2</v>
      </c>
      <c r="F26" s="1">
        <f t="shared" si="4"/>
        <v>1.6535047564801231E-2</v>
      </c>
    </row>
    <row r="27" spans="1:6">
      <c r="A27">
        <v>1900</v>
      </c>
      <c r="B27" s="1">
        <f t="shared" si="0"/>
        <v>1.8015555245904813E-2</v>
      </c>
      <c r="C27" s="1">
        <f t="shared" si="1"/>
        <v>1.4145067152844581E-2</v>
      </c>
      <c r="D27" s="1">
        <f t="shared" si="2"/>
        <v>1.4461314006585901E-2</v>
      </c>
      <c r="E27" s="1">
        <f t="shared" si="3"/>
        <v>1.405597759932975E-2</v>
      </c>
      <c r="F27" s="1">
        <f t="shared" si="4"/>
        <v>1.5500799247648078E-2</v>
      </c>
    </row>
    <row r="28" spans="1:6">
      <c r="A28">
        <v>2000</v>
      </c>
      <c r="B28" s="1">
        <f t="shared" si="0"/>
        <v>1.7422960139316546E-2</v>
      </c>
      <c r="C28" s="1">
        <f t="shared" si="1"/>
        <v>1.3581725812638279E-2</v>
      </c>
      <c r="D28" s="1">
        <f t="shared" si="2"/>
        <v>1.3526012241815266E-2</v>
      </c>
      <c r="E28" s="1">
        <f t="shared" si="3"/>
        <v>1.3391316691210298E-2</v>
      </c>
      <c r="F28" s="1">
        <f t="shared" si="4"/>
        <v>1.4551648412993612E-2</v>
      </c>
    </row>
    <row r="29" spans="1:6">
      <c r="A29">
        <v>2100</v>
      </c>
      <c r="B29" s="1">
        <f t="shared" si="0"/>
        <v>1.6849857574343652E-2</v>
      </c>
      <c r="C29" s="1">
        <f t="shared" si="1"/>
        <v>1.3053694905476365E-2</v>
      </c>
      <c r="D29" s="1">
        <f t="shared" si="2"/>
        <v>1.2676953515233014E-2</v>
      </c>
      <c r="E29" s="1">
        <f t="shared" si="3"/>
        <v>1.2773958895987092E-2</v>
      </c>
      <c r="F29" s="1">
        <f t="shared" si="4"/>
        <v>1.3678983576626114E-2</v>
      </c>
    </row>
    <row r="30" spans="1:6">
      <c r="A30">
        <v>2200</v>
      </c>
      <c r="B30" s="1">
        <f t="shared" si="0"/>
        <v>1.6295606372591864E-2</v>
      </c>
      <c r="C30" s="1">
        <f t="shared" si="1"/>
        <v>1.2557397267048631E-2</v>
      </c>
      <c r="D30" s="1">
        <f t="shared" si="2"/>
        <v>1.190379521842766E-2</v>
      </c>
      <c r="E30" s="1">
        <f t="shared" si="3"/>
        <v>1.2198971576162343E-2</v>
      </c>
      <c r="F30" s="1">
        <f t="shared" si="4"/>
        <v>1.2875221002804527E-2</v>
      </c>
    </row>
    <row r="31" spans="1:6">
      <c r="A31">
        <v>2300</v>
      </c>
      <c r="B31" s="1">
        <f t="shared" si="0"/>
        <v>1.575958644628539E-2</v>
      </c>
      <c r="C31" s="1">
        <f t="shared" si="1"/>
        <v>1.2089774276656473E-2</v>
      </c>
      <c r="D31" s="1">
        <f t="shared" si="2"/>
        <v>1.1197711243915887E-2</v>
      </c>
      <c r="E31" s="1">
        <f t="shared" si="3"/>
        <v>1.1662120836750112E-2</v>
      </c>
      <c r="F31" s="1">
        <f t="shared" si="4"/>
        <v>1.2133664131563249E-2</v>
      </c>
    </row>
    <row r="32" spans="1:6">
      <c r="A32">
        <v>2400</v>
      </c>
      <c r="B32" s="1">
        <f t="shared" si="0"/>
        <v>1.524119810451896E-2</v>
      </c>
      <c r="C32" s="1">
        <f t="shared" si="1"/>
        <v>1.1648190119720403E-2</v>
      </c>
      <c r="D32" s="1">
        <f t="shared" si="2"/>
        <v>1.0551131729242824E-2</v>
      </c>
      <c r="E32" s="1">
        <f t="shared" si="3"/>
        <v>1.1159746710073581E-2</v>
      </c>
      <c r="F32" s="1">
        <f t="shared" si="4"/>
        <v>1.1448384588258587E-2</v>
      </c>
    </row>
    <row r="33" spans="1:6">
      <c r="A33">
        <v>2500</v>
      </c>
      <c r="B33" s="1">
        <f t="shared" si="0"/>
        <v>1.4739861382336517E-2</v>
      </c>
      <c r="C33" s="1">
        <f t="shared" si="1"/>
        <v>1.1230371176593645E-2</v>
      </c>
      <c r="D33" s="1">
        <f t="shared" si="2"/>
        <v>9.9575334007200311E-3</v>
      </c>
      <c r="E33" s="1">
        <f t="shared" si="3"/>
        <v>1.0688664957346106E-2</v>
      </c>
      <c r="F33" s="1">
        <f t="shared" si="4"/>
        <v>1.0814121114015196E-2</v>
      </c>
    </row>
    <row r="34" spans="1:6">
      <c r="A34">
        <v>2600</v>
      </c>
      <c r="B34" s="1">
        <f t="shared" si="0"/>
        <v>1.4255015391872572E-2</v>
      </c>
      <c r="C34" s="1">
        <f t="shared" si="1"/>
        <v>1.0834281876786034E-2</v>
      </c>
      <c r="D34" s="1">
        <f t="shared" si="2"/>
        <v>9.4112696567489884E-3</v>
      </c>
      <c r="E34" s="1">
        <f t="shared" si="3"/>
        <v>1.0246088960649158E-2</v>
      </c>
      <c r="F34" s="1">
        <f t="shared" si="4"/>
        <v>1.0226193433670649E-2</v>
      </c>
    </row>
    <row r="35" spans="1:6">
      <c r="A35">
        <v>2700</v>
      </c>
      <c r="B35" s="1">
        <f t="shared" si="0"/>
        <v>1.3786117694840061E-2</v>
      </c>
      <c r="C35" s="1">
        <f t="shared" si="1"/>
        <v>1.0458199167147408E-2</v>
      </c>
      <c r="D35" s="1">
        <f t="shared" si="2"/>
        <v>8.9074320470174939E-3</v>
      </c>
      <c r="E35" s="1">
        <f t="shared" si="3"/>
        <v>9.8295669713895917E-3</v>
      </c>
      <c r="F35" s="1">
        <f t="shared" si="4"/>
        <v>9.6804286200742884E-3</v>
      </c>
    </row>
    <row r="36" spans="1:6">
      <c r="A36">
        <v>2800</v>
      </c>
      <c r="B36" s="1">
        <f t="shared" si="0"/>
        <v>1.3332643695660007E-2</v>
      </c>
      <c r="C36" s="1">
        <f t="shared" si="1"/>
        <v>1.0100560852962626E-2</v>
      </c>
      <c r="D36" s="1">
        <f t="shared" si="2"/>
        <v>8.441736704115077E-3</v>
      </c>
      <c r="E36" s="1">
        <f t="shared" si="3"/>
        <v>9.4369312326950672E-3</v>
      </c>
      <c r="F36" s="1">
        <f t="shared" si="4"/>
        <v>9.1730979493456766E-3</v>
      </c>
    </row>
    <row r="37" spans="1:6">
      <c r="A37">
        <v>2900</v>
      </c>
      <c r="B37" s="1">
        <f t="shared" si="0"/>
        <v>1.2894086054549891E-2</v>
      </c>
      <c r="C37" s="1">
        <f t="shared" si="1"/>
        <v>9.7599884063278575E-3</v>
      </c>
      <c r="D37" s="1">
        <f t="shared" si="2"/>
        <v>8.0104307238583194E-3</v>
      </c>
      <c r="E37" s="1">
        <f t="shared" si="3"/>
        <v>9.0662563805010699E-3</v>
      </c>
      <c r="F37" s="1">
        <f t="shared" si="4"/>
        <v>8.7008625932581962E-3</v>
      </c>
    </row>
    <row r="38" spans="1:6">
      <c r="A38">
        <v>3000</v>
      </c>
      <c r="B38" s="1">
        <f t="shared" si="0"/>
        <v>1.2469954119921467E-2</v>
      </c>
      <c r="C38" s="1">
        <f t="shared" si="1"/>
        <v>9.4349967046080119E-3</v>
      </c>
      <c r="D38" s="1">
        <f t="shared" si="2"/>
        <v>7.6102145862533277E-3</v>
      </c>
      <c r="E38" s="1">
        <f t="shared" si="3"/>
        <v>8.7158251662079467E-3</v>
      </c>
      <c r="F38" s="1">
        <f t="shared" si="4"/>
        <v>8.2607267798851802E-3</v>
      </c>
    </row>
    <row r="39" spans="1:6">
      <c r="A39">
        <v>3100</v>
      </c>
      <c r="B39" s="1">
        <f t="shared" si="0"/>
        <v>1.2059773379445637E-2</v>
      </c>
      <c r="C39" s="1">
        <f t="shared" si="1"/>
        <v>9.1253091219778426E-3</v>
      </c>
      <c r="D39" s="1">
        <f t="shared" si="2"/>
        <v>7.2381775470056198E-3</v>
      </c>
      <c r="E39" s="1">
        <f t="shared" si="3"/>
        <v>8.3841000087744311E-3</v>
      </c>
      <c r="F39" s="1">
        <f t="shared" si="4"/>
        <v>7.8499972854179922E-3</v>
      </c>
    </row>
    <row r="40" spans="1:6">
      <c r="A40">
        <v>3200</v>
      </c>
      <c r="B40" s="1">
        <f t="shared" si="0"/>
        <v>1.1663084929177336E-2</v>
      </c>
      <c r="C40" s="1">
        <f t="shared" si="1"/>
        <v>8.8289718052805277E-3</v>
      </c>
      <c r="D40" s="1">
        <f t="shared" si="2"/>
        <v>6.8917435739177524E-3</v>
      </c>
      <c r="E40" s="1">
        <f t="shared" si="3"/>
        <v>8.0696992270324897E-3</v>
      </c>
      <c r="F40" s="1">
        <f t="shared" si="4"/>
        <v>7.4662483094041776E-3</v>
      </c>
    </row>
    <row r="41" spans="1:6">
      <c r="A41">
        <v>3300</v>
      </c>
      <c r="B41" s="1">
        <f t="shared" si="0"/>
        <v>1.1279444960138663E-2</v>
      </c>
      <c r="C41" s="1">
        <f t="shared" si="1"/>
        <v>8.5456173492488574E-3</v>
      </c>
      <c r="D41" s="1">
        <f t="shared" si="2"/>
        <v>6.5686259008421732E-3</v>
      </c>
      <c r="E41" s="1">
        <f t="shared" si="3"/>
        <v>7.7713770587800601E-3</v>
      </c>
      <c r="F41" s="1">
        <f t="shared" si="4"/>
        <v>7.1072909408474161E-3</v>
      </c>
    </row>
    <row r="42" spans="1:6">
      <c r="A42">
        <v>3400</v>
      </c>
      <c r="B42" s="1">
        <f t="shared" si="0"/>
        <v>1.0908424261793725E-2</v>
      </c>
      <c r="C42" s="1">
        <f t="shared" si="1"/>
        <v>8.2741664182961472E-3</v>
      </c>
      <c r="D42" s="1">
        <f t="shared" si="2"/>
        <v>6.2667886593932298E-3</v>
      </c>
      <c r="E42" s="1">
        <f t="shared" si="3"/>
        <v>7.4880067659380822E-3</v>
      </c>
      <c r="F42" s="1">
        <f t="shared" si="4"/>
        <v>6.7711465502522106E-3</v>
      </c>
    </row>
    <row r="43" spans="1:6">
      <c r="A43">
        <v>3500</v>
      </c>
      <c r="B43" s="1">
        <f t="shared" si="0"/>
        <v>1.0549607741853428E-2</v>
      </c>
      <c r="C43" s="1">
        <f t="shared" si="1"/>
        <v>8.0141327848840538E-3</v>
      </c>
      <c r="D43" s="1">
        <f t="shared" si="2"/>
        <v>5.9844143516509796E-3</v>
      </c>
      <c r="E43" s="1">
        <f t="shared" si="3"/>
        <v>7.2185662717273447E-3</v>
      </c>
      <c r="F43" s="1">
        <f t="shared" si="4"/>
        <v>6.4560235481276873E-3</v>
      </c>
    </row>
    <row r="44" spans="1:6">
      <c r="A44">
        <v>3600</v>
      </c>
      <c r="B44" s="1">
        <f t="shared" si="0"/>
        <v>1.0202593961877393E-2</v>
      </c>
      <c r="C44" s="1">
        <f t="shared" si="1"/>
        <v>7.764599889829582E-3</v>
      </c>
      <c r="D44" s="1">
        <f t="shared" si="2"/>
        <v>5.7198761654198016E-3</v>
      </c>
      <c r="E44" s="1">
        <f t="shared" si="3"/>
        <v>6.9621258884231541E-3</v>
      </c>
      <c r="F44" s="1">
        <f t="shared" si="4"/>
        <v>6.1602970377195865E-3</v>
      </c>
    </row>
    <row r="45" spans="1:6">
      <c r="A45">
        <v>3700</v>
      </c>
      <c r="B45" s="1">
        <f t="shared" si="0"/>
        <v>9.8669946881504433E-3</v>
      </c>
      <c r="C45" s="1">
        <f t="shared" si="1"/>
        <v>7.5251854035185417E-3</v>
      </c>
      <c r="D45" s="1">
        <f t="shared" si="2"/>
        <v>5.4717143219368269E-3</v>
      </c>
      <c r="E45" s="1">
        <f t="shared" si="3"/>
        <v>6.71783778145707E-3</v>
      </c>
      <c r="F45" s="1">
        <f t="shared" si="4"/>
        <v>5.8824909623001742E-3</v>
      </c>
    </row>
    <row r="46" spans="1:6">
      <c r="A46">
        <v>3800</v>
      </c>
      <c r="B46" s="1">
        <f t="shared" si="0"/>
        <v>9.5424344573322717E-3</v>
      </c>
      <c r="C46" s="1">
        <f t="shared" si="1"/>
        <v>7.2950937579205899E-3</v>
      </c>
      <c r="D46" s="1">
        <f t="shared" si="2"/>
        <v>5.2386157956497703E-3</v>
      </c>
      <c r="E46" s="1">
        <f t="shared" si="3"/>
        <v>6.4849268836860707E-3</v>
      </c>
      <c r="F46" s="1">
        <f t="shared" si="4"/>
        <v>5.6212624077584816E-3</v>
      </c>
    </row>
    <row r="47" spans="1:6">
      <c r="A47">
        <v>3900</v>
      </c>
      <c r="B47" s="1">
        <f t="shared" si="0"/>
        <v>9.2285501563950101E-3</v>
      </c>
      <c r="C47" s="1">
        <f t="shared" si="1"/>
        <v>7.0740312110062487E-3</v>
      </c>
      <c r="D47" s="1">
        <f t="shared" si="2"/>
        <v>5.0193968652241239E-3</v>
      </c>
      <c r="E47" s="1">
        <f t="shared" si="3"/>
        <v>6.2626830271816925E-3</v>
      </c>
      <c r="F47" s="1">
        <f t="shared" si="4"/>
        <v>5.3753877718328291E-3</v>
      </c>
    </row>
    <row r="48" spans="1:6">
      <c r="A48">
        <v>4000</v>
      </c>
      <c r="B48" s="1">
        <f t="shared" si="0"/>
        <v>8.9249906163789694E-3</v>
      </c>
      <c r="C48" s="1">
        <f t="shared" si="1"/>
        <v>6.8613433840172267E-3</v>
      </c>
      <c r="D48" s="1">
        <f t="shared" si="2"/>
        <v>4.8129880509021339E-3</v>
      </c>
      <c r="E48" s="1">
        <f t="shared" si="3"/>
        <v>6.0504541022625702E-3</v>
      </c>
      <c r="F48" s="1">
        <f t="shared" si="4"/>
        <v>5.1437505536202632E-3</v>
      </c>
    </row>
    <row r="49" spans="1:6">
      <c r="A49">
        <v>4100</v>
      </c>
      <c r="B49" s="1">
        <f t="shared" si="0"/>
        <v>8.6314162195079147E-3</v>
      </c>
      <c r="C49" s="1">
        <f t="shared" si="1"/>
        <v>6.6566058332546696E-3</v>
      </c>
      <c r="D49" s="1">
        <f t="shared" si="2"/>
        <v>4.6184210707037598E-3</v>
      </c>
      <c r="E49" s="1">
        <f t="shared" si="3"/>
        <v>5.8476400872945478E-3</v>
      </c>
      <c r="F49" s="1">
        <f t="shared" si="4"/>
        <v>4.9253305527049152E-3</v>
      </c>
    </row>
    <row r="50" spans="1:6">
      <c r="A50">
        <v>4200</v>
      </c>
      <c r="B50" s="1">
        <f t="shared" si="0"/>
        <v>8.3474985192323325E-3</v>
      </c>
      <c r="C50" s="1">
        <f t="shared" si="1"/>
        <v>6.4595443970107969E-3</v>
      </c>
      <c r="D50" s="1">
        <f t="shared" si="2"/>
        <v>4.4348175106569965E-3</v>
      </c>
      <c r="E50" s="1">
        <f t="shared" si="3"/>
        <v>5.6536878198679696E-3</v>
      </c>
      <c r="F50" s="1">
        <f t="shared" si="4"/>
        <v>4.7191942972121814E-3</v>
      </c>
    </row>
    <row r="51" spans="1:6">
      <c r="A51">
        <v>4300</v>
      </c>
      <c r="B51" s="1">
        <f t="shared" si="0"/>
        <v>8.0729198727664819E-3</v>
      </c>
      <c r="C51" s="1">
        <f t="shared" si="1"/>
        <v>6.2696315715566886E-3</v>
      </c>
      <c r="D51" s="1">
        <f t="shared" si="2"/>
        <v>4.2613789552137238E-3</v>
      </c>
      <c r="E51" s="1">
        <f t="shared" si="3"/>
        <v>5.4680864018443742E-3</v>
      </c>
      <c r="F51" s="1">
        <f t="shared" si="4"/>
        <v>4.5244865455375816E-3</v>
      </c>
    </row>
    <row r="52" spans="1:6">
      <c r="A52">
        <v>4400</v>
      </c>
      <c r="B52" s="1">
        <f t="shared" si="0"/>
        <v>7.8073730857159962E-3</v>
      </c>
      <c r="C52" s="1">
        <f t="shared" si="1"/>
        <v>6.0865260718532266E-3</v>
      </c>
      <c r="D52" s="1">
        <f t="shared" si="2"/>
        <v>4.0973783657145546E-3</v>
      </c>
      <c r="E52" s="1">
        <f t="shared" si="3"/>
        <v>5.2903631485028413E-3</v>
      </c>
      <c r="F52" s="1">
        <f t="shared" si="4"/>
        <v>4.3404227279740804E-3</v>
      </c>
    </row>
    <row r="53" spans="1:6">
      <c r="A53">
        <v>4500</v>
      </c>
      <c r="B53" s="1">
        <f t="shared" si="0"/>
        <v>7.5505610683925806E-3</v>
      </c>
      <c r="C53" s="1">
        <f t="shared" si="1"/>
        <v>5.910019940356448E-3</v>
      </c>
      <c r="D53" s="1">
        <f t="shared" si="2"/>
        <v>3.9421525289078385E-3</v>
      </c>
      <c r="E53" s="1">
        <f t="shared" si="3"/>
        <v>5.1200800064923335E-3</v>
      </c>
      <c r="F53" s="1">
        <f t="shared" si="4"/>
        <v>4.1662822127686572E-3</v>
      </c>
    </row>
    <row r="54" spans="1:6">
      <c r="A54">
        <v>4600</v>
      </c>
      <c r="B54" s="1">
        <f t="shared" si="0"/>
        <v>7.3021965034346659E-3</v>
      </c>
      <c r="C54" s="1">
        <f t="shared" si="1"/>
        <v>5.7396745740303512E-3</v>
      </c>
      <c r="D54" s="1">
        <f t="shared" si="2"/>
        <v>3.7950954257293112E-3</v>
      </c>
      <c r="E54" s="1">
        <f t="shared" si="3"/>
        <v>4.9568303771692079E-3</v>
      </c>
      <c r="F54" s="1">
        <f t="shared" si="4"/>
        <v>4.0014022966870233E-3</v>
      </c>
    </row>
    <row r="55" spans="1:6">
      <c r="A55">
        <v>4700</v>
      </c>
      <c r="B55" s="1">
        <f t="shared" si="0"/>
        <v>7.0620015243615386E-3</v>
      </c>
      <c r="C55" s="1">
        <f t="shared" si="1"/>
        <v>5.5752111117167713E-3</v>
      </c>
      <c r="D55" s="1">
        <f t="shared" si="2"/>
        <v>3.6556523937860685E-3</v>
      </c>
      <c r="E55" s="1">
        <f t="shared" si="3"/>
        <v>4.8002362916783614E-3</v>
      </c>
      <c r="F55" s="1">
        <f t="shared" si="4"/>
        <v>3.8451728334650548E-3</v>
      </c>
    </row>
    <row r="56" spans="1:6">
      <c r="A56">
        <v>4800</v>
      </c>
      <c r="B56" s="1">
        <f t="shared" si="0"/>
        <v>6.829707404700347E-3</v>
      </c>
      <c r="C56" s="1">
        <f t="shared" si="1"/>
        <v>5.4164760333825779E-3</v>
      </c>
      <c r="D56" s="1">
        <f t="shared" si="2"/>
        <v>3.5233149763440608E-3</v>
      </c>
      <c r="E56" s="1">
        <f t="shared" si="3"/>
        <v>4.6499458922240056E-3</v>
      </c>
      <c r="F56" s="1">
        <f t="shared" si="4"/>
        <v>3.6970314248823133E-3</v>
      </c>
    </row>
    <row r="57" spans="1:6">
      <c r="A57">
        <v>4900</v>
      </c>
      <c r="B57" s="1">
        <f t="shared" si="0"/>
        <v>6.605054257338927E-3</v>
      </c>
      <c r="C57" s="1">
        <f t="shared" si="1"/>
        <v>5.2630929825909778E-3</v>
      </c>
      <c r="D57" s="1">
        <f t="shared" si="2"/>
        <v>3.3976163666628034E-3</v>
      </c>
      <c r="E57" s="1">
        <f t="shared" si="3"/>
        <v>4.5056311807099014E-3</v>
      </c>
      <c r="F57" s="1">
        <f t="shared" si="4"/>
        <v>3.5564591089481123E-3</v>
      </c>
    </row>
    <row r="58" spans="1:6">
      <c r="A58">
        <v>5000</v>
      </c>
      <c r="B58" s="1">
        <f t="shared" si="0"/>
        <v>6.3877907437684955E-3</v>
      </c>
      <c r="C58" s="1">
        <f t="shared" si="1"/>
        <v>5.1148680054564633E-3</v>
      </c>
      <c r="D58" s="1">
        <f t="shared" si="2"/>
        <v>3.278127370006545E-3</v>
      </c>
      <c r="E58" s="1">
        <f t="shared" si="3"/>
        <v>4.3669860015470574E-3</v>
      </c>
      <c r="F58" s="1">
        <f t="shared" si="4"/>
        <v>3.4229764880591984E-3</v>
      </c>
    </row>
    <row r="59" spans="1:6">
      <c r="A59">
        <v>5100</v>
      </c>
      <c r="B59" s="1">
        <f t="shared" si="0"/>
        <v>6.1776737928892489E-3</v>
      </c>
      <c r="C59" s="1">
        <f t="shared" si="1"/>
        <v>4.9715457725034717E-3</v>
      </c>
      <c r="D59" s="1">
        <f t="shared" si="2"/>
        <v>3.1644528168791597E-3</v>
      </c>
      <c r="E59" s="1">
        <f t="shared" si="3"/>
        <v>4.2337242301221378E-3</v>
      </c>
      <c r="F59" s="1">
        <f t="shared" si="4"/>
        <v>3.2961402472048706E-3</v>
      </c>
    </row>
    <row r="60" spans="1:6">
      <c r="A60">
        <v>5200</v>
      </c>
      <c r="B60" s="1">
        <f t="shared" si="0"/>
        <v>5.9744683290666734E-3</v>
      </c>
      <c r="C60" s="1">
        <f t="shared" si="1"/>
        <v>4.8330158250471378E-3</v>
      </c>
      <c r="D60" s="1">
        <f t="shared" si="2"/>
        <v>3.0562283705467541E-3</v>
      </c>
      <c r="E60" s="1">
        <f t="shared" si="3"/>
        <v>4.1055781423973148E-3</v>
      </c>
      <c r="F60" s="1">
        <f t="shared" si="4"/>
        <v>3.1755400185207172E-3</v>
      </c>
    </row>
    <row r="61" spans="1:6">
      <c r="A61">
        <v>5300</v>
      </c>
      <c r="B61" s="1">
        <f t="shared" si="0"/>
        <v>5.7779470091325891E-3</v>
      </c>
      <c r="C61" s="1">
        <f t="shared" si="1"/>
        <v>4.6989743955131447E-3</v>
      </c>
      <c r="D61" s="1">
        <f t="shared" si="2"/>
        <v>2.9531176798732739E-3</v>
      </c>
      <c r="E61" s="1">
        <f t="shared" si="3"/>
        <v>3.9822969444386347E-3</v>
      </c>
      <c r="F61" s="1">
        <f t="shared" si="4"/>
        <v>3.0607955538544673E-3</v>
      </c>
    </row>
    <row r="62" spans="1:6">
      <c r="A62">
        <v>5400</v>
      </c>
      <c r="B62" s="1">
        <f t="shared" si="0"/>
        <v>5.5878899680366079E-3</v>
      </c>
      <c r="C62" s="1">
        <f t="shared" si="1"/>
        <v>4.5692715172219733E-3</v>
      </c>
      <c r="D62" s="1">
        <f t="shared" si="2"/>
        <v>2.8548098352729756E-3</v>
      </c>
      <c r="E62" s="1">
        <f t="shared" si="3"/>
        <v>3.8636454435153622E-3</v>
      </c>
      <c r="F62" s="1">
        <f t="shared" si="4"/>
        <v>2.9515541716856608E-3</v>
      </c>
    </row>
    <row r="63" spans="1:6">
      <c r="A63">
        <v>5500</v>
      </c>
      <c r="B63" s="1">
        <f t="shared" si="0"/>
        <v>5.4040845728647868E-3</v>
      </c>
      <c r="C63" s="1">
        <f t="shared" si="1"/>
        <v>4.4437302633728581E-3</v>
      </c>
      <c r="D63" s="1">
        <f t="shared" si="2"/>
        <v>2.7610170913113796E-3</v>
      </c>
      <c r="E63" s="1">
        <f t="shared" si="3"/>
        <v>3.7494028448159522E-3</v>
      </c>
      <c r="F63" s="1">
        <f t="shared" si="4"/>
        <v>2.8474884487715568E-3</v>
      </c>
    </row>
    <row r="64" spans="1:6">
      <c r="A64">
        <v>5600</v>
      </c>
      <c r="B64" s="1">
        <f t="shared" si="0"/>
        <v>5.2263251849494763E-3</v>
      </c>
      <c r="C64" s="1">
        <f t="shared" si="1"/>
        <v>4.3221577793911559E-3</v>
      </c>
      <c r="D64" s="1">
        <f t="shared" si="2"/>
        <v>2.6714728243704133E-3</v>
      </c>
      <c r="E64" s="1">
        <f t="shared" si="3"/>
        <v>3.6393616598833223E-3</v>
      </c>
      <c r="F64" s="1">
        <f t="shared" si="4"/>
        <v>2.7482941304199787E-3</v>
      </c>
    </row>
    <row r="65" spans="1:6">
      <c r="A65">
        <v>5700</v>
      </c>
      <c r="B65" s="1">
        <f t="shared" si="0"/>
        <v>5.0544129298029095E-3</v>
      </c>
      <c r="C65" s="1">
        <f t="shared" si="1"/>
        <v>4.2044756301318209E-3</v>
      </c>
      <c r="D65" s="1">
        <f t="shared" si="2"/>
        <v>2.5859296979497959E-3</v>
      </c>
      <c r="E65" s="1">
        <f t="shared" si="3"/>
        <v>3.5333267146251401E-3</v>
      </c>
      <c r="F65" s="1">
        <f t="shared" si="4"/>
        <v>2.6536882363286107E-3</v>
      </c>
    </row>
    <row r="66" spans="1:6">
      <c r="A66">
        <v>5800</v>
      </c>
      <c r="B66" s="1">
        <f t="shared" si="0"/>
        <v>4.8881554746208478E-3</v>
      </c>
      <c r="C66" s="1">
        <f t="shared" si="1"/>
        <v>4.0904496369960075E-3</v>
      </c>
      <c r="D66" s="1">
        <f t="shared" si="2"/>
        <v>2.5041580117473039E-3</v>
      </c>
      <c r="E66" s="1">
        <f t="shared" si="3"/>
        <v>3.4311142462717381E-3</v>
      </c>
      <c r="F66" s="1">
        <f t="shared" si="4"/>
        <v>2.5634073416252734E-3</v>
      </c>
    </row>
    <row r="67" spans="1:6">
      <c r="A67">
        <v>5900</v>
      </c>
      <c r="B67" s="1">
        <f t="shared" si="0"/>
        <v>4.7273668131022628E-3</v>
      </c>
      <c r="C67" s="1">
        <f t="shared" si="1"/>
        <v>3.9799669057639653E-3</v>
      </c>
      <c r="D67" s="1">
        <f t="shared" si="2"/>
        <v>2.4259442137013476E-3</v>
      </c>
      <c r="E67" s="1">
        <f t="shared" si="3"/>
        <v>3.3325510799433467E-3</v>
      </c>
      <c r="F67" s="1">
        <f t="shared" si="4"/>
        <v>2.4772060150622666E-3</v>
      </c>
    </row>
    <row r="68" spans="1:6">
      <c r="A68">
        <v>6000</v>
      </c>
      <c r="B68" s="1">
        <f t="shared" si="0"/>
        <v>4.5718670573492437E-3</v>
      </c>
      <c r="C68" s="1">
        <f t="shared" si="1"/>
        <v>3.8728921461653742E-3</v>
      </c>
      <c r="D68" s="1">
        <f t="shared" si="2"/>
        <v>2.3510895568086276E-3</v>
      </c>
      <c r="E68" s="1">
        <f t="shared" si="3"/>
        <v>3.2374738766154376E-3</v>
      </c>
      <c r="F68" s="1">
        <f t="shared" si="4"/>
        <v>2.3948553983665494E-3</v>
      </c>
    </row>
    <row r="69" spans="1:6">
      <c r="A69">
        <v>6100</v>
      </c>
      <c r="B69" s="1">
        <f t="shared" si="0"/>
        <v>4.4214822366109852E-3</v>
      </c>
      <c r="C69" s="1">
        <f t="shared" si="1"/>
        <v>3.7690742334508531E-3</v>
      </c>
      <c r="D69" s="1">
        <f t="shared" si="2"/>
        <v>2.2794088847937211E-3</v>
      </c>
      <c r="E69" s="1">
        <f t="shared" si="3"/>
        <v>3.1457284452355294E-3</v>
      </c>
      <c r="F69" s="1">
        <f t="shared" si="4"/>
        <v>2.3161419125374977E-3</v>
      </c>
    </row>
    <row r="70" spans="1:6">
      <c r="A70">
        <v>6200</v>
      </c>
      <c r="B70" s="1">
        <f t="shared" si="0"/>
        <v>4.2760441026473694E-3</v>
      </c>
      <c r="C70" s="1">
        <f t="shared" si="1"/>
        <v>3.6684614081380351E-3</v>
      </c>
      <c r="D70" s="1">
        <f t="shared" si="2"/>
        <v>2.2107295326454501E-3</v>
      </c>
      <c r="E70" s="1">
        <f t="shared" si="3"/>
        <v>3.0571691125902412E-3</v>
      </c>
      <c r="F70" s="1">
        <f t="shared" si="4"/>
        <v>2.2408660784543066E-3</v>
      </c>
    </row>
    <row r="71" spans="1:6">
      <c r="A71">
        <v>6300</v>
      </c>
      <c r="B71" s="1">
        <f t="shared" si="0"/>
        <v>4.1353899414962036E-3</v>
      </c>
      <c r="C71" s="1">
        <f t="shared" si="1"/>
        <v>3.5708634494638902E-3</v>
      </c>
      <c r="D71" s="1">
        <f t="shared" si="2"/>
        <v>2.1448903297338617E-3</v>
      </c>
      <c r="E71" s="1">
        <f t="shared" si="3"/>
        <v>2.9716581452473578E-3</v>
      </c>
      <c r="F71" s="1">
        <f t="shared" si="4"/>
        <v>2.1688414405485607E-3</v>
      </c>
    </row>
    <row r="72" spans="1:6">
      <c r="A72">
        <v>6400</v>
      </c>
      <c r="B72" s="1">
        <f t="shared" si="0"/>
        <v>3.9993623914311716E-3</v>
      </c>
      <c r="C72" s="1">
        <f t="shared" si="1"/>
        <v>3.4761953292391512E-3</v>
      </c>
      <c r="D72" s="1">
        <f t="shared" si="2"/>
        <v>2.081740694688361E-3</v>
      </c>
      <c r="E72" s="1">
        <f t="shared" si="3"/>
        <v>2.8890652185408205E-3</v>
      </c>
      <c r="F72" s="1">
        <f t="shared" si="4"/>
        <v>2.0998935834996985E-3</v>
      </c>
    </row>
    <row r="73" spans="1:6">
      <c r="A73">
        <v>6500</v>
      </c>
      <c r="B73" s="1">
        <f t="shared" si="0"/>
        <v>3.8678092669068853E-3</v>
      </c>
      <c r="C73" s="1">
        <f t="shared" si="1"/>
        <v>3.3843513085778376E-3</v>
      </c>
      <c r="D73" s="1">
        <f t="shared" si="2"/>
        <v>2.0211398124750923E-3</v>
      </c>
      <c r="E73" s="1">
        <f t="shared" si="3"/>
        <v>2.809266928118892E-3</v>
      </c>
      <c r="F73" s="1">
        <f t="shared" si="4"/>
        <v>2.0338592329953026E-3</v>
      </c>
    </row>
    <row r="74" spans="1:6">
      <c r="A74">
        <v>6600</v>
      </c>
      <c r="B74" s="1">
        <f t="shared" si="0"/>
        <v>3.7405833882981909E-3</v>
      </c>
      <c r="C74" s="1">
        <f t="shared" si="1"/>
        <v>3.295230509250624E-3</v>
      </c>
      <c r="D74" s="1">
        <f t="shared" si="2"/>
        <v>1.962955885235429E-3</v>
      </c>
      <c r="E74" s="1">
        <f t="shared" si="3"/>
        <v>2.7321463400664658E-3</v>
      </c>
      <c r="F74" s="1">
        <f t="shared" si="4"/>
        <v>1.9705854325596656E-3</v>
      </c>
    </row>
    <row r="75" spans="1:6">
      <c r="A75">
        <v>6700</v>
      </c>
      <c r="B75" s="1">
        <f t="shared" ref="B75:B107" si="5">EXPONDIST(A75,1/B$4,TRUE)-EXPONDIST(A74,1/B$4,TRUE)</f>
        <v>3.617542417235553E-3</v>
      </c>
      <c r="C75" s="1">
        <f t="shared" ref="C75:C108" si="6">GAMMADIST(A75,C$4,C$6,TRUE)-GAMMADIST(A74,C$4,C$6,TRUE)</f>
        <v>3.2087173394429458E-3</v>
      </c>
      <c r="D75" s="1">
        <f t="shared" ref="D75:D108" si="7">NORMDIST(LN(A75),D$4,SQRT(D$6),TRUE)-NORMDIST(LN(A74),D$4,SQRT(D$6),TRUE)</f>
        <v>1.9070654494039996E-3</v>
      </c>
      <c r="E75" s="1">
        <f t="shared" ref="E75:E108" si="8">WEIBULL(A75,E$4,E$6^(1/E$4),TRUE)-WEIBULL(A74,E$4,E$6^(1/E$4),TRUE)</f>
        <v>2.657592576038148E-3</v>
      </c>
      <c r="F75" s="1">
        <f t="shared" si="4"/>
        <v>1.9099287892588718E-3</v>
      </c>
    </row>
    <row r="76" spans="1:6">
      <c r="A76">
        <v>6800</v>
      </c>
      <c r="B76" s="1">
        <f t="shared" si="5"/>
        <v>3.4985486973601043E-3</v>
      </c>
      <c r="C76" s="1">
        <f t="shared" si="6"/>
        <v>3.1247799436059376E-3</v>
      </c>
      <c r="D76" s="1">
        <f t="shared" si="7"/>
        <v>1.8533527524728921E-3</v>
      </c>
      <c r="E76" s="1">
        <f t="shared" si="8"/>
        <v>2.5855004302187679E-3</v>
      </c>
      <c r="F76" s="1">
        <f t="shared" ref="F76:F108" si="9">(F$6^F$4)/((A75+F$6)^F$4)-(F$6^F$4)/((A76+F$6)^F$4)</f>
        <v>1.8517547818774072E-3</v>
      </c>
    </row>
    <row r="77" spans="1:6">
      <c r="A77">
        <v>6900</v>
      </c>
      <c r="B77" s="1">
        <f t="shared" si="5"/>
        <v>3.3834691003165052E-3</v>
      </c>
      <c r="C77" s="1">
        <f t="shared" si="6"/>
        <v>3.0432676482576859E-3</v>
      </c>
      <c r="D77" s="1">
        <f t="shared" si="7"/>
        <v>1.801709183511857E-3</v>
      </c>
      <c r="E77" s="1">
        <f t="shared" si="8"/>
        <v>2.5157700152559359E-3</v>
      </c>
      <c r="F77" s="1">
        <f t="shared" si="9"/>
        <v>1.7959371257846996E-3</v>
      </c>
    </row>
    <row r="78" spans="1:6">
      <c r="A78">
        <v>7000</v>
      </c>
      <c r="B78" s="1">
        <f t="shared" si="5"/>
        <v>3.2721748768095305E-3</v>
      </c>
      <c r="C78" s="1">
        <f t="shared" si="6"/>
        <v>2.9641182319454229E-3</v>
      </c>
      <c r="D78" s="1">
        <f t="shared" si="7"/>
        <v>1.7520327521880485E-3</v>
      </c>
      <c r="E78" s="1">
        <f t="shared" si="8"/>
        <v>2.4483064346015881E-3</v>
      </c>
      <c r="F78" s="1">
        <f t="shared" si="9"/>
        <v>1.7423571893236817E-3</v>
      </c>
    </row>
    <row r="79" spans="1:6">
      <c r="A79">
        <v>7100</v>
      </c>
      <c r="B79" s="1">
        <f t="shared" si="5"/>
        <v>3.1645415125624021E-3</v>
      </c>
      <c r="C79" s="1">
        <f t="shared" si="6"/>
        <v>2.8872511799176159E-3</v>
      </c>
      <c r="D79" s="1">
        <f t="shared" si="7"/>
        <v>1.7042276116288058E-3</v>
      </c>
      <c r="E79" s="1">
        <f t="shared" si="8"/>
        <v>2.38301947896713E-3</v>
      </c>
      <c r="F79" s="1">
        <f t="shared" si="9"/>
        <v>1.6909034570537634E-3</v>
      </c>
    </row>
    <row r="80" spans="1:6">
      <c r="A80">
        <v>7200</v>
      </c>
      <c r="B80" s="1">
        <f t="shared" si="5"/>
        <v>3.0604485890113331E-3</v>
      </c>
      <c r="C80" s="1">
        <f t="shared" si="6"/>
        <v>2.812589391641418E-3</v>
      </c>
      <c r="D80" s="1">
        <f t="shared" si="7"/>
        <v>1.658203620933163E-3</v>
      </c>
      <c r="E80" s="1">
        <f t="shared" si="8"/>
        <v>2.3198233448115113E-3</v>
      </c>
      <c r="F80" s="1">
        <f t="shared" si="9"/>
        <v>1.6414710356550954E-3</v>
      </c>
    </row>
    <row r="81" spans="1:6">
      <c r="A81">
        <v>7300</v>
      </c>
      <c r="B81" s="1">
        <f t="shared" si="5"/>
        <v>2.9597796485841821E-3</v>
      </c>
      <c r="C81" s="1">
        <f t="shared" si="6"/>
        <v>2.740058995796768E-3</v>
      </c>
      <c r="D81" s="1">
        <f t="shared" si="7"/>
        <v>1.6138759436246097E-3</v>
      </c>
      <c r="E81" s="1">
        <f t="shared" si="8"/>
        <v>2.2586363729999448E-3</v>
      </c>
      <c r="F81" s="1">
        <f t="shared" si="9"/>
        <v>1.5939611987139668E-3</v>
      </c>
    </row>
    <row r="82" spans="1:6">
      <c r="A82">
        <v>7400</v>
      </c>
      <c r="B82" s="1">
        <f t="shared" si="5"/>
        <v>2.8624220644082321E-3</v>
      </c>
      <c r="C82" s="1">
        <f t="shared" si="6"/>
        <v>2.6695891778600878E-3</v>
      </c>
      <c r="D82" s="1">
        <f t="shared" si="7"/>
        <v>1.5711646786841227E-3</v>
      </c>
      <c r="E82" s="1">
        <f t="shared" si="8"/>
        <v>2.1993808059450615E-3</v>
      </c>
      <c r="F82" s="1">
        <f t="shared" si="9"/>
        <v>1.5482809669790237E-3</v>
      </c>
    </row>
    <row r="83" spans="1:6">
      <c r="A83">
        <v>7500</v>
      </c>
      <c r="B83" s="1">
        <f t="shared" si="5"/>
        <v>2.7682669143056504E-3</v>
      </c>
      <c r="C83" s="1">
        <f t="shared" si="6"/>
        <v>2.6010974213567239E-3</v>
      </c>
      <c r="D83" s="1">
        <f t="shared" si="7"/>
        <v>1.5299945211894039E-3</v>
      </c>
      <c r="E83" s="1">
        <f t="shared" si="8"/>
        <v>2.1419825617007282E-3</v>
      </c>
      <c r="F83" s="1">
        <f t="shared" si="9"/>
        <v>1.5043427209995575E-3</v>
      </c>
    </row>
    <row r="84" spans="1:6">
      <c r="A84">
        <v>7600</v>
      </c>
      <c r="B84" s="1">
        <f t="shared" si="5"/>
        <v>2.6772088589332999E-3</v>
      </c>
      <c r="C84" s="1">
        <f t="shared" si="6"/>
        <v>2.5345639432559075E-3</v>
      </c>
      <c r="D84" s="1">
        <f t="shared" si="7"/>
        <v>1.4902944498594861E-3</v>
      </c>
      <c r="E84" s="1">
        <f t="shared" si="8"/>
        <v>2.0863710236346256E-3</v>
      </c>
      <c r="F84" s="1">
        <f t="shared" si="9"/>
        <v>1.4620638433628791E-3</v>
      </c>
    </row>
    <row r="85" spans="1:6">
      <c r="A85">
        <v>7700</v>
      </c>
      <c r="B85" s="1">
        <f t="shared" si="5"/>
        <v>2.5891460239295672E-3</v>
      </c>
      <c r="C85" s="1">
        <f t="shared" si="6"/>
        <v>2.469879007264586E-3</v>
      </c>
      <c r="D85" s="1">
        <f t="shared" si="7"/>
        <v>1.451997439098629E-3</v>
      </c>
      <c r="E85" s="1">
        <f t="shared" si="8"/>
        <v>2.0324788444180397E-3</v>
      </c>
      <c r="F85" s="1">
        <f t="shared" si="9"/>
        <v>1.4213663880089378E-3</v>
      </c>
    </row>
    <row r="86" spans="1:6">
      <c r="A86">
        <v>7800</v>
      </c>
      <c r="B86" s="1">
        <f t="shared" si="5"/>
        <v>2.5039798859405327E-3</v>
      </c>
      <c r="C86" s="1">
        <f t="shared" si="6"/>
        <v>2.4069989179670293E-3</v>
      </c>
      <c r="D86" s="1">
        <f t="shared" si="7"/>
        <v>1.4150401933610279E-3</v>
      </c>
      <c r="E86" s="1">
        <f t="shared" si="8"/>
        <v>1.9802417632044378E-3</v>
      </c>
      <c r="F86" s="1">
        <f t="shared" si="9"/>
        <v>1.3821767743302238E-3</v>
      </c>
    </row>
    <row r="87" spans="1:6">
      <c r="A87">
        <v>7900</v>
      </c>
      <c r="B87" s="1">
        <f t="shared" si="5"/>
        <v>2.4216151623918103E-3</v>
      </c>
      <c r="C87" s="1">
        <f t="shared" si="6"/>
        <v>2.3458659293339457E-3</v>
      </c>
      <c r="D87" s="1">
        <f t="shared" si="7"/>
        <v>1.3793629018821196E-3</v>
      </c>
      <c r="E87" s="1">
        <f t="shared" si="8"/>
        <v>1.92959843495355E-3</v>
      </c>
      <c r="F87" s="1">
        <f t="shared" si="9"/>
        <v>1.3444255039889719E-3</v>
      </c>
    </row>
    <row r="88" spans="1:6">
      <c r="A88">
        <v>8000</v>
      </c>
      <c r="B88" s="1">
        <f t="shared" si="5"/>
        <v>2.3419597048894847E-3</v>
      </c>
      <c r="C88" s="1">
        <f t="shared" si="6"/>
        <v>2.2864245308080733E-3</v>
      </c>
      <c r="D88" s="1">
        <f t="shared" si="7"/>
        <v>1.3449090120052354E-3</v>
      </c>
      <c r="E88" s="1">
        <f t="shared" si="8"/>
        <v>1.8804902709691484E-3</v>
      </c>
      <c r="F88" s="1">
        <f t="shared" si="9"/>
        <v>1.308046898569365E-3</v>
      </c>
    </row>
    <row r="89" spans="1:6">
      <c r="A89">
        <v>8100</v>
      </c>
      <c r="B89" s="1">
        <f t="shared" si="5"/>
        <v>2.264924396124246E-3</v>
      </c>
      <c r="C89" s="1">
        <f t="shared" si="6"/>
        <v>2.2286213388617027E-3</v>
      </c>
      <c r="D89" s="1">
        <f t="shared" si="7"/>
        <v>1.311625019511542E-3</v>
      </c>
      <c r="E89" s="1">
        <f t="shared" si="8"/>
        <v>1.8328612897843266E-3</v>
      </c>
      <c r="F89" s="1">
        <f t="shared" si="9"/>
        <v>1.2729788563464878E-3</v>
      </c>
    </row>
    <row r="90" spans="1:6">
      <c r="A90">
        <v>8200</v>
      </c>
      <c r="B90" s="1">
        <f t="shared" si="5"/>
        <v>2.1904230501699207E-3</v>
      </c>
      <c r="C90" s="1">
        <f t="shared" si="6"/>
        <v>2.1724049951232782E-3</v>
      </c>
      <c r="D90" s="1">
        <f t="shared" si="7"/>
        <v>1.2794602745092032E-3</v>
      </c>
      <c r="E90" s="1">
        <f t="shared" si="8"/>
        <v>1.7866579776173452E-3</v>
      </c>
      <c r="F90" s="1">
        <f t="shared" si="9"/>
        <v>1.2391626266287786E-3</v>
      </c>
    </row>
    <row r="91" spans="1:6">
      <c r="A91">
        <v>8300</v>
      </c>
      <c r="B91" s="1">
        <f t="shared" si="5"/>
        <v>2.1183723160587142E-3</v>
      </c>
      <c r="C91" s="1">
        <f t="shared" si="6"/>
        <v>2.1177260705961265E-3</v>
      </c>
      <c r="D91" s="1">
        <f t="shared" si="7"/>
        <v>1.2483668015722538E-3</v>
      </c>
      <c r="E91" s="1">
        <f t="shared" si="8"/>
        <v>1.7418291576796197E-3</v>
      </c>
      <c r="F91" s="1">
        <f t="shared" si="9"/>
        <v>1.206542600245511E-3</v>
      </c>
    </row>
    <row r="92" spans="1:6">
      <c r="A92">
        <v>8400</v>
      </c>
      <c r="B92" s="1">
        <f t="shared" si="5"/>
        <v>2.0486915845300269E-3</v>
      </c>
      <c r="C92" s="1">
        <f t="shared" si="6"/>
        <v>2.0645369755245557E-3</v>
      </c>
      <c r="D92" s="1">
        <f t="shared" si="7"/>
        <v>1.2182991329491299E-3</v>
      </c>
      <c r="E92" s="1">
        <f t="shared" si="8"/>
        <v>1.6983258676833701E-3</v>
      </c>
      <c r="F92" s="1">
        <f t="shared" si="9"/>
        <v>1.1750661148974134E-3</v>
      </c>
    </row>
    <row r="93" spans="1:6">
      <c r="A93">
        <v>8500</v>
      </c>
      <c r="B93" s="1">
        <f t="shared" si="5"/>
        <v>1.9813028978462599E-3</v>
      </c>
      <c r="C93" s="1">
        <f t="shared" si="6"/>
        <v>2.0127815169458385E-3</v>
      </c>
      <c r="D93" s="1">
        <f t="shared" si="7"/>
        <v>1.1892141537648282E-3</v>
      </c>
      <c r="E93" s="1">
        <f t="shared" si="8"/>
        <v>1.6561012449516355E-3</v>
      </c>
      <c r="F93" s="1">
        <f t="shared" si="9"/>
        <v>1.144683274190747E-3</v>
      </c>
    </row>
    <row r="94" spans="1:6">
      <c r="A94">
        <v>8600</v>
      </c>
      <c r="B94" s="1">
        <f t="shared" si="5"/>
        <v>1.9161308625741391E-3</v>
      </c>
      <c r="C94" s="1">
        <f t="shared" si="6"/>
        <v>1.9624476395624368E-3</v>
      </c>
      <c r="D94" s="1">
        <f t="shared" si="7"/>
        <v>1.1610709582385859E-3</v>
      </c>
      <c r="E94" s="1">
        <f t="shared" si="8"/>
        <v>1.6151104185768705E-3</v>
      </c>
      <c r="F94" s="1">
        <f t="shared" si="9"/>
        <v>1.1153467792802546E-3</v>
      </c>
    </row>
    <row r="95" spans="1:6">
      <c r="A95">
        <v>8700</v>
      </c>
      <c r="B95" s="1">
        <f t="shared" si="5"/>
        <v>1.8531025652364086E-3</v>
      </c>
      <c r="C95" s="1">
        <f t="shared" si="6"/>
        <v>1.9134595346208538E-3</v>
      </c>
      <c r="D95" s="1">
        <f t="shared" si="7"/>
        <v>1.1338307160315697E-3</v>
      </c>
      <c r="E95" s="1">
        <f t="shared" si="8"/>
        <v>1.575310408131525E-3</v>
      </c>
      <c r="F95" s="1">
        <f t="shared" si="9"/>
        <v>1.0870117721387823E-3</v>
      </c>
    </row>
    <row r="96" spans="1:6">
      <c r="A96">
        <v>8800</v>
      </c>
      <c r="B96" s="1">
        <f t="shared" si="5"/>
        <v>1.7921474907368617E-3</v>
      </c>
      <c r="C96" s="1">
        <f t="shared" si="6"/>
        <v>1.8657876775867166E-3</v>
      </c>
      <c r="D96" s="1">
        <f t="shared" si="7"/>
        <v>1.1074565479194387E-3</v>
      </c>
      <c r="E96" s="1">
        <f t="shared" si="8"/>
        <v>1.5366600284628662E-3</v>
      </c>
      <c r="F96" s="1">
        <f t="shared" si="9"/>
        <v>1.0596356895614945E-3</v>
      </c>
    </row>
    <row r="97" spans="1:6">
      <c r="A97">
        <v>8900</v>
      </c>
      <c r="B97" s="1">
        <f t="shared" si="5"/>
        <v>1.7331974434694475E-3</v>
      </c>
      <c r="C97" s="1">
        <f t="shared" si="6"/>
        <v>1.8193924928133764E-3</v>
      </c>
      <c r="D97" s="1">
        <f t="shared" si="7"/>
        <v>1.0819134100472638E-3</v>
      </c>
      <c r="E97" s="1">
        <f t="shared" si="8"/>
        <v>1.4991198001496064E-3</v>
      </c>
      <c r="F97" s="1">
        <f t="shared" si="9"/>
        <v>1.0331781270797036E-3</v>
      </c>
    </row>
    <row r="98" spans="1:6">
      <c r="A98">
        <v>9000</v>
      </c>
      <c r="B98" s="1">
        <f t="shared" si="5"/>
        <v>1.6761864710218566E-3</v>
      </c>
      <c r="C98" s="1">
        <f t="shared" si="6"/>
        <v>1.7742358014589676E-3</v>
      </c>
      <c r="D98" s="1">
        <f t="shared" si="7"/>
        <v>1.0571679861024474E-3</v>
      </c>
      <c r="E98" s="1">
        <f t="shared" si="8"/>
        <v>1.462651865228759E-3</v>
      </c>
      <c r="F98" s="1">
        <f t="shared" si="9"/>
        <v>1.0076007120339778E-3</v>
      </c>
    </row>
    <row r="99" spans="1:6">
      <c r="A99">
        <v>9100</v>
      </c>
      <c r="B99" s="1">
        <f t="shared" si="5"/>
        <v>1.6210507903893223E-3</v>
      </c>
      <c r="C99" s="1">
        <f t="shared" si="6"/>
        <v>1.7302807612540327E-3</v>
      </c>
      <c r="D99" s="1">
        <f t="shared" si="7"/>
        <v>1.0331885867896906E-3</v>
      </c>
      <c r="E99" s="1">
        <f t="shared" si="8"/>
        <v>1.4272199078319003E-3</v>
      </c>
      <c r="F99" s="1">
        <f t="shared" si="9"/>
        <v>9.8286698511870774E-4</v>
      </c>
    </row>
    <row r="100" spans="1:6">
      <c r="A100">
        <v>9200</v>
      </c>
      <c r="B100" s="1">
        <f t="shared" si="5"/>
        <v>1.5677287166144804E-3</v>
      </c>
      <c r="C100" s="1">
        <f t="shared" si="6"/>
        <v>1.6874918094793578E-3</v>
      </c>
      <c r="D100" s="1">
        <f t="shared" si="7"/>
        <v>1.0099450560466794E-3</v>
      </c>
      <c r="E100" s="1">
        <f t="shared" si="8"/>
        <v>1.3927890793994369E-3</v>
      </c>
      <c r="F100" s="1">
        <f t="shared" si="9"/>
        <v>9.589422897638214E-4</v>
      </c>
    </row>
    <row r="101" spans="1:6">
      <c r="A101">
        <v>9300</v>
      </c>
      <c r="B101" s="1">
        <f t="shared" si="5"/>
        <v>1.516160593776128E-3</v>
      </c>
      <c r="C101" s="1">
        <f t="shared" si="6"/>
        <v>1.6458346089445186E-3</v>
      </c>
      <c r="D101" s="1">
        <f t="shared" si="7"/>
        <v>9.8740868349489475E-4</v>
      </c>
      <c r="E101" s="1">
        <f t="shared" si="8"/>
        <v>1.3593259281661219E-3</v>
      </c>
      <c r="F101" s="1">
        <f t="shared" si="9"/>
        <v>9.3579366878145109E-4</v>
      </c>
    </row>
    <row r="102" spans="1:6">
      <c r="A102">
        <v>9400</v>
      </c>
      <c r="B102" s="1">
        <f t="shared" si="5"/>
        <v>1.4662887282459458E-3</v>
      </c>
      <c r="C102" s="1">
        <f t="shared" si="6"/>
        <v>1.605275996777622E-3</v>
      </c>
      <c r="D102" s="1">
        <f t="shared" si="7"/>
        <v>9.65552122647928E-4</v>
      </c>
      <c r="E102" s="1">
        <f t="shared" si="8"/>
        <v>1.3267983326347155E-3</v>
      </c>
      <c r="F102" s="1">
        <f t="shared" si="9"/>
        <v>9.1338976773514685E-4</v>
      </c>
    </row>
    <row r="103" spans="1:6">
      <c r="A103">
        <v>9500</v>
      </c>
      <c r="B103" s="1">
        <f t="shared" si="5"/>
        <v>1.4180573241431293E-3</v>
      </c>
      <c r="C103" s="1">
        <f t="shared" si="6"/>
        <v>1.5657839358476089E-3</v>
      </c>
      <c r="D103" s="1">
        <f t="shared" si="7"/>
        <v>9.4434931445941395E-4</v>
      </c>
      <c r="E103" s="1">
        <f t="shared" si="8"/>
        <v>1.2951754387765524E-3</v>
      </c>
      <c r="F103" s="1">
        <f t="shared" si="9"/>
        <v>8.9170074454899412E-4</v>
      </c>
    </row>
    <row r="104" spans="1:6">
      <c r="A104">
        <v>9600</v>
      </c>
      <c r="B104" s="1">
        <f t="shared" si="5"/>
        <v>1.3714124209092127E-3</v>
      </c>
      <c r="C104" s="1">
        <f t="shared" si="6"/>
        <v>1.5273274686560256E-3</v>
      </c>
      <c r="D104" s="1">
        <f t="shared" si="7"/>
        <v>9.2377541580168643E-4</v>
      </c>
      <c r="E104" s="1">
        <f t="shared" si="8"/>
        <v>1.2644276007158783E-3</v>
      </c>
      <c r="F104" s="1">
        <f t="shared" si="9"/>
        <v>8.706981849065723E-4</v>
      </c>
    </row>
    <row r="105" spans="1:6">
      <c r="A105">
        <v>9700</v>
      </c>
      <c r="B105" s="1">
        <f t="shared" si="5"/>
        <v>1.3263018329394693E-3</v>
      </c>
      <c r="C105" s="1">
        <f t="shared" si="6"/>
        <v>1.4898694058351758E-3</v>
      </c>
      <c r="D105" s="1">
        <f t="shared" si="7"/>
        <v>9.0380673253320776E-4</v>
      </c>
      <c r="E105" s="1">
        <f t="shared" si="8"/>
        <v>1.2345263246771321E-3</v>
      </c>
      <c r="F105" s="1">
        <f t="shared" si="9"/>
        <v>8.5035502302240745E-4</v>
      </c>
    </row>
    <row r="106" spans="1:6">
      <c r="A106">
        <v>9800</v>
      </c>
      <c r="B106" s="1">
        <f t="shared" si="5"/>
        <v>1.2826750911970608E-3</v>
      </c>
      <c r="C106" s="1">
        <f t="shared" si="6"/>
        <v>1.4534032802956398E-3</v>
      </c>
      <c r="D106" s="1">
        <f t="shared" si="7"/>
        <v>8.8442065680327531E-4</v>
      </c>
      <c r="E106" s="1">
        <f t="shared" si="8"/>
        <v>1.2054442159806777E-3</v>
      </c>
      <c r="F106" s="1">
        <f t="shared" si="9"/>
        <v>8.3064546740735379E-4</v>
      </c>
    </row>
    <row r="107" spans="1:6">
      <c r="A107">
        <v>9900</v>
      </c>
      <c r="B107" s="1">
        <f t="shared" si="5"/>
        <v>1.2404833867498688E-3</v>
      </c>
      <c r="C107" s="1">
        <f t="shared" si="6"/>
        <v>1.4178779396615271E-3</v>
      </c>
      <c r="D107" s="1">
        <f t="shared" si="7"/>
        <v>8.6559560830656856E-4</v>
      </c>
      <c r="E107" s="1">
        <f t="shared" si="8"/>
        <v>1.1771549289048E-3</v>
      </c>
      <c r="F107" s="1">
        <f t="shared" si="9"/>
        <v>8.1154493127157112E-4</v>
      </c>
    </row>
    <row r="108" spans="1:6">
      <c r="A108">
        <v>10000</v>
      </c>
      <c r="B108" s="1">
        <f>EXPONDIST(A108,1/B$4,TRUE)-EXPONDIST(A107,1/B$4,TRUE)</f>
        <v>1.1996795161637319E-3</v>
      </c>
      <c r="C108" s="1">
        <f t="shared" si="6"/>
        <v>1.3832743212472964E-3</v>
      </c>
      <c r="D108" s="1">
        <f t="shared" si="7"/>
        <v>8.4731097919399367E-4</v>
      </c>
      <c r="E108" s="1">
        <f t="shared" si="8"/>
        <v>1.1496331192237808E-3</v>
      </c>
      <c r="F108" s="1">
        <f t="shared" si="9"/>
        <v>7.9302996725186259E-4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H20" sqref="H20"/>
    </sheetView>
  </sheetViews>
  <sheetFormatPr defaultRowHeight="15"/>
  <cols>
    <col min="1" max="1" width="14.85546875" bestFit="1" customWidth="1"/>
    <col min="2" max="2" width="17.5703125" customWidth="1"/>
    <col min="5" max="5" width="10.85546875" bestFit="1" customWidth="1"/>
    <col min="6" max="6" width="13.140625" customWidth="1"/>
    <col min="8" max="8" width="13.85546875" bestFit="1" customWidth="1"/>
    <col min="10" max="10" width="7.7109375" bestFit="1" customWidth="1"/>
    <col min="11" max="11" width="12" bestFit="1" customWidth="1"/>
    <col min="13" max="13" width="12.28515625" bestFit="1" customWidth="1"/>
    <col min="14" max="14" width="13.85546875" bestFit="1" customWidth="1"/>
    <col min="15" max="15" width="7.5703125" bestFit="1" customWidth="1"/>
    <col min="16" max="16" width="11" customWidth="1"/>
    <col min="18" max="18" width="15.7109375" customWidth="1"/>
  </cols>
  <sheetData>
    <row r="1" spans="1:16">
      <c r="A1" t="s">
        <v>57</v>
      </c>
    </row>
    <row r="3" spans="1:16">
      <c r="B3" s="43"/>
      <c r="C3" s="41" t="s">
        <v>2</v>
      </c>
      <c r="D3" s="42" t="s">
        <v>3</v>
      </c>
    </row>
    <row r="4" spans="1:16">
      <c r="B4" s="25" t="s">
        <v>30</v>
      </c>
      <c r="C4" s="55">
        <f>'X data'!D2</f>
        <v>2989.8333333333335</v>
      </c>
      <c r="D4" s="26">
        <f>'X data'!D4/LN(2)</f>
        <v>1779.5643329365364</v>
      </c>
      <c r="H4" t="s">
        <v>53</v>
      </c>
      <c r="M4" t="s">
        <v>52</v>
      </c>
    </row>
    <row r="6" spans="1:16">
      <c r="B6" s="7" t="s">
        <v>48</v>
      </c>
      <c r="C6" t="s">
        <v>8</v>
      </c>
      <c r="D6" t="s">
        <v>8</v>
      </c>
      <c r="F6" t="s">
        <v>9</v>
      </c>
      <c r="H6" t="s">
        <v>10</v>
      </c>
      <c r="I6" t="s">
        <v>0</v>
      </c>
      <c r="J6" t="s">
        <v>1</v>
      </c>
      <c r="K6" t="s">
        <v>4</v>
      </c>
      <c r="M6" t="s">
        <v>10</v>
      </c>
      <c r="N6" t="s">
        <v>0</v>
      </c>
      <c r="O6" t="s">
        <v>1</v>
      </c>
      <c r="P6" t="s">
        <v>4</v>
      </c>
    </row>
    <row r="7" spans="1:16">
      <c r="A7">
        <f>'X data'!G3</f>
        <v>0</v>
      </c>
      <c r="B7">
        <f>'X data'!H3</f>
        <v>1000</v>
      </c>
      <c r="C7" s="1">
        <f>EXP(-A7/C$4)-EXP(-B7/C$4)</f>
        <v>0.28428039665993743</v>
      </c>
      <c r="D7" s="1">
        <f>EXP(-A7/D$4)-EXP(-B7/D$4)</f>
        <v>0.42989532250132156</v>
      </c>
      <c r="F7">
        <f>'X data'!I3</f>
        <v>43</v>
      </c>
      <c r="H7" s="3">
        <f t="shared" ref="H7:H17" si="0">D7*96</f>
        <v>41.26995096012687</v>
      </c>
      <c r="I7" s="3">
        <f t="shared" ref="I7:I17" si="1">F7-H7</f>
        <v>1.7300490398731299</v>
      </c>
      <c r="J7" s="3">
        <f>I7^2</f>
        <v>2.9930696803659385</v>
      </c>
      <c r="K7" s="3">
        <f>J7/H7</f>
        <v>7.2524187955970792E-2</v>
      </c>
      <c r="M7" s="3">
        <f t="shared" ref="M7:M17" si="2">C7*96</f>
        <v>27.290918079353993</v>
      </c>
      <c r="N7" s="3">
        <f t="shared" ref="N7:N17" si="3">F7-M7</f>
        <v>15.709081920646007</v>
      </c>
      <c r="O7" s="3">
        <f>N7^2</f>
        <v>246.77525478956724</v>
      </c>
      <c r="P7" s="3">
        <f>O7/M7</f>
        <v>9.0423947656145938</v>
      </c>
    </row>
    <row r="8" spans="1:16">
      <c r="A8">
        <f>'X data'!G4</f>
        <v>1000</v>
      </c>
      <c r="B8">
        <f>'X data'!H4</f>
        <v>2000</v>
      </c>
      <c r="C8" s="1">
        <f>EXP(-A8/C$4)-EXP(-B8/C$4)</f>
        <v>0.20346505273480608</v>
      </c>
      <c r="D8" s="1">
        <f t="shared" ref="D8:D16" si="4">EXP(-A8/D$4)-EXP(-B8/D$4)</f>
        <v>0.24508533419280626</v>
      </c>
      <c r="F8">
        <f>'X data'!I4</f>
        <v>20</v>
      </c>
      <c r="H8" s="3">
        <f t="shared" si="0"/>
        <v>23.528192082509399</v>
      </c>
      <c r="I8" s="3">
        <f t="shared" si="1"/>
        <v>-3.5281920825093991</v>
      </c>
      <c r="J8" s="3">
        <f t="shared" ref="J8:J17" si="5">I8^2</f>
        <v>12.448139371082011</v>
      </c>
      <c r="K8" s="3">
        <f t="shared" ref="K8:K17" si="6">J8/H8</f>
        <v>0.52907334857810095</v>
      </c>
      <c r="M8" s="3">
        <f t="shared" si="2"/>
        <v>19.532645062541384</v>
      </c>
      <c r="N8" s="3">
        <f t="shared" si="3"/>
        <v>0.46735493745861589</v>
      </c>
      <c r="O8" s="3">
        <f t="shared" ref="O8:O17" si="7">N8^2</f>
        <v>0.21842063756694677</v>
      </c>
      <c r="P8" s="3">
        <f t="shared" ref="P8:P17" si="8">O8/M8</f>
        <v>1.1182337920316879E-2</v>
      </c>
    </row>
    <row r="9" spans="1:16">
      <c r="A9">
        <f>'X data'!G5</f>
        <v>2000</v>
      </c>
      <c r="B9">
        <f>'X data'!H5</f>
        <v>3000</v>
      </c>
      <c r="C9" s="1">
        <f t="shared" ref="C9:C16" si="9">EXP(-A9/C$4)-EXP(-B9/C$4)</f>
        <v>0.14562392683692027</v>
      </c>
      <c r="D9" s="1">
        <f t="shared" si="4"/>
        <v>0.13972429540964562</v>
      </c>
      <c r="F9">
        <f>'X data'!I5</f>
        <v>11</v>
      </c>
      <c r="H9" s="3">
        <f t="shared" si="0"/>
        <v>13.413532359325981</v>
      </c>
      <c r="I9" s="3">
        <f t="shared" si="1"/>
        <v>-2.4135323593259805</v>
      </c>
      <c r="J9" s="3">
        <f t="shared" si="5"/>
        <v>5.8251384495136342</v>
      </c>
      <c r="K9" s="3">
        <f t="shared" si="6"/>
        <v>0.43427326176788994</v>
      </c>
      <c r="M9" s="3">
        <f t="shared" si="2"/>
        <v>13.979896976344346</v>
      </c>
      <c r="N9" s="3">
        <f t="shared" si="3"/>
        <v>-2.9798969763443459</v>
      </c>
      <c r="O9" s="3">
        <f t="shared" si="7"/>
        <v>8.8797859896261748</v>
      </c>
      <c r="P9" s="3">
        <f t="shared" si="8"/>
        <v>0.63518250561158163</v>
      </c>
    </row>
    <row r="10" spans="1:16">
      <c r="A10">
        <f>'X data'!G6</f>
        <v>3000</v>
      </c>
      <c r="B10">
        <f>'X data'!H6</f>
        <v>4000</v>
      </c>
      <c r="C10" s="1">
        <f t="shared" si="9"/>
        <v>0.10422589915254293</v>
      </c>
      <c r="D10" s="1">
        <f t="shared" si="4"/>
        <v>7.9657474373246148E-2</v>
      </c>
      <c r="F10">
        <f>'X data'!I6</f>
        <v>7</v>
      </c>
      <c r="H10" s="3">
        <f t="shared" si="0"/>
        <v>7.6471175398316298</v>
      </c>
      <c r="I10" s="3">
        <f t="shared" si="1"/>
        <v>-0.64711753983162978</v>
      </c>
      <c r="J10" s="3">
        <f t="shared" si="5"/>
        <v>0.41876111035774094</v>
      </c>
      <c r="K10" s="3">
        <f t="shared" si="6"/>
        <v>5.4760647809653125E-2</v>
      </c>
      <c r="M10" s="3">
        <f t="shared" si="2"/>
        <v>10.005686318644122</v>
      </c>
      <c r="N10" s="3">
        <f t="shared" si="3"/>
        <v>-3.0056863186441216</v>
      </c>
      <c r="O10" s="3">
        <f t="shared" si="7"/>
        <v>9.0341502460844527</v>
      </c>
      <c r="P10" s="3">
        <f t="shared" si="8"/>
        <v>0.90290160598485336</v>
      </c>
    </row>
    <row r="11" spans="1:16">
      <c r="A11">
        <f>'X data'!G7</f>
        <v>4000</v>
      </c>
      <c r="B11">
        <f>'X data'!H7</f>
        <v>5000</v>
      </c>
      <c r="C11" s="1">
        <f t="shared" si="9"/>
        <v>7.4596519199219363E-2</v>
      </c>
      <c r="D11" s="1">
        <f t="shared" si="4"/>
        <v>4.5413098737918718E-2</v>
      </c>
      <c r="F11">
        <f>'X data'!I7</f>
        <v>2</v>
      </c>
      <c r="H11" s="10">
        <f t="shared" si="0"/>
        <v>4.3596574788401972</v>
      </c>
      <c r="I11" s="3">
        <f t="shared" si="1"/>
        <v>-2.3596574788401972</v>
      </c>
      <c r="J11" s="3">
        <f t="shared" si="5"/>
        <v>5.5679834174464755</v>
      </c>
      <c r="K11" s="3">
        <f t="shared" si="6"/>
        <v>1.277160750465133</v>
      </c>
      <c r="M11" s="3">
        <f t="shared" si="2"/>
        <v>7.1612658431250589</v>
      </c>
      <c r="N11" s="3">
        <f t="shared" si="3"/>
        <v>-5.1612658431250589</v>
      </c>
      <c r="O11" s="3">
        <f t="shared" si="7"/>
        <v>26.638665103409426</v>
      </c>
      <c r="P11" s="3">
        <f t="shared" si="8"/>
        <v>3.7198263110121812</v>
      </c>
    </row>
    <row r="12" spans="1:16">
      <c r="A12">
        <f>'X data'!G8</f>
        <v>5000</v>
      </c>
      <c r="B12">
        <f>'X data'!H8</f>
        <v>6000</v>
      </c>
      <c r="C12" s="1">
        <f t="shared" si="9"/>
        <v>5.3390191131814618E-2</v>
      </c>
      <c r="D12" s="1">
        <f t="shared" si="4"/>
        <v>2.58902200101968E-2</v>
      </c>
      <c r="F12">
        <f>'X data'!I8</f>
        <v>3</v>
      </c>
      <c r="H12" s="10">
        <f t="shared" si="0"/>
        <v>2.4854611209788926</v>
      </c>
      <c r="I12" s="3">
        <f t="shared" si="1"/>
        <v>0.5145388790211074</v>
      </c>
      <c r="J12" s="3">
        <f t="shared" si="5"/>
        <v>0.2647502580242978</v>
      </c>
      <c r="K12" s="3">
        <f t="shared" si="6"/>
        <v>0.1065195732854701</v>
      </c>
      <c r="M12" s="3">
        <f t="shared" si="2"/>
        <v>5.1254583486542034</v>
      </c>
      <c r="N12" s="3">
        <f t="shared" si="3"/>
        <v>-2.1254583486542034</v>
      </c>
      <c r="O12" s="3">
        <f t="shared" si="7"/>
        <v>4.5175731918638533</v>
      </c>
      <c r="P12" s="3">
        <f t="shared" si="8"/>
        <v>0.88139886904944553</v>
      </c>
    </row>
    <row r="13" spans="1:16">
      <c r="A13">
        <f>'X data'!G9</f>
        <v>6000</v>
      </c>
      <c r="B13">
        <f>'X data'!H9</f>
        <v>7000</v>
      </c>
      <c r="C13" s="1">
        <f t="shared" si="9"/>
        <v>3.8212406419112527E-2</v>
      </c>
      <c r="D13" s="1">
        <f t="shared" si="4"/>
        <v>1.4760135529283076E-2</v>
      </c>
      <c r="F13">
        <f>'X data'!I9</f>
        <v>1</v>
      </c>
      <c r="H13" s="10">
        <f t="shared" si="0"/>
        <v>1.4169730108111753</v>
      </c>
      <c r="I13" s="3">
        <f t="shared" si="1"/>
        <v>-0.41697301081117533</v>
      </c>
      <c r="J13" s="3">
        <f t="shared" si="5"/>
        <v>0.17386649174493654</v>
      </c>
      <c r="K13" s="3">
        <f t="shared" si="6"/>
        <v>0.12270275468789846</v>
      </c>
      <c r="M13" s="10">
        <f t="shared" si="2"/>
        <v>3.6683910162348026</v>
      </c>
      <c r="N13" s="3">
        <f t="shared" si="3"/>
        <v>-2.6683910162348026</v>
      </c>
      <c r="O13" s="3">
        <f t="shared" si="7"/>
        <v>7.1203106155226026</v>
      </c>
      <c r="P13" s="3">
        <f t="shared" si="8"/>
        <v>1.9409900918443568</v>
      </c>
    </row>
    <row r="14" spans="1:16">
      <c r="A14">
        <f>'X data'!G10</f>
        <v>7000</v>
      </c>
      <c r="B14">
        <f>'X data'!H10</f>
        <v>8000</v>
      </c>
      <c r="C14" s="1">
        <f t="shared" si="9"/>
        <v>2.7349368364956467E-2</v>
      </c>
      <c r="D14" s="1">
        <f t="shared" si="4"/>
        <v>8.414822305758721E-3</v>
      </c>
      <c r="F14">
        <f>'X data'!I10</f>
        <v>3</v>
      </c>
      <c r="H14" s="10">
        <f t="shared" si="0"/>
        <v>0.80782294135283728</v>
      </c>
      <c r="I14" s="3">
        <f t="shared" si="1"/>
        <v>2.1921770586471627</v>
      </c>
      <c r="J14" s="3">
        <f t="shared" si="5"/>
        <v>4.8056402564589256</v>
      </c>
      <c r="K14" s="3">
        <f t="shared" si="6"/>
        <v>5.9488781643302451</v>
      </c>
      <c r="M14" s="10">
        <f t="shared" si="2"/>
        <v>2.6255393630358208</v>
      </c>
      <c r="N14" s="3">
        <f t="shared" si="3"/>
        <v>0.37446063696417919</v>
      </c>
      <c r="O14" s="3">
        <f>N14^2</f>
        <v>0.1402207686356188</v>
      </c>
      <c r="P14" s="3">
        <f>O14/M14</f>
        <v>5.3406462157735986E-2</v>
      </c>
    </row>
    <row r="15" spans="1:16">
      <c r="A15">
        <f>'X data'!G11</f>
        <v>8000</v>
      </c>
      <c r="B15">
        <f>'X data'!H11</f>
        <v>9000</v>
      </c>
      <c r="C15" s="1">
        <f t="shared" si="9"/>
        <v>1.9574479077767881E-2</v>
      </c>
      <c r="D15" s="1">
        <f t="shared" si="4"/>
        <v>4.7973295568332578E-3</v>
      </c>
      <c r="F15">
        <f>'X data'!I11</f>
        <v>1</v>
      </c>
      <c r="H15" s="10">
        <f t="shared" si="0"/>
        <v>0.46054363745599275</v>
      </c>
      <c r="I15" s="3">
        <f t="shared" si="1"/>
        <v>0.5394563625440072</v>
      </c>
      <c r="J15" s="3">
        <f t="shared" si="5"/>
        <v>0.29101316708921132</v>
      </c>
      <c r="K15" s="3">
        <f t="shared" si="6"/>
        <v>0.63189053853125721</v>
      </c>
      <c r="M15" s="10">
        <f t="shared" si="2"/>
        <v>1.8791499914657166</v>
      </c>
      <c r="N15" s="3">
        <f t="shared" si="3"/>
        <v>-0.8791499914657166</v>
      </c>
      <c r="O15" s="3">
        <f t="shared" si="7"/>
        <v>0.77290470749416962</v>
      </c>
      <c r="P15" s="3">
        <f t="shared" si="8"/>
        <v>0.41130548971841907</v>
      </c>
    </row>
    <row r="16" spans="1:16">
      <c r="A16">
        <f>'X data'!G12</f>
        <v>9000</v>
      </c>
      <c r="B16">
        <f>'X data'!H12</f>
        <v>10000</v>
      </c>
      <c r="C16" s="1">
        <f t="shared" si="9"/>
        <v>1.4009838401128405E-2</v>
      </c>
      <c r="D16" s="1">
        <f t="shared" si="4"/>
        <v>2.7349800198533027E-3</v>
      </c>
      <c r="F16">
        <f>'X data'!I12</f>
        <v>1</v>
      </c>
      <c r="H16" s="10">
        <f t="shared" si="0"/>
        <v>0.26255808190591706</v>
      </c>
      <c r="I16" s="3">
        <f t="shared" si="1"/>
        <v>0.73744191809408299</v>
      </c>
      <c r="J16" s="3">
        <f t="shared" si="5"/>
        <v>0.54382058256228016</v>
      </c>
      <c r="K16" s="3">
        <f t="shared" si="6"/>
        <v>2.0712391658815834</v>
      </c>
      <c r="M16" s="10">
        <f t="shared" si="2"/>
        <v>1.3449444865083269</v>
      </c>
      <c r="N16" s="3">
        <f t="shared" si="3"/>
        <v>-0.34494448650832688</v>
      </c>
      <c r="O16" s="3">
        <f t="shared" si="7"/>
        <v>0.11898669877249331</v>
      </c>
      <c r="P16" s="3">
        <f t="shared" si="8"/>
        <v>8.8469598534434854E-2</v>
      </c>
    </row>
    <row r="17" spans="1:23">
      <c r="A17">
        <f>'X data'!G13</f>
        <v>10000</v>
      </c>
      <c r="B17">
        <f>'X data'!H13</f>
        <v>0</v>
      </c>
      <c r="C17" s="1">
        <f>EXP(-A17/C$4)</f>
        <v>3.5271922021794022E-2</v>
      </c>
      <c r="D17" s="1">
        <f>EXP(-A17/D$4)</f>
        <v>3.6269873631365312E-3</v>
      </c>
      <c r="F17">
        <f>'X data'!I13</f>
        <v>4</v>
      </c>
      <c r="H17" s="10">
        <f t="shared" si="0"/>
        <v>0.34819078686110699</v>
      </c>
      <c r="I17" s="3">
        <f t="shared" si="1"/>
        <v>3.6518092131388928</v>
      </c>
      <c r="J17" s="3">
        <f t="shared" si="5"/>
        <v>13.3357105291661</v>
      </c>
      <c r="K17" s="3">
        <f t="shared" si="6"/>
        <v>38.300009742893351</v>
      </c>
      <c r="M17" s="10">
        <f t="shared" si="2"/>
        <v>3.3861045140922261</v>
      </c>
      <c r="N17" s="3">
        <f t="shared" si="3"/>
        <v>0.61389548590777387</v>
      </c>
      <c r="O17" s="3">
        <f t="shared" si="7"/>
        <v>0.37686766761794177</v>
      </c>
      <c r="P17" s="3">
        <f t="shared" si="8"/>
        <v>0.11129829751252537</v>
      </c>
    </row>
    <row r="19" spans="1:23">
      <c r="C19" s="1">
        <f>SUM(C6:C17)</f>
        <v>1.0000000000000002</v>
      </c>
      <c r="D19" s="1">
        <f>SUM(D6:D17)</f>
        <v>1</v>
      </c>
      <c r="F19">
        <f>SUM(F7:F17)</f>
        <v>96</v>
      </c>
      <c r="K19" s="2">
        <f>SUM(K7:K17)</f>
        <v>49.549032136186554</v>
      </c>
      <c r="M19" s="3"/>
      <c r="P19" s="2">
        <f>SUM(P7:P17)</f>
        <v>17.798356334960442</v>
      </c>
    </row>
    <row r="21" spans="1:23">
      <c r="K21" s="4">
        <f>CHIDIST(K19,9)</f>
        <v>1.3093334381032646E-7</v>
      </c>
      <c r="P21" s="1">
        <f>CHIDIST(P19,9)</f>
        <v>3.758635539330285E-2</v>
      </c>
    </row>
    <row r="22" spans="1:23">
      <c r="A22" t="s">
        <v>6</v>
      </c>
      <c r="B22">
        <v>12</v>
      </c>
    </row>
    <row r="23" spans="1:23">
      <c r="A23" t="s">
        <v>7</v>
      </c>
      <c r="B23">
        <f>96/B22</f>
        <v>8</v>
      </c>
    </row>
    <row r="24" spans="1:23">
      <c r="D24" t="s">
        <v>52</v>
      </c>
      <c r="J24" t="s">
        <v>53</v>
      </c>
      <c r="P24" t="s">
        <v>53</v>
      </c>
      <c r="V24" t="s">
        <v>52</v>
      </c>
    </row>
    <row r="25" spans="1:23">
      <c r="B25" s="7" t="s">
        <v>47</v>
      </c>
      <c r="C25" s="8" t="s">
        <v>28</v>
      </c>
      <c r="D25" t="s">
        <v>27</v>
      </c>
      <c r="E25" t="s">
        <v>4</v>
      </c>
      <c r="H25" s="7" t="s">
        <v>47</v>
      </c>
      <c r="I25" s="8" t="s">
        <v>28</v>
      </c>
      <c r="J25" t="s">
        <v>27</v>
      </c>
      <c r="K25" t="s">
        <v>4</v>
      </c>
      <c r="N25" s="7" t="s">
        <v>51</v>
      </c>
      <c r="O25" s="8" t="s">
        <v>28</v>
      </c>
      <c r="P25" t="s">
        <v>27</v>
      </c>
      <c r="Q25" t="s">
        <v>4</v>
      </c>
      <c r="T25" s="7" t="s">
        <v>51</v>
      </c>
      <c r="U25" s="8" t="s">
        <v>28</v>
      </c>
      <c r="V25" t="s">
        <v>27</v>
      </c>
      <c r="W25" t="s">
        <v>4</v>
      </c>
    </row>
    <row r="26" spans="1:23">
      <c r="A26" s="6">
        <v>0</v>
      </c>
      <c r="B26" s="6">
        <f>-C$4*LN(1-B23/F$19)</f>
        <v>260.14951530282821</v>
      </c>
      <c r="C26">
        <f t="array" ref="C26:C37">FREQUENCY('X data'!A2:A97,Exponential!B26:B37)</f>
        <v>12</v>
      </c>
      <c r="D26">
        <f>B$23</f>
        <v>8</v>
      </c>
      <c r="E26" s="3">
        <f>((C26-D26)^2)/D26</f>
        <v>2</v>
      </c>
      <c r="G26" s="6">
        <f>A26</f>
        <v>0</v>
      </c>
      <c r="H26" s="6">
        <f>B26</f>
        <v>260.14951530282821</v>
      </c>
      <c r="I26">
        <f>C26</f>
        <v>12</v>
      </c>
      <c r="J26" s="3">
        <f>(EXP(-G26/D$4)-EXP(-H26/D$4))*F$19</f>
        <v>13.056388444067121</v>
      </c>
      <c r="K26" s="3">
        <f>((I26-J26)^2)/J26</f>
        <v>8.5472069825377181E-2</v>
      </c>
      <c r="M26">
        <v>0</v>
      </c>
      <c r="N26" s="6">
        <f>-D$4*LN(1-B23/F$19)</f>
        <v>154.84234305044006</v>
      </c>
      <c r="O26">
        <f t="array" ref="O26:O37">FREQUENCY('X data'!A2:A97,Exponential!N26:N37)</f>
        <v>7</v>
      </c>
      <c r="P26">
        <f t="shared" ref="P26:P37" si="10">B$23</f>
        <v>8</v>
      </c>
      <c r="Q26" s="3">
        <f t="shared" ref="Q26:Q37" si="11">((O26-P26)^2)/P26</f>
        <v>0.125</v>
      </c>
      <c r="S26" s="6">
        <f>M26</f>
        <v>0</v>
      </c>
      <c r="T26" s="6">
        <f>N26</f>
        <v>154.84234305044006</v>
      </c>
      <c r="U26">
        <f>O26</f>
        <v>7</v>
      </c>
      <c r="V26" s="10">
        <f>(EXP(-S26/C$4)-EXP(-T26/C$4))*F$19</f>
        <v>4.8452539955624125</v>
      </c>
      <c r="W26" s="3">
        <f t="shared" ref="W26:W37" si="12">((U26-V26)^2)/V26</f>
        <v>0.9582429214014444</v>
      </c>
    </row>
    <row r="27" spans="1:23">
      <c r="A27" s="6">
        <f>B26</f>
        <v>260.14951530282821</v>
      </c>
      <c r="B27" s="6">
        <f>-C$4*LN(EXP(-B26/C$4)-B$23/F$19)</f>
        <v>545.11106788779227</v>
      </c>
      <c r="C27">
        <v>18</v>
      </c>
      <c r="D27">
        <f t="shared" ref="D27:D37" si="13">B$23</f>
        <v>8</v>
      </c>
      <c r="E27" s="3">
        <f t="shared" ref="E27:E37" si="14">((C27-D27)^2)/D27</f>
        <v>12.5</v>
      </c>
      <c r="G27" s="6">
        <f t="shared" ref="G27:G37" si="15">A27</f>
        <v>260.14951530282821</v>
      </c>
      <c r="H27" s="6">
        <f t="shared" ref="H27:H36" si="16">B27</f>
        <v>545.11106788779227</v>
      </c>
      <c r="I27">
        <f t="shared" ref="I27:I37" si="17">C27</f>
        <v>18</v>
      </c>
      <c r="J27" s="3">
        <f t="shared" ref="J27:J36" si="18">(EXP(-G27/D$4)-EXP(-H27/D$4))*F$19</f>
        <v>12.272912583993474</v>
      </c>
      <c r="K27" s="3">
        <f t="shared" ref="K27:K36" si="19">((I27-J27)^2)/J27</f>
        <v>2.6725139648886582</v>
      </c>
      <c r="M27" s="6">
        <f>N26</f>
        <v>154.84234305044006</v>
      </c>
      <c r="N27" s="6">
        <f t="shared" ref="N27:N36" si="20">-D$4*LN(EXP(-N26/D$4)-B$23/F$19)</f>
        <v>324.45293959598484</v>
      </c>
      <c r="O27">
        <v>10</v>
      </c>
      <c r="P27">
        <f t="shared" si="10"/>
        <v>8</v>
      </c>
      <c r="Q27" s="3">
        <f t="shared" si="11"/>
        <v>0.5</v>
      </c>
      <c r="S27" s="6">
        <f t="shared" ref="S27:S37" si="21">M27</f>
        <v>154.84234305044006</v>
      </c>
      <c r="T27" s="6">
        <f t="shared" ref="T27:T36" si="22">N27</f>
        <v>324.45293959598484</v>
      </c>
      <c r="U27">
        <f t="shared" ref="U27:U36" si="23">O27</f>
        <v>10</v>
      </c>
      <c r="V27" s="3">
        <f t="shared" ref="V27:V36" si="24">(EXP(-S27/C$4)-EXP(-T27/C$4))*F$19</f>
        <v>5.0271859589954282</v>
      </c>
      <c r="W27" s="3">
        <f t="shared" si="12"/>
        <v>4.9190301866919075</v>
      </c>
    </row>
    <row r="28" spans="1:23">
      <c r="A28" s="6">
        <f>B27</f>
        <v>545.11106788779227</v>
      </c>
      <c r="B28" s="6">
        <f>-C$4*LN(EXP(-B27/C$4)-B$23/F$19)</f>
        <v>860.12144961875015</v>
      </c>
      <c r="C28">
        <v>10</v>
      </c>
      <c r="D28">
        <f t="shared" si="13"/>
        <v>8</v>
      </c>
      <c r="E28" s="3">
        <f t="shared" si="14"/>
        <v>0.5</v>
      </c>
      <c r="G28" s="6">
        <f t="shared" si="15"/>
        <v>545.11106788779227</v>
      </c>
      <c r="H28" s="6">
        <f t="shared" si="16"/>
        <v>860.12144961875015</v>
      </c>
      <c r="I28">
        <f t="shared" si="17"/>
        <v>10</v>
      </c>
      <c r="J28" s="3">
        <f t="shared" si="18"/>
        <v>11.465130765941698</v>
      </c>
      <c r="K28" s="3">
        <f t="shared" si="19"/>
        <v>0.18722927850815427</v>
      </c>
      <c r="M28" s="6">
        <f t="shared" ref="M28:M37" si="25">N27</f>
        <v>324.45293959598484</v>
      </c>
      <c r="N28" s="6">
        <f t="shared" si="20"/>
        <v>511.94875536045413</v>
      </c>
      <c r="O28">
        <v>11</v>
      </c>
      <c r="P28">
        <f t="shared" si="10"/>
        <v>8</v>
      </c>
      <c r="Q28" s="3">
        <f t="shared" si="11"/>
        <v>1.125</v>
      </c>
      <c r="S28" s="6">
        <f t="shared" si="21"/>
        <v>324.45293959598484</v>
      </c>
      <c r="T28" s="6">
        <f t="shared" si="22"/>
        <v>511.94875536045413</v>
      </c>
      <c r="U28">
        <f t="shared" si="23"/>
        <v>11</v>
      </c>
      <c r="V28" s="3">
        <f t="shared" si="24"/>
        <v>5.2352853596494278</v>
      </c>
      <c r="W28" s="3">
        <f t="shared" si="12"/>
        <v>6.3476835743863917</v>
      </c>
    </row>
    <row r="29" spans="1:23">
      <c r="A29" s="6">
        <f t="shared" ref="A29:A37" si="26">B28</f>
        <v>860.12144961875015</v>
      </c>
      <c r="B29" s="6">
        <f t="shared" ref="B29:B33" si="27">-C$4*LN(EXP(-B28/C$4)-B$23/F$19)</f>
        <v>1212.2730957253941</v>
      </c>
      <c r="C29">
        <v>8</v>
      </c>
      <c r="D29">
        <f t="shared" si="13"/>
        <v>8</v>
      </c>
      <c r="E29" s="3">
        <f t="shared" si="14"/>
        <v>0</v>
      </c>
      <c r="G29" s="6">
        <f t="shared" si="15"/>
        <v>860.12144961875015</v>
      </c>
      <c r="H29" s="6">
        <f t="shared" si="16"/>
        <v>1212.2730957253941</v>
      </c>
      <c r="I29">
        <f t="shared" si="17"/>
        <v>8</v>
      </c>
      <c r="J29" s="3">
        <f t="shared" si="18"/>
        <v>10.629588814360595</v>
      </c>
      <c r="K29" s="3">
        <f t="shared" si="19"/>
        <v>0.65051785665204054</v>
      </c>
      <c r="M29" s="6">
        <f t="shared" si="25"/>
        <v>511.94875536045413</v>
      </c>
      <c r="N29" s="6">
        <f t="shared" si="20"/>
        <v>721.55124463954655</v>
      </c>
      <c r="O29">
        <v>9</v>
      </c>
      <c r="P29">
        <f t="shared" si="10"/>
        <v>8</v>
      </c>
      <c r="Q29" s="3">
        <f t="shared" si="11"/>
        <v>0.125</v>
      </c>
      <c r="S29" s="6">
        <f t="shared" si="21"/>
        <v>511.94875536045413</v>
      </c>
      <c r="T29" s="6">
        <f t="shared" si="22"/>
        <v>721.55124463954655</v>
      </c>
      <c r="U29">
        <f t="shared" si="23"/>
        <v>9</v>
      </c>
      <c r="V29" s="3">
        <f t="shared" si="24"/>
        <v>5.4767423740467152</v>
      </c>
      <c r="W29" s="3">
        <f t="shared" si="12"/>
        <v>2.2665561845053284</v>
      </c>
    </row>
    <row r="30" spans="1:23">
      <c r="A30" s="6">
        <f t="shared" si="26"/>
        <v>1212.2730957253941</v>
      </c>
      <c r="B30" s="6">
        <f t="shared" si="27"/>
        <v>1611.5097044406132</v>
      </c>
      <c r="C30">
        <v>7</v>
      </c>
      <c r="D30">
        <f t="shared" si="13"/>
        <v>8</v>
      </c>
      <c r="E30" s="3">
        <f t="shared" si="14"/>
        <v>0.125</v>
      </c>
      <c r="G30" s="6">
        <f t="shared" si="15"/>
        <v>1212.2730957253941</v>
      </c>
      <c r="H30" s="6">
        <f t="shared" si="16"/>
        <v>1611.5097044406132</v>
      </c>
      <c r="I30">
        <f t="shared" si="17"/>
        <v>7</v>
      </c>
      <c r="J30" s="3">
        <f t="shared" si="18"/>
        <v>9.7618624982627917</v>
      </c>
      <c r="K30" s="3">
        <f t="shared" si="19"/>
        <v>0.78139642518708263</v>
      </c>
      <c r="M30" s="6">
        <f t="shared" si="25"/>
        <v>721.55124463954655</v>
      </c>
      <c r="N30" s="6">
        <f t="shared" si="20"/>
        <v>959.17894828149213</v>
      </c>
      <c r="O30">
        <v>5</v>
      </c>
      <c r="P30">
        <f t="shared" si="10"/>
        <v>8</v>
      </c>
      <c r="Q30" s="3">
        <f t="shared" si="11"/>
        <v>1.125</v>
      </c>
      <c r="S30" s="6">
        <f t="shared" si="21"/>
        <v>721.55124463954655</v>
      </c>
      <c r="T30" s="6">
        <f t="shared" si="22"/>
        <v>959.17894828149213</v>
      </c>
      <c r="U30">
        <f t="shared" si="23"/>
        <v>5</v>
      </c>
      <c r="V30" s="3">
        <f t="shared" si="24"/>
        <v>5.7619122436538177</v>
      </c>
      <c r="W30" s="3">
        <f t="shared" si="12"/>
        <v>0.10074958494360441</v>
      </c>
    </row>
    <row r="31" spans="1:23">
      <c r="A31" s="6">
        <f t="shared" si="26"/>
        <v>1611.5097044406132</v>
      </c>
      <c r="B31" s="6">
        <f t="shared" si="27"/>
        <v>2072.3945453441443</v>
      </c>
      <c r="C31">
        <v>10</v>
      </c>
      <c r="D31">
        <f t="shared" si="13"/>
        <v>8</v>
      </c>
      <c r="E31" s="3">
        <f t="shared" si="14"/>
        <v>0.5</v>
      </c>
      <c r="G31" s="6">
        <f t="shared" si="15"/>
        <v>1611.5097044406132</v>
      </c>
      <c r="H31" s="6">
        <f t="shared" si="16"/>
        <v>2072.3945453441443</v>
      </c>
      <c r="I31">
        <f t="shared" si="17"/>
        <v>10</v>
      </c>
      <c r="J31" s="3">
        <f t="shared" si="18"/>
        <v>8.8561120908252562</v>
      </c>
      <c r="K31" s="3">
        <f t="shared" si="19"/>
        <v>0.14774875649007693</v>
      </c>
      <c r="M31" s="6">
        <f t="shared" si="25"/>
        <v>959.17894828149213</v>
      </c>
      <c r="N31" s="6">
        <f t="shared" si="20"/>
        <v>1233.5000000000007</v>
      </c>
      <c r="O31">
        <v>6</v>
      </c>
      <c r="P31">
        <f t="shared" si="10"/>
        <v>8</v>
      </c>
      <c r="Q31" s="3">
        <f t="shared" si="11"/>
        <v>0.5</v>
      </c>
      <c r="S31" s="6">
        <f t="shared" si="21"/>
        <v>959.17894828149213</v>
      </c>
      <c r="T31" s="6">
        <f t="shared" si="22"/>
        <v>1233.5000000000007</v>
      </c>
      <c r="U31">
        <f t="shared" si="23"/>
        <v>6</v>
      </c>
      <c r="V31" s="3">
        <f t="shared" si="24"/>
        <v>6.1063913666647416</v>
      </c>
      <c r="W31" s="3">
        <f t="shared" si="12"/>
        <v>1.8536517267110401E-3</v>
      </c>
    </row>
    <row r="32" spans="1:23">
      <c r="A32" s="6">
        <f t="shared" si="26"/>
        <v>2072.3945453441443</v>
      </c>
      <c r="B32" s="6">
        <f t="shared" si="27"/>
        <v>2617.5056132319364</v>
      </c>
      <c r="C32">
        <v>5</v>
      </c>
      <c r="D32">
        <f t="shared" si="13"/>
        <v>8</v>
      </c>
      <c r="E32" s="3">
        <f t="shared" si="14"/>
        <v>1.125</v>
      </c>
      <c r="G32" s="6">
        <f t="shared" si="15"/>
        <v>2072.3945453441443</v>
      </c>
      <c r="H32" s="6">
        <f t="shared" si="16"/>
        <v>2617.5056132319364</v>
      </c>
      <c r="I32">
        <f t="shared" si="17"/>
        <v>5</v>
      </c>
      <c r="J32" s="3">
        <f t="shared" si="18"/>
        <v>7.9043262692067753</v>
      </c>
      <c r="K32" s="3">
        <f t="shared" si="19"/>
        <v>1.0671511765481609</v>
      </c>
      <c r="M32" s="6">
        <f t="shared" si="25"/>
        <v>1233.5000000000007</v>
      </c>
      <c r="N32" s="6">
        <f t="shared" si="20"/>
        <v>1557.9529395959855</v>
      </c>
      <c r="O32">
        <v>6</v>
      </c>
      <c r="P32">
        <f t="shared" si="10"/>
        <v>8</v>
      </c>
      <c r="Q32" s="3">
        <f t="shared" si="11"/>
        <v>0.5</v>
      </c>
      <c r="S32" s="6">
        <f t="shared" si="21"/>
        <v>1233.5000000000007</v>
      </c>
      <c r="T32" s="6">
        <f t="shared" si="22"/>
        <v>1557.9529395959855</v>
      </c>
      <c r="U32">
        <f t="shared" si="23"/>
        <v>6</v>
      </c>
      <c r="V32" s="3">
        <f t="shared" si="24"/>
        <v>6.5350645795145503</v>
      </c>
      <c r="W32" s="3">
        <f t="shared" si="12"/>
        <v>4.3808917382167564E-2</v>
      </c>
    </row>
    <row r="33" spans="1:23">
      <c r="A33" s="6">
        <f t="shared" si="26"/>
        <v>2617.5056132319364</v>
      </c>
      <c r="B33" s="6">
        <f t="shared" si="27"/>
        <v>3284.6676410695377</v>
      </c>
      <c r="C33">
        <v>6</v>
      </c>
      <c r="D33">
        <f t="shared" si="13"/>
        <v>8</v>
      </c>
      <c r="E33" s="3">
        <f t="shared" si="14"/>
        <v>0.5</v>
      </c>
      <c r="G33" s="6">
        <f t="shared" si="15"/>
        <v>2617.5056132319364</v>
      </c>
      <c r="H33" s="6">
        <f t="shared" si="16"/>
        <v>3284.6676410695377</v>
      </c>
      <c r="I33">
        <f t="shared" si="17"/>
        <v>6</v>
      </c>
      <c r="J33" s="3">
        <f t="shared" si="18"/>
        <v>6.8949345343507344</v>
      </c>
      <c r="K33" s="3">
        <f t="shared" si="19"/>
        <v>0.11615887239877672</v>
      </c>
      <c r="M33" s="6">
        <f t="shared" si="25"/>
        <v>1557.9529395959855</v>
      </c>
      <c r="N33" s="6">
        <f t="shared" si="20"/>
        <v>1955.0512446395471</v>
      </c>
      <c r="O33">
        <v>9</v>
      </c>
      <c r="P33">
        <f t="shared" si="10"/>
        <v>8</v>
      </c>
      <c r="Q33" s="3">
        <f t="shared" si="11"/>
        <v>0.125</v>
      </c>
      <c r="S33" s="6">
        <f t="shared" si="21"/>
        <v>1557.9529395959855</v>
      </c>
      <c r="T33" s="6">
        <f t="shared" si="22"/>
        <v>1955.0512446395471</v>
      </c>
      <c r="U33">
        <f t="shared" si="23"/>
        <v>9</v>
      </c>
      <c r="V33" s="3">
        <f t="shared" si="24"/>
        <v>7.0908299609294012</v>
      </c>
      <c r="W33" s="3">
        <f t="shared" si="12"/>
        <v>0.51403435961212751</v>
      </c>
    </row>
    <row r="34" spans="1:23">
      <c r="A34" s="6">
        <f t="shared" si="26"/>
        <v>3284.6676410695377</v>
      </c>
      <c r="B34" s="6">
        <f t="shared" ref="B34:B35" si="28">-C$4*LN(EXP(-B33/C$4)-B$23/F$19)</f>
        <v>4144.7890906882876</v>
      </c>
      <c r="C34">
        <v>6</v>
      </c>
      <c r="D34">
        <f t="shared" si="13"/>
        <v>8</v>
      </c>
      <c r="E34" s="3">
        <f t="shared" si="14"/>
        <v>0.5</v>
      </c>
      <c r="G34" s="6">
        <f t="shared" si="15"/>
        <v>3284.6676410695377</v>
      </c>
      <c r="H34" s="6">
        <f t="shared" si="16"/>
        <v>4144.7890906882876</v>
      </c>
      <c r="I34">
        <f t="shared" si="17"/>
        <v>6</v>
      </c>
      <c r="J34" s="3">
        <f t="shared" si="18"/>
        <v>5.8099726266003753</v>
      </c>
      <c r="K34" s="3">
        <f t="shared" si="19"/>
        <v>6.2152448835701146E-3</v>
      </c>
      <c r="M34" s="6">
        <f t="shared" si="25"/>
        <v>1955.0512446395471</v>
      </c>
      <c r="N34" s="6">
        <f t="shared" si="20"/>
        <v>2467.0000000000014</v>
      </c>
      <c r="O34">
        <v>5</v>
      </c>
      <c r="P34">
        <f t="shared" si="10"/>
        <v>8</v>
      </c>
      <c r="Q34" s="3">
        <f t="shared" si="11"/>
        <v>1.125</v>
      </c>
      <c r="S34" s="6">
        <f t="shared" si="21"/>
        <v>1955.0512446395471</v>
      </c>
      <c r="T34" s="6">
        <f t="shared" si="22"/>
        <v>2467.0000000000014</v>
      </c>
      <c r="U34">
        <f t="shared" si="23"/>
        <v>5</v>
      </c>
      <c r="V34" s="3">
        <f t="shared" si="24"/>
        <v>7.8562271231551133</v>
      </c>
      <c r="W34" s="3">
        <f t="shared" si="12"/>
        <v>1.0384161826231182</v>
      </c>
    </row>
    <row r="35" spans="1:23">
      <c r="A35" s="6">
        <f t="shared" si="26"/>
        <v>4144.7890906882876</v>
      </c>
      <c r="B35" s="6">
        <f t="shared" si="28"/>
        <v>5357.062186413682</v>
      </c>
      <c r="C35">
        <v>3</v>
      </c>
      <c r="D35">
        <f t="shared" si="13"/>
        <v>8</v>
      </c>
      <c r="E35" s="3">
        <f t="shared" si="14"/>
        <v>3.125</v>
      </c>
      <c r="G35" s="6">
        <f t="shared" si="15"/>
        <v>4144.7890906882876</v>
      </c>
      <c r="H35" s="6">
        <f t="shared" si="16"/>
        <v>5357.062186413682</v>
      </c>
      <c r="I35">
        <f t="shared" si="17"/>
        <v>3</v>
      </c>
      <c r="J35" s="10">
        <f t="shared" si="18"/>
        <v>4.6182950648661709</v>
      </c>
      <c r="K35" s="3">
        <f t="shared" si="19"/>
        <v>0.5670661748950192</v>
      </c>
      <c r="M35" s="6">
        <f t="shared" si="25"/>
        <v>2467.0000000000014</v>
      </c>
      <c r="N35" s="6">
        <f t="shared" si="20"/>
        <v>3188.5512446395487</v>
      </c>
      <c r="O35">
        <v>8</v>
      </c>
      <c r="P35">
        <f t="shared" si="10"/>
        <v>8</v>
      </c>
      <c r="Q35" s="3">
        <f t="shared" si="11"/>
        <v>0</v>
      </c>
      <c r="S35" s="6">
        <f t="shared" si="21"/>
        <v>2467.0000000000014</v>
      </c>
      <c r="T35" s="6">
        <f t="shared" si="22"/>
        <v>3188.5512446395487</v>
      </c>
      <c r="U35">
        <f t="shared" si="23"/>
        <v>8</v>
      </c>
      <c r="V35" s="3">
        <f t="shared" si="24"/>
        <v>9.019664964824214</v>
      </c>
      <c r="W35" s="3">
        <f t="shared" si="12"/>
        <v>0.11527220185503075</v>
      </c>
    </row>
    <row r="36" spans="1:23">
      <c r="A36" s="6">
        <f t="shared" si="26"/>
        <v>5357.062186413682</v>
      </c>
      <c r="B36" s="6">
        <f>-C$4*LN(EXP(-B35/C$4)-B$23/F$19)</f>
        <v>7429.4567317578258</v>
      </c>
      <c r="C36">
        <v>4</v>
      </c>
      <c r="D36">
        <f t="shared" si="13"/>
        <v>8</v>
      </c>
      <c r="E36" s="3">
        <f t="shared" si="14"/>
        <v>2</v>
      </c>
      <c r="G36" s="6">
        <f t="shared" si="15"/>
        <v>5357.062186413682</v>
      </c>
      <c r="H36" s="6">
        <f t="shared" si="16"/>
        <v>7429.4567317578258</v>
      </c>
      <c r="I36">
        <f t="shared" si="17"/>
        <v>4</v>
      </c>
      <c r="J36" s="10">
        <f t="shared" si="18"/>
        <v>3.2542718081585633</v>
      </c>
      <c r="K36" s="3">
        <f t="shared" si="19"/>
        <v>0.17088632077778868</v>
      </c>
      <c r="M36" s="6">
        <f t="shared" si="25"/>
        <v>3188.5512446395487</v>
      </c>
      <c r="N36" s="6">
        <f t="shared" si="20"/>
        <v>4422.0512446395514</v>
      </c>
      <c r="O36">
        <v>6</v>
      </c>
      <c r="P36">
        <f t="shared" si="10"/>
        <v>8</v>
      </c>
      <c r="Q36" s="3">
        <f t="shared" si="11"/>
        <v>0.5</v>
      </c>
      <c r="S36" s="6">
        <f t="shared" si="21"/>
        <v>3188.5512446395487</v>
      </c>
      <c r="T36" s="6">
        <f t="shared" si="22"/>
        <v>4422.0512446395514</v>
      </c>
      <c r="U36">
        <f t="shared" si="23"/>
        <v>6</v>
      </c>
      <c r="V36" s="3">
        <f t="shared" si="24"/>
        <v>11.171001813077426</v>
      </c>
      <c r="W36" s="3">
        <f t="shared" si="12"/>
        <v>2.3936313142074233</v>
      </c>
    </row>
    <row r="37" spans="1:23">
      <c r="A37" s="6">
        <f t="shared" si="26"/>
        <v>7429.4567317578258</v>
      </c>
      <c r="B37" s="6"/>
      <c r="C37">
        <v>7</v>
      </c>
      <c r="D37">
        <f t="shared" si="13"/>
        <v>8</v>
      </c>
      <c r="E37" s="3">
        <f t="shared" si="14"/>
        <v>0.125</v>
      </c>
      <c r="G37" s="6">
        <f t="shared" si="15"/>
        <v>7429.4567317578258</v>
      </c>
      <c r="H37" s="6"/>
      <c r="I37">
        <f t="shared" si="17"/>
        <v>7</v>
      </c>
      <c r="J37" s="10">
        <f>(EXP(-G37/D$4))*F$19</f>
        <v>1.4762044993664456</v>
      </c>
      <c r="K37" s="3">
        <f>((I37-J37)^2)/J37</f>
        <v>20.669437564995032</v>
      </c>
      <c r="M37" s="6">
        <f t="shared" si="25"/>
        <v>4422.0512446395514</v>
      </c>
      <c r="N37" s="6"/>
      <c r="O37">
        <v>14</v>
      </c>
      <c r="P37">
        <f t="shared" si="10"/>
        <v>8</v>
      </c>
      <c r="Q37" s="3">
        <f t="shared" si="11"/>
        <v>4.5</v>
      </c>
      <c r="S37" s="6">
        <f t="shared" si="21"/>
        <v>4422.0512446395514</v>
      </c>
      <c r="T37" s="6"/>
      <c r="U37">
        <f>O37</f>
        <v>14</v>
      </c>
      <c r="V37" s="3">
        <f>(EXP(-S37/C$4))*F$19</f>
        <v>21.87444025992675</v>
      </c>
      <c r="W37" s="3">
        <f t="shared" si="12"/>
        <v>2.8346695353274791</v>
      </c>
    </row>
    <row r="39" spans="1:23">
      <c r="C39" s="6">
        <f>SUM(C26:C37)</f>
        <v>96</v>
      </c>
      <c r="D39" s="6">
        <f>SUM(D26:D37)</f>
        <v>96</v>
      </c>
      <c r="E39" s="3">
        <f>SUM(E26:E37)</f>
        <v>23</v>
      </c>
      <c r="I39" s="6">
        <f>SUM(I26:I37)</f>
        <v>96</v>
      </c>
      <c r="J39" s="6">
        <f>SUM(J26:J37)</f>
        <v>96.000000000000014</v>
      </c>
      <c r="K39" s="3">
        <f>SUM(K26:K37)</f>
        <v>27.121793706049736</v>
      </c>
      <c r="O39" s="6">
        <f>SUM(O26:O37)</f>
        <v>96</v>
      </c>
      <c r="P39" s="6">
        <f>SUM(P26:P37)</f>
        <v>96</v>
      </c>
      <c r="Q39" s="3">
        <f>SUM(Q26:Q37)</f>
        <v>10.25</v>
      </c>
      <c r="U39" s="6">
        <f>SUM(U26:U37)</f>
        <v>96</v>
      </c>
      <c r="V39" s="6">
        <f>SUM(V26:V37)</f>
        <v>96</v>
      </c>
      <c r="W39" s="3">
        <f>SUM(W26:W37)</f>
        <v>21.53394861466273</v>
      </c>
    </row>
    <row r="41" spans="1:23">
      <c r="E41" s="9">
        <f>CHIDIST(E39,10)</f>
        <v>1.0746578385058266E-2</v>
      </c>
      <c r="K41" s="9">
        <f>CHIDIST(K39,10)</f>
        <v>2.4912396351074082E-3</v>
      </c>
      <c r="Q41" s="9">
        <f>CHIDIST(Q39,10)</f>
        <v>0.4188406168390103</v>
      </c>
      <c r="W41" s="9">
        <f>CHIDIST(W39,10)</f>
        <v>1.7663105252269842E-2</v>
      </c>
    </row>
    <row r="46" spans="1:23">
      <c r="B46" s="7"/>
      <c r="H46" s="7"/>
      <c r="N46" s="7"/>
    </row>
    <row r="47" spans="1:23">
      <c r="A47" s="6"/>
      <c r="B47" s="6"/>
      <c r="D47" s="6"/>
      <c r="E47" s="3"/>
      <c r="G47" s="6"/>
      <c r="H47" s="6"/>
      <c r="J47" s="3"/>
      <c r="K47" s="3"/>
      <c r="N47" s="6"/>
      <c r="P47" s="3"/>
      <c r="Q47" s="3"/>
    </row>
    <row r="48" spans="1:23">
      <c r="A48" s="6"/>
      <c r="B48" s="6"/>
      <c r="D48" s="6"/>
      <c r="E48" s="3"/>
      <c r="G48" s="6"/>
      <c r="H48" s="6"/>
      <c r="J48" s="3"/>
      <c r="K48" s="3"/>
      <c r="M48" s="6"/>
      <c r="N48" s="6"/>
      <c r="P48" s="3"/>
      <c r="Q48" s="3"/>
    </row>
    <row r="49" spans="1:17">
      <c r="A49" s="6"/>
      <c r="B49" s="6"/>
      <c r="D49" s="6"/>
      <c r="E49" s="3"/>
      <c r="G49" s="6"/>
      <c r="H49" s="6"/>
      <c r="J49" s="3"/>
      <c r="K49" s="3"/>
      <c r="M49" s="6"/>
      <c r="N49" s="6"/>
      <c r="P49" s="3"/>
      <c r="Q49" s="3"/>
    </row>
    <row r="50" spans="1:17">
      <c r="A50" s="6"/>
      <c r="B50" s="6"/>
      <c r="D50" s="6"/>
      <c r="E50" s="3"/>
      <c r="G50" s="6"/>
      <c r="H50" s="6"/>
      <c r="J50" s="3"/>
      <c r="K50" s="3"/>
      <c r="M50" s="6"/>
      <c r="N50" s="6"/>
      <c r="P50" s="3"/>
      <c r="Q50" s="3"/>
    </row>
    <row r="51" spans="1:17">
      <c r="A51" s="6"/>
      <c r="B51" s="6"/>
      <c r="D51" s="6"/>
      <c r="E51" s="3"/>
      <c r="G51" s="6"/>
      <c r="H51" s="6"/>
      <c r="J51" s="3"/>
      <c r="K51" s="3"/>
      <c r="M51" s="6"/>
      <c r="N51" s="6"/>
      <c r="P51" s="3"/>
      <c r="Q51" s="3"/>
    </row>
    <row r="52" spans="1:17">
      <c r="A52" s="6"/>
      <c r="B52" s="6"/>
      <c r="D52" s="6"/>
      <c r="E52" s="3"/>
      <c r="G52" s="6"/>
      <c r="H52" s="6"/>
      <c r="J52" s="3"/>
      <c r="K52" s="3"/>
      <c r="M52" s="6"/>
      <c r="N52" s="6"/>
      <c r="P52" s="3"/>
      <c r="Q52" s="3"/>
    </row>
    <row r="53" spans="1:17">
      <c r="A53" s="6"/>
      <c r="B53" s="6"/>
      <c r="D53" s="6"/>
      <c r="E53" s="3"/>
      <c r="G53" s="6"/>
      <c r="H53" s="6"/>
      <c r="J53" s="3"/>
      <c r="K53" s="3"/>
      <c r="M53" s="6"/>
      <c r="N53" s="6"/>
      <c r="P53" s="3"/>
      <c r="Q53" s="3"/>
    </row>
    <row r="54" spans="1:17">
      <c r="A54" s="6"/>
      <c r="B54" s="6"/>
      <c r="D54" s="6"/>
      <c r="E54" s="3"/>
      <c r="G54" s="6"/>
      <c r="H54" s="6"/>
      <c r="J54" s="10"/>
      <c r="K54" s="3"/>
      <c r="M54" s="6"/>
      <c r="P54" s="3"/>
      <c r="Q54" s="3"/>
    </row>
    <row r="55" spans="1:17">
      <c r="A55" s="6"/>
      <c r="B55" s="6"/>
    </row>
    <row r="56" spans="1:17">
      <c r="A56" s="6"/>
      <c r="B56" s="6"/>
    </row>
    <row r="57" spans="1:17">
      <c r="A57" s="6"/>
      <c r="B57" s="6"/>
      <c r="D57" s="6"/>
      <c r="E57" s="3"/>
      <c r="K57" s="3"/>
      <c r="Q57" s="3"/>
    </row>
    <row r="58" spans="1:17">
      <c r="A58" s="6"/>
      <c r="B58" s="6"/>
    </row>
    <row r="59" spans="1:17">
      <c r="A59" s="6"/>
      <c r="B59" s="6"/>
      <c r="E59" s="9"/>
      <c r="K59" s="9"/>
      <c r="Q59" s="9"/>
    </row>
    <row r="60" spans="1:17">
      <c r="A60" s="6"/>
      <c r="B60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>
      <selection activeCell="F42" sqref="F42"/>
    </sheetView>
  </sheetViews>
  <sheetFormatPr defaultRowHeight="15"/>
  <cols>
    <col min="1" max="1" width="14.85546875" bestFit="1" customWidth="1"/>
    <col min="2" max="2" width="18.140625" customWidth="1"/>
    <col min="3" max="3" width="12" bestFit="1" customWidth="1"/>
    <col min="5" max="5" width="10.85546875" bestFit="1" customWidth="1"/>
    <col min="6" max="6" width="15.5703125" bestFit="1" customWidth="1"/>
    <col min="7" max="7" width="11.5703125" customWidth="1"/>
    <col min="8" max="8" width="13.85546875" bestFit="1" customWidth="1"/>
    <col min="9" max="9" width="7.7109375" customWidth="1"/>
    <col min="10" max="10" width="13.85546875" bestFit="1" customWidth="1"/>
    <col min="11" max="11" width="15.5703125" customWidth="1"/>
    <col min="12" max="12" width="13" customWidth="1"/>
    <col min="13" max="13" width="6.7109375" customWidth="1"/>
    <col min="14" max="14" width="15.140625" customWidth="1"/>
    <col min="15" max="15" width="19.7109375" bestFit="1" customWidth="1"/>
    <col min="16" max="16" width="11" customWidth="1"/>
  </cols>
  <sheetData>
    <row r="1" spans="1:23">
      <c r="A1" t="s">
        <v>58</v>
      </c>
      <c r="G1" s="21" t="s">
        <v>78</v>
      </c>
      <c r="H1" s="27"/>
      <c r="I1" s="28"/>
      <c r="J1" s="15"/>
      <c r="K1" s="21" t="s">
        <v>80</v>
      </c>
      <c r="L1" s="22"/>
      <c r="O1" t="s">
        <v>46</v>
      </c>
    </row>
    <row r="2" spans="1:23">
      <c r="B2" s="43"/>
      <c r="C2" s="41" t="s">
        <v>35</v>
      </c>
      <c r="D2" s="44" t="s">
        <v>3</v>
      </c>
      <c r="E2" s="45" t="s">
        <v>2</v>
      </c>
      <c r="G2" s="23" t="s">
        <v>34</v>
      </c>
      <c r="H2" s="30">
        <f>GAMMAINV(25%,D3,D4)</f>
        <v>400.99999990238439</v>
      </c>
      <c r="I2" s="31">
        <f>GAMMAINV(75%,D3,D4)</f>
        <v>2836.7499995572825</v>
      </c>
      <c r="K2" s="23" t="s">
        <v>45</v>
      </c>
      <c r="L2" s="34">
        <f>(GAMMALN(E3+L3)-GAMMALN(E3-L3))/(2*L3)</f>
        <v>-1.4504225236022792</v>
      </c>
      <c r="O2" t="s">
        <v>43</v>
      </c>
      <c r="P2">
        <f>(GAMMALN(Gamma!E3+Gamma!L3+Gamma!L3)-GAMMALN(Gamma!E3+Gamma!L3-Gamma!L3))/(2*Gamma!L3)</f>
        <v>-1.4503885717609408</v>
      </c>
    </row>
    <row r="3" spans="1:23">
      <c r="B3" s="23" t="s">
        <v>29</v>
      </c>
      <c r="C3" s="23">
        <f>96*('X data'!D2^2)/(95*'X data'!D3^2)</f>
        <v>0.19217021940765611</v>
      </c>
      <c r="D3" s="37">
        <v>0.72364713478334719</v>
      </c>
      <c r="E3" s="46">
        <v>0.62567277948074018</v>
      </c>
      <c r="G3" s="23" t="s">
        <v>33</v>
      </c>
      <c r="H3" s="29">
        <f>'X data'!D12</f>
        <v>401</v>
      </c>
      <c r="I3" s="32">
        <f>'X data'!E12</f>
        <v>2836.75</v>
      </c>
      <c r="K3" s="23" t="s">
        <v>40</v>
      </c>
      <c r="L3" s="24">
        <v>1.0000000000000001E-5</v>
      </c>
      <c r="O3" t="s">
        <v>44</v>
      </c>
      <c r="P3">
        <f>(GAMMALN(Gamma!E3-Gamma!L3+Gamma!L3)-GAMMALN(Gamma!E3-Gamma!L3-Gamma!L3))/(2*Gamma!L3)</f>
        <v>-1.4504564763040404</v>
      </c>
    </row>
    <row r="4" spans="1:23">
      <c r="B4" s="23" t="s">
        <v>30</v>
      </c>
      <c r="C4" s="23">
        <f>'X data'!D2/C3</f>
        <v>15558.255293401709</v>
      </c>
      <c r="D4" s="37">
        <v>2848.316675051969</v>
      </c>
      <c r="E4" s="31">
        <f>E5/E3</f>
        <v>4778.5894342641259</v>
      </c>
      <c r="G4" s="25" t="s">
        <v>76</v>
      </c>
      <c r="H4" s="48">
        <f>H2-H3</f>
        <v>-9.7615611593937501E-8</v>
      </c>
      <c r="I4" s="40">
        <f>I2-I3</f>
        <v>-4.427174644661136E-7</v>
      </c>
      <c r="K4" s="25" t="s">
        <v>41</v>
      </c>
      <c r="L4" s="35">
        <f>96*LN(E3)+96-96*LN(E5)-96*L2+'X data'!D8-(1/E5)*'X data'!D6</f>
        <v>-6.056624215489137E-7</v>
      </c>
      <c r="O4" t="s">
        <v>42</v>
      </c>
      <c r="P4">
        <f>(P2-P3)/(2*Gamma!L3)</f>
        <v>3.3952271549786412</v>
      </c>
    </row>
    <row r="5" spans="1:23">
      <c r="B5" s="25" t="s">
        <v>36</v>
      </c>
      <c r="C5" s="25"/>
      <c r="D5" s="33"/>
      <c r="E5" s="40">
        <f>'X data'!D2</f>
        <v>2989.8333333333335</v>
      </c>
      <c r="G5" s="49" t="s">
        <v>81</v>
      </c>
      <c r="H5" s="37"/>
      <c r="I5" s="37"/>
      <c r="K5" s="49" t="s">
        <v>83</v>
      </c>
    </row>
    <row r="6" spans="1:23">
      <c r="G6" s="50" t="s">
        <v>82</v>
      </c>
      <c r="H6" s="37"/>
      <c r="I6" s="37"/>
    </row>
    <row r="7" spans="1:23">
      <c r="G7" s="47"/>
      <c r="H7" s="37"/>
      <c r="I7" s="37"/>
      <c r="K7" s="47"/>
    </row>
    <row r="8" spans="1:23">
      <c r="O8" s="17"/>
    </row>
    <row r="9" spans="1:23">
      <c r="E9" t="s">
        <v>49</v>
      </c>
      <c r="H9" t="s">
        <v>50</v>
      </c>
      <c r="K9" t="s">
        <v>55</v>
      </c>
      <c r="R9" t="s">
        <v>35</v>
      </c>
      <c r="S9" t="s">
        <v>3</v>
      </c>
      <c r="T9" t="s">
        <v>2</v>
      </c>
    </row>
    <row r="10" spans="1:23">
      <c r="B10" s="7" t="s">
        <v>47</v>
      </c>
      <c r="C10" s="8" t="s">
        <v>28</v>
      </c>
      <c r="E10" t="s">
        <v>27</v>
      </c>
      <c r="F10" t="s">
        <v>4</v>
      </c>
      <c r="H10" t="s">
        <v>27</v>
      </c>
      <c r="I10" t="s">
        <v>4</v>
      </c>
      <c r="J10" s="8"/>
      <c r="K10" t="s">
        <v>27</v>
      </c>
      <c r="L10" t="s">
        <v>4</v>
      </c>
      <c r="P10" s="7" t="s">
        <v>48</v>
      </c>
      <c r="R10" s="7"/>
      <c r="S10" s="8"/>
      <c r="U10" s="8"/>
    </row>
    <row r="11" spans="1:23">
      <c r="A11" s="6">
        <v>0</v>
      </c>
      <c r="B11" s="6">
        <f>Exponential!B26</f>
        <v>260.14951530282821</v>
      </c>
      <c r="C11">
        <f t="array" ref="C11:C22">FREQUENCY('X data'!A2:A97,Gamma!B11:B22)</f>
        <v>12</v>
      </c>
      <c r="E11" s="3">
        <f>96*(GAMMADIST(B11,E$3,E$4,TRUE)-GAMMADIST(A11,E$3,E$4,TRUE))</f>
        <v>16.970778370823073</v>
      </c>
      <c r="F11" s="3">
        <f>(($C11-E11)^2)/E11</f>
        <v>1.4559519352584727</v>
      </c>
      <c r="H11" s="3">
        <f>96*(GAMMADIST(B11,D$3,D$4,TRUE)-GAMMADIST(A11,D$3,D$4,TRUE))</f>
        <v>17.906766524662419</v>
      </c>
      <c r="I11" s="3">
        <f>(($C11-H11)^2)/H11</f>
        <v>1.9484193714604934</v>
      </c>
      <c r="K11" s="3">
        <f>96*(GAMMADIST(B11,C$3,C$4,TRUE)-GAMMADIST(A11,C$3,C$4,TRUE))</f>
        <v>47.396471731381709</v>
      </c>
      <c r="L11" s="3">
        <f>(($C11-K11)^2)/K11</f>
        <v>26.434672566585565</v>
      </c>
      <c r="O11">
        <f>'X data'!U6</f>
        <v>0</v>
      </c>
      <c r="P11">
        <f>Exponential!B7</f>
        <v>1000</v>
      </c>
      <c r="Q11" s="3"/>
      <c r="R11" s="3">
        <f>GAMMADIST($P11,C$3,C$4,TRUE)-GAMMADIST($O11,C$3,C$4,TRUE)</f>
        <v>0.63470743237333693</v>
      </c>
      <c r="S11" s="3">
        <f>GAMMADIST($P11,D$3,D$4,TRUE)-GAMMADIST($O11,D$3,D$4,TRUE)</f>
        <v>0.44541294424101407</v>
      </c>
      <c r="T11" s="3">
        <f>GAMMADIST($P11,E$3,E$4,TRUE)-GAMMADIST($O11,E$3,E$4,TRUE)</f>
        <v>0.38745608722474761</v>
      </c>
      <c r="V11" s="10"/>
      <c r="W11" s="3"/>
    </row>
    <row r="12" spans="1:23">
      <c r="A12" s="6">
        <f>B11</f>
        <v>260.14951530282821</v>
      </c>
      <c r="B12" s="6">
        <f>Exponential!B27</f>
        <v>545.11106788779227</v>
      </c>
      <c r="C12">
        <v>18</v>
      </c>
      <c r="E12" s="3">
        <f>96*(GAMMADIST(B12,E$3,E$4,TRUE)-GAMMADIST(A12,E$3,E$4,TRUE))</f>
        <v>9.3885776292649226</v>
      </c>
      <c r="F12" s="3">
        <f t="shared" ref="F12:F22" si="0">((C12-E12)^2)/E12</f>
        <v>7.8985974420709582</v>
      </c>
      <c r="H12" s="3">
        <f>96*(GAMMADIST(B12,D$3,D$4,TRUE)-GAMMADIST(A12,D$3,D$4,TRUE))</f>
        <v>11.456308781106522</v>
      </c>
      <c r="I12" s="3">
        <f t="shared" ref="I12:I21" si="1">(($C12-H12)^2)/H12</f>
        <v>3.7376694000113888</v>
      </c>
      <c r="K12" s="3">
        <f>96*(GAMMADIST(B12,C$3,C$4,TRUE)-GAMMADIST(A12,C$3,C$4,TRUE))</f>
        <v>7.0805576109652932</v>
      </c>
      <c r="L12" s="3">
        <f t="shared" ref="L12:L21" si="2">(($C12-K12)^2)/K12</f>
        <v>16.839665551593864</v>
      </c>
      <c r="M12" s="6"/>
      <c r="O12">
        <f>P11</f>
        <v>1000</v>
      </c>
      <c r="P12">
        <f>Exponential!B8</f>
        <v>2000</v>
      </c>
      <c r="Q12" s="3"/>
      <c r="R12" s="3">
        <f t="shared" ref="R12:T19" si="3">GAMMADIST($P12,C$3,C$4,TRUE)-GAMMADIST($O12,C$3,C$4,TRUE)</f>
        <v>8.3228209060204894E-2</v>
      </c>
      <c r="S12" s="3">
        <f t="shared" si="3"/>
        <v>0.19959399369192166</v>
      </c>
      <c r="T12" s="3">
        <f t="shared" si="3"/>
        <v>0.16730402126436666</v>
      </c>
      <c r="V12" s="3"/>
      <c r="W12" s="3"/>
    </row>
    <row r="13" spans="1:23">
      <c r="A13" s="6">
        <f>B12</f>
        <v>545.11106788779227</v>
      </c>
      <c r="B13" s="6">
        <f>Exponential!B28</f>
        <v>860.12144961875015</v>
      </c>
      <c r="C13">
        <v>10</v>
      </c>
      <c r="E13" s="3">
        <f>96*(GAMMADIST(B13,E$3,E$4,TRUE)-GAMMADIST(A13,E$3,E$4,TRUE))</f>
        <v>7.8560795985788729</v>
      </c>
      <c r="F13" s="3">
        <f t="shared" si="0"/>
        <v>0.5850748620802152</v>
      </c>
      <c r="H13" s="3">
        <f t="shared" ref="H13:H21" si="4">96*(GAMMADIST(B13,D$3,D$4,TRUE)-GAMMADIST(A13,D$3,D$4,TRUE))</f>
        <v>9.7227878019420846</v>
      </c>
      <c r="I13" s="3">
        <f t="shared" si="1"/>
        <v>7.9037622045758475E-3</v>
      </c>
      <c r="K13" s="3">
        <f t="shared" ref="K13:K21" si="5">96*(GAMMADIST(B13,C$3,C$4,TRUE)-GAMMADIST(A13,C$3,C$4,TRUE))</f>
        <v>4.7997136594409433</v>
      </c>
      <c r="L13" s="3">
        <f t="shared" si="2"/>
        <v>5.6342898644822474</v>
      </c>
      <c r="M13" s="6"/>
      <c r="O13">
        <f t="shared" ref="O13:O21" si="6">P12</f>
        <v>2000</v>
      </c>
      <c r="P13">
        <f>Exponential!B9</f>
        <v>3000</v>
      </c>
      <c r="Q13" s="3"/>
      <c r="R13" s="3">
        <f t="shared" si="3"/>
        <v>5.0650173368906759E-2</v>
      </c>
      <c r="S13" s="3">
        <f t="shared" si="3"/>
        <v>0.12118808697111993</v>
      </c>
      <c r="T13" s="3">
        <f t="shared" si="3"/>
        <v>0.11116745475332745</v>
      </c>
      <c r="V13" s="3"/>
      <c r="W13" s="3"/>
    </row>
    <row r="14" spans="1:23">
      <c r="A14" s="6">
        <f t="shared" ref="A14:A22" si="7">B13</f>
        <v>860.12144961875015</v>
      </c>
      <c r="B14" s="6">
        <f>Exponential!B29</f>
        <v>1212.2730957253941</v>
      </c>
      <c r="C14">
        <v>8</v>
      </c>
      <c r="E14" s="3">
        <f>96*(GAMMADIST(B14,E$3,E$4,TRUE)-GAMMADIST(A14,E$3,E$4,TRUE))</f>
        <v>7.0676050117671583</v>
      </c>
      <c r="F14" s="3">
        <f t="shared" si="0"/>
        <v>0.12300636674436187</v>
      </c>
      <c r="H14" s="3">
        <f t="shared" si="4"/>
        <v>8.6720368499057763</v>
      </c>
      <c r="I14" s="3">
        <f t="shared" si="1"/>
        <v>5.2079290649714664E-2</v>
      </c>
      <c r="K14" s="3">
        <f t="shared" si="5"/>
        <v>3.8162008776921503</v>
      </c>
      <c r="L14" s="3">
        <f t="shared" si="2"/>
        <v>4.5868065274408698</v>
      </c>
      <c r="M14" s="6"/>
      <c r="O14">
        <f t="shared" si="6"/>
        <v>3000</v>
      </c>
      <c r="P14">
        <f>Exponential!B10</f>
        <v>4000</v>
      </c>
      <c r="Q14" s="3"/>
      <c r="R14" s="3">
        <f>GAMMADIST($P14,C$3,C$4,TRUE)-GAMMADIST($O14,C$3,C$4,TRUE)</f>
        <v>3.599841788321223E-2</v>
      </c>
      <c r="S14" s="3">
        <f t="shared" si="3"/>
        <v>7.7568012346042048E-2</v>
      </c>
      <c r="T14" s="3">
        <f t="shared" si="3"/>
        <v>7.9308451125979618E-2</v>
      </c>
      <c r="V14" s="3"/>
      <c r="W14" s="3"/>
    </row>
    <row r="15" spans="1:23">
      <c r="A15" s="6">
        <f t="shared" si="7"/>
        <v>1212.2730957253941</v>
      </c>
      <c r="B15" s="6">
        <f>Exponential!B30</f>
        <v>1611.5097044406132</v>
      </c>
      <c r="C15">
        <v>7</v>
      </c>
      <c r="E15" s="3">
        <f t="shared" ref="E15:E21" si="8">96*(GAMMADIST(B15,E$3,E$4,TRUE)-GAMMADIST(A15,E$3,E$4,TRUE))</f>
        <v>6.5918233915511468</v>
      </c>
      <c r="F15" s="3">
        <f t="shared" si="0"/>
        <v>2.5274970791595072E-2</v>
      </c>
      <c r="H15" s="3">
        <f t="shared" si="4"/>
        <v>7.9073499729003522</v>
      </c>
      <c r="I15" s="3">
        <f t="shared" si="1"/>
        <v>0.104116293846078</v>
      </c>
      <c r="K15" s="3">
        <f t="shared" si="5"/>
        <v>3.2819825273627252</v>
      </c>
      <c r="L15" s="3">
        <f t="shared" si="2"/>
        <v>4.2119827913722085</v>
      </c>
      <c r="M15" s="6"/>
      <c r="O15">
        <f t="shared" si="6"/>
        <v>4000</v>
      </c>
      <c r="P15">
        <f>Exponential!B11</f>
        <v>5000</v>
      </c>
      <c r="Q15" s="3"/>
      <c r="R15" s="3">
        <f t="shared" si="3"/>
        <v>2.7492454964842761E-2</v>
      </c>
      <c r="S15" s="3">
        <f t="shared" si="3"/>
        <v>5.0887659731793655E-2</v>
      </c>
      <c r="T15" s="3">
        <f t="shared" si="3"/>
        <v>5.8491650521208971E-2</v>
      </c>
      <c r="V15" s="3"/>
      <c r="W15" s="3"/>
    </row>
    <row r="16" spans="1:23">
      <c r="A16" s="6">
        <f t="shared" si="7"/>
        <v>1611.5097044406132</v>
      </c>
      <c r="B16" s="6">
        <f>Exponential!B31</f>
        <v>2072.3945453441443</v>
      </c>
      <c r="C16">
        <v>10</v>
      </c>
      <c r="E16" s="3">
        <f t="shared" si="8"/>
        <v>6.2942066408334014</v>
      </c>
      <c r="F16" s="3">
        <f t="shared" si="0"/>
        <v>2.1818324698384735</v>
      </c>
      <c r="H16" s="3">
        <f>96*(GAMMADIST(B16,D$3,D$4,TRUE)-GAMMADIST(A16,D$3,D$4,TRUE))</f>
        <v>7.2932426458195039</v>
      </c>
      <c r="I16" s="3">
        <f t="shared" si="1"/>
        <v>1.0045648732953893</v>
      </c>
      <c r="K16" s="3">
        <f t="shared" si="5"/>
        <v>2.9699606673729306</v>
      </c>
      <c r="L16" s="3">
        <f t="shared" si="2"/>
        <v>16.640440245964349</v>
      </c>
      <c r="M16" s="6"/>
      <c r="O16">
        <f t="shared" si="6"/>
        <v>5000</v>
      </c>
      <c r="P16">
        <f>Exponential!B12</f>
        <v>6000</v>
      </c>
      <c r="Q16" s="3"/>
      <c r="R16" s="3">
        <f t="shared" si="3"/>
        <v>2.1897023041105412E-2</v>
      </c>
      <c r="S16" s="3">
        <f t="shared" si="3"/>
        <v>3.3869318634379475E-2</v>
      </c>
      <c r="T16" s="3">
        <f t="shared" si="3"/>
        <v>4.3986479872106909E-2</v>
      </c>
      <c r="V16" s="3"/>
      <c r="W16" s="3"/>
    </row>
    <row r="17" spans="1:23">
      <c r="A17" s="6">
        <f t="shared" si="7"/>
        <v>2072.3945453441443</v>
      </c>
      <c r="B17" s="6">
        <f>Exponential!B32</f>
        <v>2617.5056132319364</v>
      </c>
      <c r="C17">
        <v>5</v>
      </c>
      <c r="E17" s="3">
        <f t="shared" si="8"/>
        <v>6.1219250100597371</v>
      </c>
      <c r="F17" s="3">
        <f t="shared" si="0"/>
        <v>0.20560783187137713</v>
      </c>
      <c r="H17" s="3">
        <f t="shared" si="4"/>
        <v>6.7657693843781992</v>
      </c>
      <c r="I17" s="3">
        <f t="shared" si="1"/>
        <v>0.46084064378642958</v>
      </c>
      <c r="K17" s="3">
        <f t="shared" si="5"/>
        <v>2.7970220868637909</v>
      </c>
      <c r="L17" s="3">
        <f t="shared" si="2"/>
        <v>1.735099521937491</v>
      </c>
      <c r="M17" s="6"/>
      <c r="O17">
        <f t="shared" si="6"/>
        <v>6000</v>
      </c>
      <c r="P17">
        <f>Exponential!B13</f>
        <v>7000</v>
      </c>
      <c r="Q17" s="3"/>
      <c r="R17" s="3">
        <f t="shared" si="3"/>
        <v>1.7929160661754984E-2</v>
      </c>
      <c r="S17" s="3">
        <f t="shared" si="3"/>
        <v>2.275746437490922E-2</v>
      </c>
      <c r="T17" s="3">
        <f t="shared" si="3"/>
        <v>3.3505059401372383E-2</v>
      </c>
      <c r="V17" s="3"/>
      <c r="W17" s="3"/>
    </row>
    <row r="18" spans="1:23">
      <c r="A18" s="6">
        <f t="shared" si="7"/>
        <v>2617.5056132319364</v>
      </c>
      <c r="B18" s="6">
        <f>Exponential!B33</f>
        <v>3284.6676410695377</v>
      </c>
      <c r="C18">
        <v>6</v>
      </c>
      <c r="E18" s="3">
        <f t="shared" si="8"/>
        <v>6.0579762460811963</v>
      </c>
      <c r="F18" s="3">
        <f t="shared" si="0"/>
        <v>5.5484620162414252E-4</v>
      </c>
      <c r="H18" s="3">
        <f t="shared" si="4"/>
        <v>6.2870261470832602</v>
      </c>
      <c r="I18" s="3">
        <f>(($C18-H18)^2)/H18</f>
        <v>1.3103812069826009E-2</v>
      </c>
      <c r="K18" s="3">
        <f t="shared" si="5"/>
        <v>2.7342143643857248</v>
      </c>
      <c r="L18" s="3">
        <f>(($C18-K18)^2)/K18</f>
        <v>3.9007021383199554</v>
      </c>
      <c r="M18" s="6"/>
      <c r="O18">
        <f t="shared" si="6"/>
        <v>7000</v>
      </c>
      <c r="P18">
        <f>Exponential!B14</f>
        <v>8000</v>
      </c>
      <c r="Q18" s="3"/>
      <c r="R18" s="3">
        <f t="shared" si="3"/>
        <v>1.4970796350885163E-2</v>
      </c>
      <c r="S18" s="3">
        <f t="shared" si="3"/>
        <v>1.5394481082413369E-2</v>
      </c>
      <c r="T18" s="3">
        <f t="shared" si="3"/>
        <v>2.5754318495202155E-2</v>
      </c>
      <c r="V18" s="3"/>
      <c r="W18" s="3"/>
    </row>
    <row r="19" spans="1:23">
      <c r="A19" s="6">
        <f t="shared" si="7"/>
        <v>3284.6676410695377</v>
      </c>
      <c r="B19" s="6">
        <f>Exponential!B34</f>
        <v>4144.7890906882876</v>
      </c>
      <c r="C19">
        <v>6</v>
      </c>
      <c r="E19" s="3">
        <f t="shared" si="8"/>
        <v>6.1127616797631106</v>
      </c>
      <c r="F19" s="3">
        <f t="shared" si="0"/>
        <v>2.0801066832186817E-3</v>
      </c>
      <c r="H19" s="3">
        <f t="shared" si="4"/>
        <v>5.8285515053441372</v>
      </c>
      <c r="I19" s="3">
        <f t="shared" si="1"/>
        <v>5.0432060680616472E-3</v>
      </c>
      <c r="K19" s="3">
        <f t="shared" si="5"/>
        <v>2.788019282384667</v>
      </c>
      <c r="L19" s="3">
        <f t="shared" si="2"/>
        <v>3.7004120436026753</v>
      </c>
      <c r="M19" s="6"/>
      <c r="O19">
        <f t="shared" si="6"/>
        <v>8000</v>
      </c>
      <c r="P19">
        <f>Exponential!B15</f>
        <v>9000</v>
      </c>
      <c r="Q19" s="3"/>
      <c r="R19" s="3">
        <f t="shared" si="3"/>
        <v>1.2684870089734401E-2</v>
      </c>
      <c r="S19" s="3">
        <f t="shared" si="3"/>
        <v>1.0466193804461121E-2</v>
      </c>
      <c r="T19" s="3">
        <f t="shared" si="3"/>
        <v>1.9931394043093853E-2</v>
      </c>
      <c r="V19" s="3"/>
      <c r="W19" s="3"/>
    </row>
    <row r="20" spans="1:23">
      <c r="A20" s="6">
        <f t="shared" si="7"/>
        <v>4144.7890906882876</v>
      </c>
      <c r="B20" s="6">
        <f>Exponential!B35</f>
        <v>5357.062186413682</v>
      </c>
      <c r="C20">
        <v>3</v>
      </c>
      <c r="E20" s="3">
        <f t="shared" si="8"/>
        <v>6.3402644063058631</v>
      </c>
      <c r="F20" s="3">
        <f t="shared" si="0"/>
        <v>1.7597635664747722</v>
      </c>
      <c r="H20" s="3">
        <f t="shared" si="4"/>
        <v>5.3600009406537055</v>
      </c>
      <c r="I20" s="3">
        <f t="shared" si="1"/>
        <v>1.0391051235910989</v>
      </c>
      <c r="K20" s="3">
        <f t="shared" si="5"/>
        <v>3.0176211631279521</v>
      </c>
      <c r="L20" s="3">
        <f t="shared" si="2"/>
        <v>1.0289740600176666E-4</v>
      </c>
      <c r="M20" s="6"/>
      <c r="O20">
        <f t="shared" si="6"/>
        <v>9000</v>
      </c>
      <c r="P20">
        <f>Exponential!B16</f>
        <v>10000</v>
      </c>
      <c r="Q20" s="3"/>
      <c r="R20" s="3">
        <f>GAMMADIST($P20,C$3,C$4,TRUE)-GAMMADIST($O20,C$3,C$4,TRUE)</f>
        <v>1.087056683570109E-2</v>
      </c>
      <c r="S20" s="3">
        <f t="shared" ref="S20:T20" si="9">GAMMADIST($P20,D$3,D$4,TRUE)-GAMMADIST($O20,D$3,D$4,TRUE)</f>
        <v>7.1433884809771753E-3</v>
      </c>
      <c r="T20" s="3">
        <f t="shared" si="9"/>
        <v>1.5506419527998805E-2</v>
      </c>
      <c r="V20" s="3"/>
      <c r="W20" s="3"/>
    </row>
    <row r="21" spans="1:23">
      <c r="A21" s="6">
        <f t="shared" si="7"/>
        <v>5357.062186413682</v>
      </c>
      <c r="B21" s="6">
        <f>Exponential!B36</f>
        <v>7429.4567317578258</v>
      </c>
      <c r="C21">
        <v>4</v>
      </c>
      <c r="E21" s="3">
        <f t="shared" si="8"/>
        <v>6.9357865794071252</v>
      </c>
      <c r="F21" s="3">
        <f t="shared" si="0"/>
        <v>1.2426626369122984</v>
      </c>
      <c r="H21" s="3">
        <f t="shared" si="4"/>
        <v>4.8281730313627591</v>
      </c>
      <c r="I21" s="3">
        <f t="shared" si="1"/>
        <v>0.14205592165428121</v>
      </c>
      <c r="K21" s="3">
        <f t="shared" si="5"/>
        <v>3.6685946884066105</v>
      </c>
      <c r="L21" s="3">
        <f t="shared" si="2"/>
        <v>2.9937752703887297E-2</v>
      </c>
      <c r="M21" s="6"/>
      <c r="O21">
        <f t="shared" si="6"/>
        <v>10000</v>
      </c>
      <c r="P21">
        <f>Exponential!B17</f>
        <v>0</v>
      </c>
      <c r="Q21" s="3"/>
      <c r="R21" s="3">
        <f>1-GAMMADIST($O21,C$3,C$4,TRUE)</f>
        <v>8.9570895370315373E-2</v>
      </c>
      <c r="S21" s="3">
        <f>1-GAMMADIST($O21,D$3,D$4,TRUE)</f>
        <v>1.571845664096827E-2</v>
      </c>
      <c r="T21" s="3">
        <f>1-GAMMADIST($O21,E$3,E$4,TRUE)</f>
        <v>5.7588663770595572E-2</v>
      </c>
      <c r="V21" s="3"/>
      <c r="W21" s="3"/>
    </row>
    <row r="22" spans="1:23">
      <c r="A22" s="6">
        <f t="shared" si="7"/>
        <v>7429.4567317578258</v>
      </c>
      <c r="B22" s="6"/>
      <c r="C22">
        <v>7</v>
      </c>
      <c r="E22" s="3">
        <f>96*(1-GAMMADIST(A22,E$3,E$4,TRUE))</f>
        <v>10.262215435564393</v>
      </c>
      <c r="F22" s="3">
        <f t="shared" si="0"/>
        <v>1.0370128764938853</v>
      </c>
      <c r="H22" s="3">
        <f>96*(1-GAMMADIST(A22,D$3,D$4,TRUE))</f>
        <v>3.9719864148412789</v>
      </c>
      <c r="I22" s="3">
        <f>(($C22-H22)^2)/H22</f>
        <v>2.3083830895408943</v>
      </c>
      <c r="K22" s="3">
        <f>96*(1-GAMMADIST(A22,C$3,C$4,TRUE))</f>
        <v>11.649641340615503</v>
      </c>
      <c r="L22" s="3">
        <f>(($C22-K22)^2)/K22</f>
        <v>1.8557794153702669</v>
      </c>
      <c r="M22" s="6"/>
      <c r="Q22" s="3"/>
      <c r="R22" s="3"/>
      <c r="S22" s="3"/>
      <c r="T22" s="3"/>
      <c r="V22" s="3"/>
      <c r="W22" s="3"/>
    </row>
    <row r="24" spans="1:23">
      <c r="C24" s="6">
        <f>SUM(C11:C22)</f>
        <v>96</v>
      </c>
      <c r="E24" s="6">
        <f>SUM(E11:E22)</f>
        <v>96</v>
      </c>
      <c r="F24" s="3">
        <f>SUM(F11:F22)</f>
        <v>16.51741991142125</v>
      </c>
      <c r="H24" s="6">
        <f>SUM(H11:H22)</f>
        <v>96.000000000000014</v>
      </c>
      <c r="I24" s="3">
        <f>SUM(I11:I22)</f>
        <v>10.823284788178231</v>
      </c>
      <c r="J24" s="6"/>
      <c r="K24" s="6">
        <f>SUM(K11:K22)</f>
        <v>96.000000000000014</v>
      </c>
      <c r="L24" s="3">
        <f>SUM(L11:L22)</f>
        <v>85.569891316779376</v>
      </c>
      <c r="Q24" s="3"/>
      <c r="R24" s="3">
        <f>SUM(R11:R21)</f>
        <v>1</v>
      </c>
      <c r="S24" s="3">
        <f t="shared" ref="S24:T24" si="10">SUM(S11:S21)</f>
        <v>1</v>
      </c>
      <c r="T24" s="3">
        <f t="shared" si="10"/>
        <v>1</v>
      </c>
      <c r="U24" s="6"/>
      <c r="V24" s="6"/>
      <c r="W24" s="3"/>
    </row>
    <row r="26" spans="1:23">
      <c r="F26" s="9">
        <f>CHIDIST(F24,9)</f>
        <v>5.6831736249706569E-2</v>
      </c>
      <c r="I26" s="9">
        <f>CHIDIST(I24,9)</f>
        <v>0.28801669080215164</v>
      </c>
      <c r="L26" s="9">
        <f>CHIDIST(L24,9)</f>
        <v>1.2552771469750791E-14</v>
      </c>
      <c r="Q26" s="9"/>
      <c r="W26" s="9"/>
    </row>
    <row r="27" spans="1:23">
      <c r="A27" t="s">
        <v>6</v>
      </c>
      <c r="B27">
        <v>12</v>
      </c>
    </row>
    <row r="28" spans="1:23">
      <c r="A28" t="s">
        <v>7</v>
      </c>
      <c r="B28">
        <f>96/B27</f>
        <v>8</v>
      </c>
    </row>
    <row r="29" spans="1:23">
      <c r="E29" t="s">
        <v>49</v>
      </c>
      <c r="H29" t="s">
        <v>50</v>
      </c>
      <c r="K29" t="s">
        <v>55</v>
      </c>
    </row>
    <row r="30" spans="1:23">
      <c r="B30" s="7" t="s">
        <v>54</v>
      </c>
      <c r="C30" s="8" t="s">
        <v>28</v>
      </c>
      <c r="E30" t="s">
        <v>27</v>
      </c>
      <c r="F30" t="s">
        <v>4</v>
      </c>
      <c r="H30" t="s">
        <v>27</v>
      </c>
      <c r="I30" t="s">
        <v>4</v>
      </c>
      <c r="J30" s="8"/>
      <c r="K30" t="s">
        <v>27</v>
      </c>
      <c r="L30" t="s">
        <v>4</v>
      </c>
    </row>
    <row r="31" spans="1:23">
      <c r="A31" s="6">
        <v>0</v>
      </c>
      <c r="B31" s="6">
        <f>GAMMAINV(B$28/96,E$3,E$4)</f>
        <v>76.386631808730641</v>
      </c>
      <c r="C31">
        <f t="array" ref="C31:C42">FREQUENCY('X data'!A2:A97,Gamma!B31:B42)</f>
        <v>3</v>
      </c>
      <c r="E31">
        <f>96*(GAMMADIST(B31,E$3,E$4,TRUE)-GAMMADIST(A31,E$3,E$4,TRUE))</f>
        <v>7.9999999999999964</v>
      </c>
      <c r="F31" s="3">
        <f t="shared" ref="F31:F42" si="11">((C31-E31)^2)/E31</f>
        <v>3.1249999999999969</v>
      </c>
      <c r="H31" s="3">
        <f>96*(GAMMADIST(B31,D$3,D$4,TRUE)-GAMMADIST(A31,D$3,D$4,TRUE))</f>
        <v>7.5771145318744839</v>
      </c>
      <c r="I31" s="3">
        <f>((C31-H31)^2)/H31</f>
        <v>2.7649017775522275</v>
      </c>
      <c r="K31" s="3">
        <f>96*(GAMMADIST(B31,C$3,C$4,TRUE)-GAMMADIST(A31,C$3,C$4,TRUE))</f>
        <v>37.522811873455247</v>
      </c>
      <c r="L31" s="3">
        <f>((C31-K31)^2)/K31</f>
        <v>31.762665966222929</v>
      </c>
      <c r="N31" s="7"/>
    </row>
    <row r="32" spans="1:23">
      <c r="A32" s="6">
        <f>B31</f>
        <v>76.386631808730641</v>
      </c>
      <c r="B32" s="6">
        <f t="shared" ref="B32:B41" si="12">GAMMAINV((B$28/96)+GAMMADIST(B31,E$3,E$4,TRUE),E$3,E$4)</f>
        <v>236.05068846088994</v>
      </c>
      <c r="C32">
        <v>6</v>
      </c>
      <c r="E32">
        <f t="shared" ref="E32:E41" si="13">96*(GAMMADIST(B32,E$3,E$4,TRUE)-GAMMADIST(A32,E$3,E$4,TRUE))</f>
        <v>7.9999999999999911</v>
      </c>
      <c r="F32" s="3">
        <f t="shared" si="11"/>
        <v>0.49999999999999611</v>
      </c>
      <c r="H32" s="3">
        <f t="shared" ref="H32:H41" si="14">96*(GAMMADIST(B32,D$3,D$4,TRUE)-GAMMADIST(A32,D$3,D$4,TRUE))</f>
        <v>9.1715647686484569</v>
      </c>
      <c r="I32" s="3">
        <f t="shared" ref="I32:I40" si="15">((C32-H32)^2)/H32</f>
        <v>1.0967401240098784</v>
      </c>
      <c r="K32" s="3">
        <f t="shared" ref="K32:K41" si="16">96*(GAMMADIST(B32,C$3,C$4,TRUE)-GAMMADIST(A32,C$3,C$4,TRUE))</f>
        <v>9.0080175606554569</v>
      </c>
      <c r="L32" s="3">
        <f t="shared" ref="L32:L42" si="17">((C32-K32)^2)/K32</f>
        <v>1.0044573719229324</v>
      </c>
      <c r="N32" s="6"/>
      <c r="P32" s="3"/>
      <c r="Q32" s="3"/>
    </row>
    <row r="33" spans="1:17">
      <c r="A33" s="6">
        <f>B32</f>
        <v>236.05068846088994</v>
      </c>
      <c r="B33" s="6">
        <f t="shared" si="12"/>
        <v>464.51800471154411</v>
      </c>
      <c r="C33">
        <v>16</v>
      </c>
      <c r="E33">
        <f t="shared" si="13"/>
        <v>7.9999999999999982</v>
      </c>
      <c r="F33" s="3">
        <f t="shared" si="11"/>
        <v>8.0000000000000053</v>
      </c>
      <c r="H33" s="3">
        <f t="shared" si="14"/>
        <v>9.7050356001460294</v>
      </c>
      <c r="I33" s="3">
        <f t="shared" si="15"/>
        <v>4.0830944293323981</v>
      </c>
      <c r="K33" s="3">
        <f t="shared" si="16"/>
        <v>6.3403651557860936</v>
      </c>
      <c r="L33" s="3">
        <f t="shared" si="17"/>
        <v>14.716588560896978</v>
      </c>
      <c r="M33" s="6"/>
      <c r="N33" s="6"/>
      <c r="P33" s="3"/>
      <c r="Q33" s="3"/>
    </row>
    <row r="34" spans="1:17">
      <c r="A34" s="6">
        <f t="shared" ref="A34:A42" si="18">B33</f>
        <v>464.51800471154411</v>
      </c>
      <c r="B34" s="6">
        <f t="shared" si="12"/>
        <v>763.68709227850604</v>
      </c>
      <c r="C34">
        <v>13</v>
      </c>
      <c r="E34">
        <f t="shared" si="13"/>
        <v>7.9999999999999902</v>
      </c>
      <c r="F34" s="3">
        <f t="shared" si="11"/>
        <v>3.1250000000000164</v>
      </c>
      <c r="H34" s="3">
        <f t="shared" si="14"/>
        <v>9.8918048075217904</v>
      </c>
      <c r="I34" s="3">
        <f t="shared" si="15"/>
        <v>0.97665466944904356</v>
      </c>
      <c r="K34" s="3">
        <f t="shared" si="16"/>
        <v>5.12308746476754</v>
      </c>
      <c r="L34" s="3">
        <f t="shared" si="17"/>
        <v>12.111007573929365</v>
      </c>
      <c r="M34" s="6"/>
      <c r="N34" s="6"/>
      <c r="P34" s="3"/>
      <c r="Q34" s="3"/>
    </row>
    <row r="35" spans="1:17">
      <c r="A35" s="6">
        <f t="shared" si="18"/>
        <v>763.68709227850604</v>
      </c>
      <c r="B35" s="6">
        <f t="shared" si="12"/>
        <v>1142.958084497483</v>
      </c>
      <c r="C35">
        <v>8</v>
      </c>
      <c r="E35">
        <f t="shared" si="13"/>
        <v>7.9999999999999982</v>
      </c>
      <c r="F35" s="3">
        <f t="shared" si="11"/>
        <v>3.9443045261050599E-31</v>
      </c>
      <c r="H35" s="3">
        <f t="shared" si="14"/>
        <v>9.8495767090041983</v>
      </c>
      <c r="I35" s="3">
        <f t="shared" si="15"/>
        <v>0.34731786995104896</v>
      </c>
      <c r="K35" s="3">
        <f t="shared" si="16"/>
        <v>4.4323589039757785</v>
      </c>
      <c r="L35" s="3">
        <f t="shared" si="17"/>
        <v>2.8716228233737962</v>
      </c>
      <c r="M35" s="6"/>
      <c r="N35" s="6"/>
      <c r="P35" s="3"/>
      <c r="Q35" s="3"/>
    </row>
    <row r="36" spans="1:17">
      <c r="A36" s="6">
        <f t="shared" si="18"/>
        <v>1142.958084497483</v>
      </c>
      <c r="B36" s="6">
        <f t="shared" si="12"/>
        <v>1619.8511967147592</v>
      </c>
      <c r="C36">
        <v>9</v>
      </c>
      <c r="E36">
        <f t="shared" si="13"/>
        <v>7.9999999999999982</v>
      </c>
      <c r="F36" s="3">
        <f t="shared" si="11"/>
        <v>0.12500000000000047</v>
      </c>
      <c r="H36" s="3">
        <f t="shared" si="14"/>
        <v>9.6179019922669386</v>
      </c>
      <c r="I36" s="3">
        <f t="shared" si="15"/>
        <v>3.9697105705010519E-2</v>
      </c>
      <c r="K36" s="3">
        <f t="shared" si="16"/>
        <v>4.0086530849893904</v>
      </c>
      <c r="L36" s="3">
        <f t="shared" si="17"/>
        <v>6.2149414024565974</v>
      </c>
      <c r="M36" s="6"/>
      <c r="N36" s="6"/>
      <c r="P36" s="3"/>
      <c r="Q36" s="3"/>
    </row>
    <row r="37" spans="1:17">
      <c r="A37" s="6">
        <f t="shared" si="18"/>
        <v>1619.8511967147592</v>
      </c>
      <c r="B37" s="6">
        <f t="shared" si="12"/>
        <v>2224.1553342595425</v>
      </c>
      <c r="C37">
        <v>10</v>
      </c>
      <c r="E37">
        <f t="shared" si="13"/>
        <v>7.9999999999999876</v>
      </c>
      <c r="F37" s="3">
        <f t="shared" si="11"/>
        <v>0.50000000000000699</v>
      </c>
      <c r="H37" s="3">
        <f t="shared" si="14"/>
        <v>9.2068772797413594</v>
      </c>
      <c r="I37" s="3">
        <f>((C37-H37)^2)/H37</f>
        <v>6.8323236019948011E-2</v>
      </c>
      <c r="K37" s="3">
        <f t="shared" si="16"/>
        <v>3.7530243955785743</v>
      </c>
      <c r="L37" s="3">
        <f>((C37-K37)^2)/K37</f>
        <v>10.398201580626896</v>
      </c>
      <c r="M37" s="6"/>
      <c r="N37" s="6"/>
      <c r="P37" s="3"/>
      <c r="Q37" s="3"/>
    </row>
    <row r="38" spans="1:17">
      <c r="A38" s="6">
        <f t="shared" si="18"/>
        <v>2224.1553342595425</v>
      </c>
      <c r="B38" s="6">
        <f t="shared" si="12"/>
        <v>3007.9768515992482</v>
      </c>
      <c r="C38">
        <v>9</v>
      </c>
      <c r="E38">
        <f t="shared" si="13"/>
        <v>7.9999999999999929</v>
      </c>
      <c r="F38" s="3">
        <f t="shared" si="11"/>
        <v>0.12500000000000189</v>
      </c>
      <c r="H38" s="3">
        <f t="shared" si="14"/>
        <v>8.6079600889179133</v>
      </c>
      <c r="I38" s="3">
        <f t="shared" si="15"/>
        <v>1.785501910947767E-2</v>
      </c>
      <c r="K38" s="3">
        <f t="shared" si="16"/>
        <v>3.6279078941678122</v>
      </c>
      <c r="L38" s="3">
        <f t="shared" si="17"/>
        <v>7.9548253250691801</v>
      </c>
      <c r="M38" s="6"/>
      <c r="N38" s="6"/>
      <c r="P38" s="3"/>
      <c r="Q38" s="3"/>
    </row>
    <row r="39" spans="1:17">
      <c r="A39" s="6">
        <f t="shared" si="18"/>
        <v>3007.9768515992482</v>
      </c>
      <c r="B39" s="6">
        <f t="shared" si="12"/>
        <v>4071.2598942242803</v>
      </c>
      <c r="C39">
        <v>8</v>
      </c>
      <c r="E39">
        <f t="shared" si="13"/>
        <v>7.9999999999999929</v>
      </c>
      <c r="F39" s="3">
        <f t="shared" si="11"/>
        <v>6.3108872417681E-30</v>
      </c>
      <c r="H39" s="3">
        <f t="shared" si="14"/>
        <v>7.7924957882992842</v>
      </c>
      <c r="I39" s="3">
        <f>((C39-H39)^2)/H39</f>
        <v>5.5255721713945109E-3</v>
      </c>
      <c r="K39" s="3">
        <f t="shared" si="16"/>
        <v>3.6345807438588551</v>
      </c>
      <c r="L39" s="3">
        <f t="shared" si="17"/>
        <v>5.2432141765146492</v>
      </c>
      <c r="M39" s="6"/>
      <c r="P39" s="3"/>
      <c r="Q39" s="3"/>
    </row>
    <row r="40" spans="1:17">
      <c r="A40" s="6">
        <f t="shared" si="18"/>
        <v>4071.2598942242803</v>
      </c>
      <c r="B40" s="6">
        <f t="shared" si="12"/>
        <v>5641.6908158764836</v>
      </c>
      <c r="C40">
        <v>4</v>
      </c>
      <c r="E40">
        <f t="shared" si="13"/>
        <v>7.9999999999999822</v>
      </c>
      <c r="F40" s="3">
        <f t="shared" si="11"/>
        <v>1.9999999999999867</v>
      </c>
      <c r="H40" s="3">
        <f t="shared" si="14"/>
        <v>6.6991865823316878</v>
      </c>
      <c r="I40" s="3">
        <f t="shared" si="15"/>
        <v>1.0875362429006452</v>
      </c>
      <c r="K40" s="3">
        <f t="shared" si="16"/>
        <v>3.8277201025386631</v>
      </c>
      <c r="L40" s="3">
        <f t="shared" si="17"/>
        <v>7.754057839705627E-3</v>
      </c>
    </row>
    <row r="41" spans="1:17">
      <c r="A41" s="6">
        <f t="shared" si="18"/>
        <v>5641.6908158764836</v>
      </c>
      <c r="B41" s="6">
        <f t="shared" si="12"/>
        <v>8454.8267365471693</v>
      </c>
      <c r="C41">
        <v>4</v>
      </c>
      <c r="E41">
        <f t="shared" si="13"/>
        <v>8.0000000000000036</v>
      </c>
      <c r="F41" s="3">
        <f t="shared" si="11"/>
        <v>2.0000000000000027</v>
      </c>
      <c r="H41" s="3">
        <f t="shared" si="14"/>
        <v>5.1859071977617504</v>
      </c>
      <c r="I41" s="3">
        <f>((C41-H41)^2)/H41</f>
        <v>0.27119187213957907</v>
      </c>
      <c r="K41" s="3">
        <f t="shared" si="16"/>
        <v>4.4393462322525217</v>
      </c>
      <c r="L41" s="3">
        <f>((C41-K41)^2)/K41</f>
        <v>4.3480526567657662E-2</v>
      </c>
    </row>
    <row r="42" spans="1:17">
      <c r="A42" s="6">
        <f t="shared" si="18"/>
        <v>8454.8267365471693</v>
      </c>
      <c r="B42" s="6"/>
      <c r="C42">
        <v>6</v>
      </c>
      <c r="E42">
        <f>96*(1-GAMMADIST(A42,E$3,E$4,TRUE))</f>
        <v>8.0000000000000675</v>
      </c>
      <c r="F42" s="3">
        <f t="shared" si="11"/>
        <v>0.50000000000002953</v>
      </c>
      <c r="H42" s="3">
        <f>96*(1-GAMMADIST(A42,D$3,D$4,TRUE))</f>
        <v>2.6945746534861073</v>
      </c>
      <c r="I42" s="3">
        <f>((C42-H42)^2)/H42</f>
        <v>4.0547537650297354</v>
      </c>
      <c r="K42" s="3">
        <f>96*(1-GAMMADIST(A42,C$3,C$4,TRUE))</f>
        <v>10.282126587974066</v>
      </c>
      <c r="L42" s="3">
        <f t="shared" si="17"/>
        <v>1.7833478277617045</v>
      </c>
      <c r="Q42" s="3"/>
    </row>
    <row r="44" spans="1:17">
      <c r="C44" s="6">
        <f>SUM(C31:C42)</f>
        <v>96</v>
      </c>
      <c r="E44" s="6">
        <f>SUM(E31:E42)</f>
        <v>96</v>
      </c>
      <c r="F44" s="3">
        <f>SUM(F31:F42)</f>
        <v>20.000000000000043</v>
      </c>
      <c r="H44" s="6">
        <f>SUM(H31:H42)</f>
        <v>96</v>
      </c>
      <c r="I44" s="3">
        <f>SUM(I31:I42)</f>
        <v>14.813591683370387</v>
      </c>
      <c r="J44" s="6"/>
      <c r="K44" s="6">
        <f>SUM(K31:K42)</f>
        <v>96.000000000000014</v>
      </c>
      <c r="L44" s="3">
        <f>SUM(L31:L42)</f>
        <v>94.112107193182396</v>
      </c>
      <c r="Q44" s="9"/>
    </row>
    <row r="46" spans="1:17">
      <c r="F46" s="9">
        <f>CHIDIST(F44,9)</f>
        <v>1.791240454621329E-2</v>
      </c>
      <c r="I46" s="9">
        <f>CHIDIST(I44,9)</f>
        <v>9.6185210650422431E-2</v>
      </c>
      <c r="L46" s="9">
        <f>CHIDIST(L44,9)</f>
        <v>2.427330684973486E-16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5"/>
  <sheetViews>
    <sheetView workbookViewId="0">
      <selection activeCell="E43" sqref="E43"/>
    </sheetView>
  </sheetViews>
  <sheetFormatPr defaultRowHeight="15"/>
  <cols>
    <col min="1" max="1" width="14.85546875" bestFit="1" customWidth="1"/>
    <col min="2" max="2" width="18.140625" customWidth="1"/>
    <col min="3" max="3" width="12" bestFit="1" customWidth="1"/>
    <col min="5" max="5" width="10.85546875" bestFit="1" customWidth="1"/>
    <col min="6" max="6" width="15.5703125" bestFit="1" customWidth="1"/>
    <col min="7" max="7" width="11.5703125" customWidth="1"/>
    <col min="8" max="8" width="13.85546875" bestFit="1" customWidth="1"/>
    <col min="9" max="9" width="6.7109375" customWidth="1"/>
    <col min="10" max="10" width="13.85546875" bestFit="1" customWidth="1"/>
    <col min="11" max="11" width="10.85546875" bestFit="1" customWidth="1"/>
    <col min="13" max="13" width="12.28515625" bestFit="1" customWidth="1"/>
    <col min="14" max="14" width="11.7109375" customWidth="1"/>
    <col min="15" max="15" width="10.85546875" bestFit="1" customWidth="1"/>
    <col min="16" max="16" width="11" customWidth="1"/>
  </cols>
  <sheetData>
    <row r="1" spans="1:23">
      <c r="A1" t="s">
        <v>86</v>
      </c>
      <c r="I1" s="16"/>
      <c r="J1" s="16"/>
      <c r="K1" s="16"/>
      <c r="L1" s="16"/>
      <c r="M1" s="15"/>
    </row>
    <row r="2" spans="1:23">
      <c r="B2" s="43"/>
      <c r="C2" s="41" t="s">
        <v>35</v>
      </c>
      <c r="D2" s="44" t="s">
        <v>3</v>
      </c>
      <c r="E2" s="45" t="s">
        <v>2</v>
      </c>
      <c r="I2" s="3"/>
      <c r="J2" s="3"/>
    </row>
    <row r="3" spans="1:23">
      <c r="B3" s="23" t="s">
        <v>36</v>
      </c>
      <c r="C3" s="53">
        <f>2*LN('X data'!D2)-0.5*LN('X data'!D7)</f>
        <v>7.0903983733382177</v>
      </c>
      <c r="D3" s="51">
        <f>LN('X data'!D12)-SQRT(D4)*(-0.6745)</f>
        <v>6.9721878684888345</v>
      </c>
      <c r="E3" s="46">
        <f>'X data'!D8/96</f>
        <v>7.0214781545901417</v>
      </c>
      <c r="I3" s="3"/>
      <c r="J3" s="3"/>
    </row>
    <row r="4" spans="1:23">
      <c r="B4" s="25" t="s">
        <v>56</v>
      </c>
      <c r="C4" s="54">
        <f>LN('X data'!D7)-2*LN('X data'!D2)</f>
        <v>1.8251491002656373</v>
      </c>
      <c r="D4" s="52">
        <f>((LN('X data'!E12)-LN('X data'!D12))/(2*0.6745))^2</f>
        <v>2.1033661817487053</v>
      </c>
      <c r="E4" s="40">
        <f>('X data'!D9/96)-E3^2</f>
        <v>1.956541713892797</v>
      </c>
    </row>
    <row r="8" spans="1:23">
      <c r="E8" t="s">
        <v>61</v>
      </c>
      <c r="H8" t="s">
        <v>62</v>
      </c>
      <c r="K8" t="s">
        <v>63</v>
      </c>
      <c r="R8" t="s">
        <v>35</v>
      </c>
      <c r="S8" t="s">
        <v>3</v>
      </c>
      <c r="T8" t="s">
        <v>2</v>
      </c>
    </row>
    <row r="9" spans="1:23">
      <c r="B9" s="7" t="s">
        <v>47</v>
      </c>
      <c r="C9" s="8" t="s">
        <v>28</v>
      </c>
      <c r="E9" t="s">
        <v>27</v>
      </c>
      <c r="F9" t="s">
        <v>4</v>
      </c>
      <c r="H9" t="s">
        <v>27</v>
      </c>
      <c r="I9" t="s">
        <v>4</v>
      </c>
      <c r="J9" s="8"/>
      <c r="K9" t="s">
        <v>27</v>
      </c>
      <c r="L9" t="s">
        <v>4</v>
      </c>
      <c r="P9" s="7" t="s">
        <v>48</v>
      </c>
      <c r="R9" s="7"/>
      <c r="S9" s="8"/>
      <c r="U9" s="8"/>
    </row>
    <row r="10" spans="1:23">
      <c r="A10" s="6">
        <v>0</v>
      </c>
      <c r="B10" s="6">
        <f>Exponential!B26</f>
        <v>260.14951530282821</v>
      </c>
      <c r="C10">
        <f t="array" ref="C10:C21">FREQUENCY('X data'!A2:A97,Lognormal!B10:B21)</f>
        <v>12</v>
      </c>
      <c r="E10" s="3">
        <f>96*(NORMDIST(LN(B10),E$3,SQRT(E$4),TRUE))</f>
        <v>14.232701518796546</v>
      </c>
      <c r="F10" s="3">
        <f>(($C10-E10)^2)/E10</f>
        <v>0.35024665313559583</v>
      </c>
      <c r="H10" s="3">
        <f>96*(NORMDIST(LN(B10),D$3,SQRT(D$4),TRUE))</f>
        <v>15.870000652505311</v>
      </c>
      <c r="I10" s="3">
        <f>(($C10-H10)^2)/H10</f>
        <v>0.94372428699473376</v>
      </c>
      <c r="K10" s="3">
        <f>96*(NORMDIST(LN(B10),C$3,SQRT(C$4),TRUE))</f>
        <v>12.368968600180928</v>
      </c>
      <c r="L10" s="3">
        <f>(($C10-K10)^2)/K10</f>
        <v>1.1006400963576057E-2</v>
      </c>
      <c r="O10">
        <f>'X data'!U6</f>
        <v>0</v>
      </c>
      <c r="P10">
        <f>Exponential!B7</f>
        <v>1000</v>
      </c>
      <c r="Q10" s="3"/>
      <c r="R10" s="3">
        <f>NORMDIST(LN($P10),C$3,SQRT(C$4),TRUE)</f>
        <v>0.44622965591024999</v>
      </c>
      <c r="S10" s="3">
        <f>NORMDIST(LN($P10),D$3,SQRT(D$4),TRUE)</f>
        <v>0.48228197293693331</v>
      </c>
      <c r="T10" s="3">
        <f>NORMDIST(LN($P10),E$3,SQRT(E$4),TRUE)</f>
        <v>0.46760073931320068</v>
      </c>
      <c r="V10" s="10"/>
      <c r="W10" s="3"/>
    </row>
    <row r="11" spans="1:23">
      <c r="A11" s="6">
        <f>B10</f>
        <v>260.14951530282821</v>
      </c>
      <c r="B11" s="6">
        <f>Exponential!B27</f>
        <v>545.11106788779227</v>
      </c>
      <c r="C11">
        <v>18</v>
      </c>
      <c r="E11" s="3">
        <f>96*(NORMDIST(LN(B11),E$3,SQRT(E$4),TRUE)-NORMDIST(LN(A11),E$3,SQRT(E$4),TRUE))</f>
        <v>14.878847369461543</v>
      </c>
      <c r="F11" s="3">
        <f t="shared" ref="F11:F21" si="0">((C11-E11)^2)/E11</f>
        <v>0.65472771520672401</v>
      </c>
      <c r="H11" s="3">
        <f>96*(NORMDIST(LN(B11),D$3,SQRT(D$4),TRUE)-NORMDIST(LN(A11),D$3,SQRT(D$4),TRUE))</f>
        <v>15.01836845712107</v>
      </c>
      <c r="I11" s="3">
        <f>(($C11-H11)^2)/H11</f>
        <v>0.59195022967193656</v>
      </c>
      <c r="K11" s="3">
        <f t="shared" ref="K11:K19" si="1">96*(NORMDIST(LN(B11),C$3,SQRT(C$4),TRUE)-NORMDIST(LN(A11),C$3,SQRT(C$4),TRUE))</f>
        <v>14.463184622677801</v>
      </c>
      <c r="L11" s="3">
        <f>(($C11-K11)^2)/K11</f>
        <v>0.86488994917820294</v>
      </c>
      <c r="M11" s="6"/>
      <c r="O11">
        <f>P10</f>
        <v>1000</v>
      </c>
      <c r="P11">
        <f>Exponential!B8</f>
        <v>2000</v>
      </c>
      <c r="Q11" s="3"/>
      <c r="R11" s="3">
        <f>NORMDIST(LN($P11),C$3,SQRT(C$4),TRUE)-NORMDIST(LN($O11),C$3,SQRT(C$4),TRUE)</f>
        <v>0.20100922682578715</v>
      </c>
      <c r="S11" s="3">
        <f>NORMDIST(LN($P11),D$3,SQRT(D$4),TRUE)-NORMDIST(LN($O11),D$3,SQRT(D$4),TRUE)</f>
        <v>0.18539477942307414</v>
      </c>
      <c r="T11" s="3">
        <f>NORMDIST(LN($P11),E$3,SQRT(E$4),TRUE)-NORMDIST(LN($O11),E$3,SQRT(E$4),TRUE)</f>
        <v>0.19305012731961613</v>
      </c>
      <c r="V11" s="3"/>
      <c r="W11" s="3"/>
    </row>
    <row r="12" spans="1:23">
      <c r="A12" s="6">
        <f>B11</f>
        <v>545.11106788779227</v>
      </c>
      <c r="B12" s="6">
        <f>Exponential!B28</f>
        <v>860.12144961875015</v>
      </c>
      <c r="C12">
        <v>10</v>
      </c>
      <c r="E12" s="3">
        <f t="shared" ref="E12:E20" si="2">96*(NORMDIST(LN(B12),E$3,SQRT(E$4),TRUE)-NORMDIST(LN(A12),E$3,SQRT(E$4),TRUE))</f>
        <v>11.691881810600748</v>
      </c>
      <c r="F12" s="3">
        <f t="shared" si="0"/>
        <v>0.24482492274651096</v>
      </c>
      <c r="H12" s="3">
        <f t="shared" ref="H12:H20" si="3">96*(NORMDIST(LN(B12),D$3,SQRT(D$4),TRUE)-NORMDIST(LN(A12),D$3,SQRT(D$4),TRUE))</f>
        <v>11.451806042334553</v>
      </c>
      <c r="I12" s="3">
        <f t="shared" ref="I12:I20" si="4">(($C12-H12)^2)/H12</f>
        <v>0.18405313334571954</v>
      </c>
      <c r="K12" s="3">
        <f t="shared" si="1"/>
        <v>11.813546499534656</v>
      </c>
      <c r="L12" s="3">
        <f t="shared" ref="L12:L20" si="5">(($C12-K12)^2)/K12</f>
        <v>0.27840504171240682</v>
      </c>
      <c r="M12" s="6"/>
      <c r="O12">
        <f t="shared" ref="O12:O20" si="6">P11</f>
        <v>2000</v>
      </c>
      <c r="P12">
        <f>Exponential!B9</f>
        <v>3000</v>
      </c>
      <c r="Q12" s="3"/>
      <c r="R12" s="3">
        <f>NORMDIST(LN($P12),C$3,SQRT(C$4),TRUE)-NORMDIST(LN($O12),C$3,SQRT(C$4),TRUE)</f>
        <v>0.10387626030626196</v>
      </c>
      <c r="S12" s="3">
        <f t="shared" ref="R12:T19" si="7">NORMDIST(LN($P12),D$3,SQRT(D$4),TRUE)-NORMDIST(LN($O12),D$3,SQRT(D$4),TRUE)</f>
        <v>9.4425277296496968E-2</v>
      </c>
      <c r="T12" s="3">
        <f t="shared" si="7"/>
        <v>9.8668208825532622E-2</v>
      </c>
      <c r="V12" s="3"/>
      <c r="W12" s="3"/>
    </row>
    <row r="13" spans="1:23">
      <c r="A13" s="6">
        <f t="shared" ref="A13:A21" si="8">B12</f>
        <v>860.12144961875015</v>
      </c>
      <c r="B13" s="6">
        <f>Exponential!B29</f>
        <v>1212.2730957253941</v>
      </c>
      <c r="C13">
        <v>8</v>
      </c>
      <c r="E13" s="3">
        <f t="shared" si="2"/>
        <v>9.3522868037997746</v>
      </c>
      <c r="F13" s="3">
        <f t="shared" si="0"/>
        <v>0.19553288282262998</v>
      </c>
      <c r="H13" s="3">
        <f t="shared" si="3"/>
        <v>9.0372742954569745</v>
      </c>
      <c r="I13" s="3">
        <f t="shared" si="4"/>
        <v>0.11905558344695095</v>
      </c>
      <c r="K13" s="3">
        <f t="shared" si="1"/>
        <v>9.6336479085792952</v>
      </c>
      <c r="L13" s="3">
        <f t="shared" si="5"/>
        <v>0.27702958573239805</v>
      </c>
      <c r="M13" s="6"/>
      <c r="O13">
        <f t="shared" si="6"/>
        <v>3000</v>
      </c>
      <c r="P13">
        <f>Exponential!B10</f>
        <v>4000</v>
      </c>
      <c r="Q13" s="3"/>
      <c r="R13" s="3">
        <f t="shared" si="7"/>
        <v>6.2405852952700624E-2</v>
      </c>
      <c r="S13" s="3">
        <f t="shared" si="7"/>
        <v>5.6866462080051194E-2</v>
      </c>
      <c r="T13" s="3">
        <f t="shared" si="7"/>
        <v>5.9212341231942411E-2</v>
      </c>
      <c r="V13" s="3"/>
      <c r="W13" s="3"/>
    </row>
    <row r="14" spans="1:23">
      <c r="A14" s="6">
        <f t="shared" si="8"/>
        <v>1212.2730957253941</v>
      </c>
      <c r="B14" s="6">
        <f>Exponential!B30</f>
        <v>1611.5097044406132</v>
      </c>
      <c r="C14">
        <v>7</v>
      </c>
      <c r="E14" s="3">
        <f t="shared" si="2"/>
        <v>7.6847287681772514</v>
      </c>
      <c r="F14" s="3">
        <f t="shared" si="0"/>
        <v>6.1011064946244531E-2</v>
      </c>
      <c r="H14" s="3">
        <f t="shared" si="3"/>
        <v>7.376511869046773</v>
      </c>
      <c r="I14" s="3">
        <f t="shared" si="4"/>
        <v>1.9217916279366525E-2</v>
      </c>
      <c r="K14" s="3">
        <f t="shared" si="1"/>
        <v>8.0044574539247328</v>
      </c>
      <c r="L14" s="3">
        <f t="shared" si="5"/>
        <v>0.12604661622009841</v>
      </c>
      <c r="M14" s="6"/>
      <c r="O14">
        <f t="shared" si="6"/>
        <v>4000</v>
      </c>
      <c r="P14">
        <f>Exponential!B11</f>
        <v>5000</v>
      </c>
      <c r="Q14" s="3"/>
      <c r="R14" s="3">
        <f t="shared" si="7"/>
        <v>4.1021797062070653E-2</v>
      </c>
      <c r="S14" s="3">
        <f t="shared" si="7"/>
        <v>3.7661750038561981E-2</v>
      </c>
      <c r="T14" s="3">
        <f t="shared" si="7"/>
        <v>3.9003954963725662E-2</v>
      </c>
      <c r="V14" s="3"/>
      <c r="W14" s="3"/>
    </row>
    <row r="15" spans="1:23">
      <c r="A15" s="6">
        <f t="shared" si="8"/>
        <v>1611.5097044406132</v>
      </c>
      <c r="B15" s="6">
        <f>Exponential!B31</f>
        <v>2072.3945453441443</v>
      </c>
      <c r="C15">
        <v>10</v>
      </c>
      <c r="E15" s="3">
        <f t="shared" si="2"/>
        <v>6.4707792796080952</v>
      </c>
      <c r="F15" s="3">
        <f t="shared" si="0"/>
        <v>1.924868451701836</v>
      </c>
      <c r="H15" s="3">
        <f t="shared" si="3"/>
        <v>6.1931620839199084</v>
      </c>
      <c r="I15" s="3">
        <f t="shared" si="4"/>
        <v>2.3400025258393398</v>
      </c>
      <c r="K15" s="3">
        <f t="shared" si="1"/>
        <v>6.7849179642192716</v>
      </c>
      <c r="L15" s="3">
        <f t="shared" si="5"/>
        <v>1.5234896798032818</v>
      </c>
      <c r="M15" s="6"/>
      <c r="O15">
        <f t="shared" si="6"/>
        <v>5000</v>
      </c>
      <c r="P15">
        <f>Exponential!B12</f>
        <v>6000</v>
      </c>
      <c r="Q15" s="3"/>
      <c r="R15" s="3">
        <f>NORMDIST(LN($P15),C$3,SQRT(C$4),TRUE)-NORMDIST(LN($O15),C$3,SQRT(C$4),TRUE)</f>
        <v>2.8644689059941775E-2</v>
      </c>
      <c r="S15" s="3">
        <f t="shared" si="7"/>
        <v>2.6545832913234979E-2</v>
      </c>
      <c r="T15" s="3">
        <f t="shared" si="7"/>
        <v>2.7328220098461031E-2</v>
      </c>
      <c r="V15" s="3"/>
      <c r="W15" s="3"/>
    </row>
    <row r="16" spans="1:23">
      <c r="A16" s="6">
        <f t="shared" si="8"/>
        <v>2072.3945453441443</v>
      </c>
      <c r="B16" s="6">
        <f>Exponential!B32</f>
        <v>2617.5056132319364</v>
      </c>
      <c r="C16">
        <v>5</v>
      </c>
      <c r="E16" s="3">
        <f t="shared" si="2"/>
        <v>5.5713803211137787</v>
      </c>
      <c r="F16" s="3">
        <f t="shared" si="0"/>
        <v>5.859866900826094E-2</v>
      </c>
      <c r="H16" s="3">
        <f t="shared" si="3"/>
        <v>5.3300764275855528</v>
      </c>
      <c r="I16" s="3">
        <f t="shared" si="4"/>
        <v>2.044069152250292E-2</v>
      </c>
      <c r="K16" s="3">
        <f t="shared" si="1"/>
        <v>5.8636902833356892</v>
      </c>
      <c r="L16" s="3">
        <f t="shared" si="5"/>
        <v>0.12721696909000568</v>
      </c>
      <c r="M16" s="6"/>
      <c r="O16">
        <f t="shared" si="6"/>
        <v>6000</v>
      </c>
      <c r="P16">
        <f>Exponential!B13</f>
        <v>7000</v>
      </c>
      <c r="Q16" s="3"/>
      <c r="R16" s="3">
        <f t="shared" si="7"/>
        <v>2.0895973557577108E-2</v>
      </c>
      <c r="S16" s="3">
        <f t="shared" si="7"/>
        <v>1.956053992398421E-2</v>
      </c>
      <c r="T16" s="3">
        <f t="shared" si="7"/>
        <v>2.0015025277148712E-2</v>
      </c>
      <c r="V16" s="3"/>
      <c r="W16" s="3"/>
    </row>
    <row r="17" spans="1:23">
      <c r="A17" s="6">
        <f t="shared" si="8"/>
        <v>2617.5056132319364</v>
      </c>
      <c r="B17" s="6">
        <f>Exponential!B33</f>
        <v>3284.6676410695377</v>
      </c>
      <c r="C17">
        <v>6</v>
      </c>
      <c r="E17" s="3">
        <f t="shared" si="2"/>
        <v>4.9043315186789656</v>
      </c>
      <c r="F17" s="3">
        <f t="shared" si="0"/>
        <v>0.24478145826563266</v>
      </c>
      <c r="H17" s="3">
        <f t="shared" si="3"/>
        <v>4.6991439843768781</v>
      </c>
      <c r="I17" s="3">
        <f>(($C17-H17)^2)/H17</f>
        <v>0.3601137524214974</v>
      </c>
      <c r="K17" s="3">
        <f t="shared" si="1"/>
        <v>5.1695872764555908</v>
      </c>
      <c r="L17" s="3">
        <f>(($C17-K17)^2)/K17</f>
        <v>0.13339271677742942</v>
      </c>
      <c r="M17" s="6"/>
      <c r="O17">
        <f t="shared" si="6"/>
        <v>7000</v>
      </c>
      <c r="P17">
        <f>Exponential!B14</f>
        <v>8000</v>
      </c>
      <c r="Q17" s="3"/>
      <c r="R17" s="3">
        <f t="shared" si="7"/>
        <v>1.5759479684220312E-2</v>
      </c>
      <c r="S17" s="3">
        <f t="shared" si="7"/>
        <v>1.4904038656291974E-2</v>
      </c>
      <c r="T17" s="3">
        <f t="shared" si="7"/>
        <v>1.5159070372266603E-2</v>
      </c>
      <c r="V17" s="3"/>
      <c r="W17" s="3"/>
    </row>
    <row r="18" spans="1:23">
      <c r="A18" s="6">
        <f t="shared" si="8"/>
        <v>3284.6676410695377</v>
      </c>
      <c r="B18" s="6">
        <f>Exponential!B34</f>
        <v>4144.7890906882876</v>
      </c>
      <c r="C18">
        <v>6</v>
      </c>
      <c r="E18" s="3">
        <f t="shared" si="2"/>
        <v>4.4282526078805517</v>
      </c>
      <c r="F18" s="3">
        <f t="shared" si="0"/>
        <v>0.5578701314911354</v>
      </c>
      <c r="H18" s="3">
        <f t="shared" si="3"/>
        <v>4.25751691320988</v>
      </c>
      <c r="I18" s="3">
        <f t="shared" si="4"/>
        <v>0.71314979356370889</v>
      </c>
      <c r="K18" s="3">
        <f t="shared" si="1"/>
        <v>4.6658436392270417</v>
      </c>
      <c r="L18" s="3">
        <f t="shared" si="5"/>
        <v>0.38149010824670926</v>
      </c>
      <c r="M18" s="6"/>
      <c r="O18">
        <f t="shared" si="6"/>
        <v>8000</v>
      </c>
      <c r="P18">
        <f>Exponential!B15</f>
        <v>9000</v>
      </c>
      <c r="Q18" s="3"/>
      <c r="R18" s="3">
        <f t="shared" si="7"/>
        <v>1.2202463469197733E-2</v>
      </c>
      <c r="S18" s="3">
        <f t="shared" si="7"/>
        <v>1.1658079147782607E-2</v>
      </c>
      <c r="T18" s="3">
        <f t="shared" si="7"/>
        <v>1.1788405000646263E-2</v>
      </c>
      <c r="V18" s="3"/>
      <c r="W18" s="3"/>
    </row>
    <row r="19" spans="1:23">
      <c r="A19" s="6">
        <f t="shared" si="8"/>
        <v>4144.7890906882876</v>
      </c>
      <c r="B19" s="6">
        <f>Exponential!B35</f>
        <v>5357.062186413682</v>
      </c>
      <c r="C19">
        <v>3</v>
      </c>
      <c r="E19" s="3">
        <f t="shared" si="2"/>
        <v>4.1464037462755954</v>
      </c>
      <c r="F19" s="3">
        <f t="shared" si="0"/>
        <v>0.31695937730502116</v>
      </c>
      <c r="H19" s="3">
        <f t="shared" si="3"/>
        <v>4.0093020155448045</v>
      </c>
      <c r="I19" s="3">
        <f t="shared" si="4"/>
        <v>0.25408177149866817</v>
      </c>
      <c r="K19" s="3">
        <f t="shared" si="1"/>
        <v>4.3576858525711799</v>
      </c>
      <c r="L19" s="3">
        <f t="shared" si="5"/>
        <v>0.42300223940748666</v>
      </c>
      <c r="M19" s="6"/>
      <c r="O19">
        <f t="shared" si="6"/>
        <v>9000</v>
      </c>
      <c r="P19">
        <f>Exponential!B16</f>
        <v>10000</v>
      </c>
      <c r="Q19" s="3"/>
      <c r="R19" s="3">
        <f>NORMDIST(LN($P19),C$3,SQRT(C$4),TRUE)-NORMDIST(LN($O19),C$3,SQRT(C$4),TRUE)</f>
        <v>9.652458280878351E-3</v>
      </c>
      <c r="S19" s="3">
        <f t="shared" si="7"/>
        <v>9.314455638159358E-3</v>
      </c>
      <c r="T19" s="3">
        <f t="shared" si="7"/>
        <v>9.3653531560773384E-3</v>
      </c>
      <c r="V19" s="3"/>
      <c r="W19" s="3"/>
    </row>
    <row r="20" spans="1:23">
      <c r="A20" s="6">
        <f t="shared" si="8"/>
        <v>5357.062186413682</v>
      </c>
      <c r="B20" s="6">
        <f>Exponential!B36</f>
        <v>7429.4567317578258</v>
      </c>
      <c r="C20">
        <v>4</v>
      </c>
      <c r="E20" s="3">
        <f t="shared" si="2"/>
        <v>4.178980869405283</v>
      </c>
      <c r="F20" s="3">
        <f t="shared" si="0"/>
        <v>7.6655415791912441E-3</v>
      </c>
      <c r="H20" s="3">
        <f t="shared" si="3"/>
        <v>4.0794231208025948</v>
      </c>
      <c r="I20" s="3">
        <f t="shared" si="4"/>
        <v>1.5463049385233949E-3</v>
      </c>
      <c r="K20" s="3">
        <f>96*(NORMDIST(LN(B20),C$3,SQRT(C$4),TRUE)-NORMDIST(LN(A20),C$3,SQRT(C$4),TRUE))</f>
        <v>4.3661356982557855</v>
      </c>
      <c r="L20" s="3">
        <f t="shared" si="5"/>
        <v>3.0703431776251251E-2</v>
      </c>
      <c r="M20" s="6"/>
      <c r="O20">
        <f t="shared" si="6"/>
        <v>10000</v>
      </c>
      <c r="P20">
        <f>Exponential!B17</f>
        <v>0</v>
      </c>
      <c r="Q20" s="3"/>
      <c r="R20" s="3">
        <f>1-NORMDIST(LN($O20),C$3,SQRT(C$4),TRUE)</f>
        <v>5.830214289111435E-2</v>
      </c>
      <c r="S20" s="3">
        <f>1-NORMDIST(LN($O20),D$3,SQRT(D$4),TRUE)</f>
        <v>6.1386811945429276E-2</v>
      </c>
      <c r="T20" s="3">
        <f>1-NORMDIST(LN($O20),E$3,SQRT(E$4),TRUE)</f>
        <v>5.8808554441382555E-2</v>
      </c>
      <c r="V20" s="3"/>
      <c r="W20" s="3"/>
    </row>
    <row r="21" spans="1:23">
      <c r="A21" s="6">
        <f t="shared" si="8"/>
        <v>7429.4567317578258</v>
      </c>
      <c r="B21" s="6"/>
      <c r="C21">
        <v>7</v>
      </c>
      <c r="E21" s="3">
        <f>96*(1-NORMDIST(LN(A21),E$3,SQRT(E$4),TRUE))</f>
        <v>8.4594253862018682</v>
      </c>
      <c r="F21" s="3">
        <f t="shared" si="0"/>
        <v>0.25178098519133219</v>
      </c>
      <c r="H21" s="3">
        <f>96*(1-NORMDIST(LN(A21),D$3,SQRT(D$4),TRUE))</f>
        <v>8.6774141380956991</v>
      </c>
      <c r="I21" s="3">
        <f>(($C21-H21)^2)/H21</f>
        <v>0.32425768159785229</v>
      </c>
      <c r="K21" s="3">
        <f>96*(1-NORMDIST(LN(A21),C$3,SQRT(C$4),TRUE))</f>
        <v>8.5083342010380285</v>
      </c>
      <c r="L21" s="3">
        <f>(($C21-K21)^2)/K21</f>
        <v>0.26739335906004558</v>
      </c>
      <c r="M21" s="6"/>
      <c r="Q21" s="3"/>
      <c r="R21" s="3"/>
      <c r="S21" s="3"/>
      <c r="T21" s="3"/>
      <c r="V21" s="3"/>
      <c r="W21" s="3"/>
    </row>
    <row r="23" spans="1:23">
      <c r="C23" s="6">
        <f>SUM(C10:C21)</f>
        <v>96</v>
      </c>
      <c r="E23" s="6">
        <f>SUM(E10:E21)</f>
        <v>95.999999999999986</v>
      </c>
      <c r="F23" s="3">
        <f>SUM(F10:F21)</f>
        <v>4.8688678534001149</v>
      </c>
      <c r="H23" s="6">
        <f>SUM(H10:H21)</f>
        <v>95.999999999999986</v>
      </c>
      <c r="I23" s="3">
        <f>SUM(I10:I21)</f>
        <v>5.8715936711207997</v>
      </c>
      <c r="J23" s="6"/>
      <c r="K23" s="6">
        <f>SUM(K10:K21)</f>
        <v>95.999999999999986</v>
      </c>
      <c r="L23" s="3">
        <f>SUM(L10:L21)</f>
        <v>4.4440660979678928</v>
      </c>
      <c r="Q23" s="3"/>
      <c r="R23" s="3">
        <f>SUM(R10:R20)</f>
        <v>1</v>
      </c>
      <c r="S23" s="3">
        <f>SUM(S10:S20)</f>
        <v>1</v>
      </c>
      <c r="T23" s="3">
        <f>SUM(T10:T20)</f>
        <v>1</v>
      </c>
      <c r="U23" s="6"/>
      <c r="V23" s="6"/>
      <c r="W23" s="3"/>
    </row>
    <row r="25" spans="1:23">
      <c r="F25" s="9">
        <f>CHIDIST(F23,9)</f>
        <v>0.84558622978900366</v>
      </c>
      <c r="I25" s="9">
        <f>CHIDIST(I23,9)</f>
        <v>0.75269782161573229</v>
      </c>
      <c r="L25" s="9">
        <f>CHIDIST(L23,9)</f>
        <v>0.8798350715835781</v>
      </c>
      <c r="Q25" s="9"/>
      <c r="W25" s="9"/>
    </row>
    <row r="26" spans="1:23">
      <c r="A26" t="s">
        <v>6</v>
      </c>
      <c r="B26">
        <v>12</v>
      </c>
    </row>
    <row r="27" spans="1:23">
      <c r="A27" t="s">
        <v>7</v>
      </c>
      <c r="B27">
        <f>96/B26</f>
        <v>8</v>
      </c>
    </row>
    <row r="28" spans="1:23">
      <c r="E28" t="s">
        <v>61</v>
      </c>
      <c r="H28" t="s">
        <v>62</v>
      </c>
      <c r="K28" t="s">
        <v>63</v>
      </c>
    </row>
    <row r="29" spans="1:23">
      <c r="B29" s="7" t="s">
        <v>66</v>
      </c>
      <c r="C29" s="8" t="s">
        <v>28</v>
      </c>
      <c r="E29" t="s">
        <v>27</v>
      </c>
      <c r="F29" t="s">
        <v>4</v>
      </c>
      <c r="H29" t="s">
        <v>27</v>
      </c>
      <c r="I29" t="s">
        <v>4</v>
      </c>
      <c r="J29" s="8"/>
      <c r="K29" t="s">
        <v>27</v>
      </c>
      <c r="L29" t="s">
        <v>4</v>
      </c>
    </row>
    <row r="30" spans="1:23">
      <c r="A30" s="6">
        <v>0</v>
      </c>
      <c r="B30" s="6">
        <f>EXP(E$3+SQRT(E$4)*NORMSINV(8/96))</f>
        <v>161.90265666604458</v>
      </c>
      <c r="C30">
        <f t="array" ref="C30:C41">FREQUENCY('X data'!A2:A97,Lognormal!B30:B41)</f>
        <v>8</v>
      </c>
      <c r="E30" s="3">
        <f>96*(NORMDIST(LN(B30),E$3,SQRT(E$4),TRUE))</f>
        <v>8.0000000000000036</v>
      </c>
      <c r="F30" s="3">
        <f t="shared" ref="F30:F41" si="9">((C30-E30)^2)/E30</f>
        <v>1.5777218104420229E-30</v>
      </c>
      <c r="H30" s="3">
        <f>96*(NORMDIST(LN(B30),D$3,SQRT(D$4),TRUE))</f>
        <v>9.2950660572490875</v>
      </c>
      <c r="I30" s="3">
        <f>((C30-H30)^2)/H30</f>
        <v>0.18043939465397085</v>
      </c>
      <c r="K30" s="3">
        <f>96*(NORMDIST(LN(B30),C$3,SQRT(C$4),TRUE))</f>
        <v>6.6285290693839301</v>
      </c>
      <c r="L30" s="3">
        <f>((C30-K30)^2)/K30</f>
        <v>0.28376318393361544</v>
      </c>
      <c r="N30" s="7"/>
    </row>
    <row r="31" spans="1:23">
      <c r="A31" s="6">
        <f>B30</f>
        <v>161.90265666604458</v>
      </c>
      <c r="B31" s="6">
        <f>EXP(NORMSINV(8/96+NORMSDIST((LN(B30)-E$3)/SQRT(E$4)))*SQRT(E$4)+E$3)</f>
        <v>289.53707488999953</v>
      </c>
      <c r="C31">
        <v>7</v>
      </c>
      <c r="E31" s="3">
        <f>96*(NORMDIST(LN(B31),E$3,SQRT(E$4),TRUE)-NORMDIST(LN(A31),E$3,SQRT(E$4),TRUE))</f>
        <v>7.9999999999999822</v>
      </c>
      <c r="F31" s="3">
        <f t="shared" si="9"/>
        <v>0.12499999999999584</v>
      </c>
      <c r="H31" s="3">
        <f>96*(NORMDIST(LN(B31),D$3,SQRT(D$4),TRUE)-NORMDIST(LN(A31),D$3,SQRT(D$4),TRUE))</f>
        <v>8.3987451554115395</v>
      </c>
      <c r="I31" s="3">
        <f t="shared" ref="I31:I39" si="10">((C31-H31)^2)/H31</f>
        <v>0.23295003879557336</v>
      </c>
      <c r="K31" s="3">
        <f t="shared" ref="K31:K40" si="11">96*(NORMDIST(LN(B31),C$3,SQRT(C$4),TRUE)-NORMDIST(LN(A31),C$3,SQRT(C$4),TRUE))</f>
        <v>7.4114567895394714</v>
      </c>
      <c r="L31" s="3">
        <f t="shared" ref="L31:L41" si="12">((C31-K31)^2)/K31</f>
        <v>2.2842565836324401E-2</v>
      </c>
      <c r="N31" s="6"/>
      <c r="P31" s="3"/>
      <c r="Q31" s="3"/>
    </row>
    <row r="32" spans="1:23">
      <c r="A32" s="6">
        <f>B31</f>
        <v>289.53707488999953</v>
      </c>
      <c r="B32" s="6">
        <f>EXP(NORMSINV(8/96+NORMSDIST((LN(B31)-E$3)/SQRT(E$4)))*SQRT(E$4)+E$3)</f>
        <v>436.16732203842747</v>
      </c>
      <c r="C32">
        <v>9</v>
      </c>
      <c r="E32" s="3">
        <f t="shared" ref="E32:E40" si="13">96*(NORMDIST(LN(B32),E$3,SQRT(E$4),TRUE)-NORMDIST(LN(A32),E$3,SQRT(E$4),TRUE))</f>
        <v>8.0000000000000036</v>
      </c>
      <c r="F32" s="3">
        <f t="shared" si="9"/>
        <v>0.12499999999999906</v>
      </c>
      <c r="H32" s="3">
        <f t="shared" ref="H32:H40" si="14">96*(NORMDIST(LN(B32),D$3,SQRT(D$4),TRUE)-NORMDIST(LN(A32),D$3,SQRT(D$4),TRUE))</f>
        <v>8.1081349704107808</v>
      </c>
      <c r="I32" s="3">
        <f t="shared" si="10"/>
        <v>9.8101873477308491E-2</v>
      </c>
      <c r="K32" s="3">
        <f t="shared" si="11"/>
        <v>7.7347147962415868</v>
      </c>
      <c r="L32" s="3">
        <f t="shared" si="12"/>
        <v>0.20698198822119379</v>
      </c>
      <c r="M32" s="6"/>
      <c r="N32" s="6"/>
      <c r="P32" s="3"/>
      <c r="Q32" s="3"/>
    </row>
    <row r="33" spans="1:17">
      <c r="A33" s="6">
        <f t="shared" ref="A33:A41" si="15">B32</f>
        <v>436.16732203842747</v>
      </c>
      <c r="B33" s="6">
        <f t="shared" ref="B33:B40" si="16">EXP(NORMSINV(8/96+NORMSDIST((LN(B32)-E$3)/SQRT(E$4)))*SQRT(E$4)+E$3)</f>
        <v>613.38461059826216</v>
      </c>
      <c r="C33">
        <v>9</v>
      </c>
      <c r="E33" s="3">
        <f t="shared" si="13"/>
        <v>8.0000000000000036</v>
      </c>
      <c r="F33" s="3">
        <f t="shared" si="9"/>
        <v>0.12499999999999906</v>
      </c>
      <c r="H33" s="3">
        <f t="shared" si="14"/>
        <v>7.9362920230648228</v>
      </c>
      <c r="I33" s="3">
        <f t="shared" si="10"/>
        <v>0.14256968580631646</v>
      </c>
      <c r="K33" s="3">
        <f t="shared" si="11"/>
        <v>7.9471566057519318</v>
      </c>
      <c r="L33" s="3">
        <f t="shared" si="12"/>
        <v>0.13948123433348558</v>
      </c>
      <c r="M33" s="6"/>
      <c r="N33" s="6"/>
      <c r="P33" s="3"/>
      <c r="Q33" s="3"/>
    </row>
    <row r="34" spans="1:17">
      <c r="A34" s="6">
        <f t="shared" si="15"/>
        <v>613.38461059826216</v>
      </c>
      <c r="B34" s="6">
        <f t="shared" si="16"/>
        <v>834.75512465737404</v>
      </c>
      <c r="C34">
        <v>7</v>
      </c>
      <c r="E34" s="3">
        <f t="shared" si="13"/>
        <v>8.0000000000000036</v>
      </c>
      <c r="F34" s="3">
        <f t="shared" si="9"/>
        <v>0.12500000000000083</v>
      </c>
      <c r="H34" s="3">
        <f t="shared" si="14"/>
        <v>7.8213288273622439</v>
      </c>
      <c r="I34" s="3">
        <f t="shared" si="10"/>
        <v>8.6248904443996147E-2</v>
      </c>
      <c r="K34" s="3">
        <f t="shared" si="11"/>
        <v>8.1029747864773398</v>
      </c>
      <c r="L34" s="3">
        <f>((C34-K34)^2)/K34</f>
        <v>0.15013663644060452</v>
      </c>
      <c r="M34" s="6"/>
      <c r="N34" s="6"/>
      <c r="P34" s="3"/>
      <c r="Q34" s="3"/>
    </row>
    <row r="35" spans="1:17">
      <c r="A35" s="6">
        <f t="shared" si="15"/>
        <v>834.75512465737404</v>
      </c>
      <c r="B35" s="6">
        <f t="shared" si="16"/>
        <v>1120.4415801647126</v>
      </c>
      <c r="C35">
        <v>6</v>
      </c>
      <c r="E35" s="3">
        <f t="shared" si="13"/>
        <v>8.0000000000000036</v>
      </c>
      <c r="F35" s="3">
        <f t="shared" si="9"/>
        <v>0.50000000000000155</v>
      </c>
      <c r="H35" s="3">
        <f t="shared" si="14"/>
        <v>7.7418053734681997</v>
      </c>
      <c r="I35" s="3">
        <f t="shared" si="10"/>
        <v>0.39188352234222656</v>
      </c>
      <c r="K35" s="3">
        <f t="shared" si="11"/>
        <v>8.2222210875539581</v>
      </c>
      <c r="L35" s="3">
        <f t="shared" si="12"/>
        <v>0.60060007014948669</v>
      </c>
      <c r="M35" s="6"/>
      <c r="N35" s="6"/>
      <c r="P35" s="3"/>
      <c r="Q35" s="3"/>
    </row>
    <row r="36" spans="1:17">
      <c r="A36" s="6">
        <f t="shared" si="15"/>
        <v>1120.4415801647126</v>
      </c>
      <c r="B36" s="6">
        <f t="shared" si="16"/>
        <v>1503.9013208541535</v>
      </c>
      <c r="C36">
        <v>7</v>
      </c>
      <c r="E36" s="3">
        <f t="shared" si="13"/>
        <v>8.0000000000000036</v>
      </c>
      <c r="F36" s="3">
        <f t="shared" si="9"/>
        <v>0.12500000000000083</v>
      </c>
      <c r="H36" s="3">
        <f t="shared" si="14"/>
        <v>7.6887713451380293</v>
      </c>
      <c r="I36" s="3">
        <f>((C36-H36)^2)/H36</f>
        <v>6.1701141130076582E-2</v>
      </c>
      <c r="K36" s="3">
        <f t="shared" si="11"/>
        <v>8.3137533036515343</v>
      </c>
      <c r="L36" s="3">
        <f>((C36-K36)^2)/K36</f>
        <v>0.20760151039089125</v>
      </c>
      <c r="M36" s="6"/>
      <c r="N36" s="6"/>
      <c r="P36" s="3"/>
      <c r="Q36" s="3"/>
    </row>
    <row r="37" spans="1:17">
      <c r="A37" s="6">
        <f t="shared" si="15"/>
        <v>1503.9013208541535</v>
      </c>
      <c r="B37" s="6">
        <f t="shared" si="16"/>
        <v>2046.6593273958399</v>
      </c>
      <c r="C37">
        <v>11</v>
      </c>
      <c r="E37" s="3">
        <f t="shared" si="13"/>
        <v>8.0000000000000036</v>
      </c>
      <c r="F37" s="3">
        <f t="shared" si="9"/>
        <v>1.1249999999999969</v>
      </c>
      <c r="H37" s="3">
        <f t="shared" si="14"/>
        <v>7.6592739115818453</v>
      </c>
      <c r="I37" s="3">
        <f t="shared" si="10"/>
        <v>1.4571160304061683</v>
      </c>
      <c r="K37" s="3">
        <f t="shared" si="11"/>
        <v>8.3808564447645892</v>
      </c>
      <c r="L37" s="3">
        <f t="shared" si="12"/>
        <v>0.81852171172988941</v>
      </c>
      <c r="M37" s="6"/>
      <c r="N37" s="6"/>
      <c r="P37" s="3"/>
      <c r="Q37" s="3"/>
    </row>
    <row r="38" spans="1:17">
      <c r="A38" s="6">
        <f t="shared" si="15"/>
        <v>2046.6593273958399</v>
      </c>
      <c r="B38" s="6">
        <f t="shared" si="16"/>
        <v>2878.2287693973444</v>
      </c>
      <c r="C38">
        <v>9</v>
      </c>
      <c r="E38" s="3">
        <f t="shared" si="13"/>
        <v>8.0000000000000036</v>
      </c>
      <c r="F38" s="3">
        <f t="shared" si="9"/>
        <v>0.12499999999999906</v>
      </c>
      <c r="H38" s="3">
        <f t="shared" si="14"/>
        <v>7.6552000535594438</v>
      </c>
      <c r="I38" s="3">
        <f>((C38-H38)^2)/H38</f>
        <v>0.23624293072597488</v>
      </c>
      <c r="K38" s="3">
        <f t="shared" si="11"/>
        <v>8.4222912987099718</v>
      </c>
      <c r="L38" s="3">
        <f t="shared" si="12"/>
        <v>3.962666829124404E-2</v>
      </c>
      <c r="M38" s="6"/>
      <c r="P38" s="3"/>
      <c r="Q38" s="3"/>
    </row>
    <row r="39" spans="1:17">
      <c r="A39" s="6">
        <f t="shared" si="15"/>
        <v>2878.2287693973444</v>
      </c>
      <c r="B39" s="6">
        <f t="shared" si="16"/>
        <v>4335.8500290124985</v>
      </c>
      <c r="C39">
        <v>9</v>
      </c>
      <c r="E39" s="3">
        <f>96*(NORMDIST(LN(B39),E$3,SQRT(E$4),TRUE)-NORMDIST(LN(A39),E$3,SQRT(E$4),TRUE))</f>
        <v>8.0000000000000036</v>
      </c>
      <c r="F39" s="3">
        <f t="shared" si="9"/>
        <v>0.12499999999999906</v>
      </c>
      <c r="H39" s="3">
        <f t="shared" si="14"/>
        <v>7.6860345248039792</v>
      </c>
      <c r="I39" s="3">
        <f t="shared" si="10"/>
        <v>0.22462887259163553</v>
      </c>
      <c r="K39" s="3">
        <f t="shared" si="11"/>
        <v>8.4298690403026697</v>
      </c>
      <c r="L39" s="3">
        <f t="shared" si="12"/>
        <v>3.8559236169786112E-2</v>
      </c>
    </row>
    <row r="40" spans="1:17">
      <c r="A40" s="6">
        <f t="shared" si="15"/>
        <v>4335.8500290124985</v>
      </c>
      <c r="B40" s="6">
        <f t="shared" si="16"/>
        <v>7753.9761262317206</v>
      </c>
      <c r="C40">
        <v>8</v>
      </c>
      <c r="E40" s="3">
        <f t="shared" si="13"/>
        <v>7.9999999999999929</v>
      </c>
      <c r="F40" s="3">
        <f t="shared" si="9"/>
        <v>6.3108872417681E-30</v>
      </c>
      <c r="H40" s="3">
        <f t="shared" si="14"/>
        <v>7.7839292946171028</v>
      </c>
      <c r="I40" s="3">
        <f>((C40-H40)^2)/H40</f>
        <v>5.9978126673052344E-3</v>
      </c>
      <c r="K40" s="3">
        <f t="shared" si="11"/>
        <v>8.3752373902795227</v>
      </c>
      <c r="L40" s="3">
        <f>((C40-K40)^2)/K40</f>
        <v>1.681183380272969E-2</v>
      </c>
    </row>
    <row r="41" spans="1:17">
      <c r="A41" s="6">
        <f t="shared" si="15"/>
        <v>7753.9761262317206</v>
      </c>
      <c r="B41" s="6"/>
      <c r="C41">
        <v>6</v>
      </c>
      <c r="E41" s="3">
        <f>96*(1-NORMDIST(LN(A41),E$3,SQRT(E$4),TRUE))</f>
        <v>7.9999999999999929</v>
      </c>
      <c r="F41" s="3">
        <f t="shared" si="9"/>
        <v>0.49999999999999689</v>
      </c>
      <c r="H41" s="3">
        <f>96*(1-NORMDIST(LN(A41),D$3,SQRT(D$4),TRUE))</f>
        <v>8.2254184633329253</v>
      </c>
      <c r="I41" s="3">
        <f>((C41-H41)^2)/H41</f>
        <v>0.60209548718039796</v>
      </c>
      <c r="K41" s="3">
        <f>96*(1-NORMDIST(LN(A41),C$3,SQRT(C$4),TRUE))</f>
        <v>8.0309393873434942</v>
      </c>
      <c r="L41" s="3">
        <f t="shared" si="12"/>
        <v>0.51360302900101418</v>
      </c>
      <c r="Q41" s="3"/>
    </row>
    <row r="43" spans="1:17">
      <c r="C43" s="6">
        <f>SUM(C30:C41)</f>
        <v>96</v>
      </c>
      <c r="E43" s="6">
        <f>SUM(E30:E41)</f>
        <v>96</v>
      </c>
      <c r="F43" s="3">
        <f>SUM(F30:F41)</f>
        <v>2.9999999999999889</v>
      </c>
      <c r="H43" s="6">
        <f>SUM(H30:H41)</f>
        <v>96.000000000000014</v>
      </c>
      <c r="I43" s="3">
        <f>SUM(I30:I41)</f>
        <v>3.7199756942209503</v>
      </c>
      <c r="J43" s="6"/>
      <c r="K43" s="6">
        <f>SUM(K30:K41)</f>
        <v>96</v>
      </c>
      <c r="L43" s="3">
        <f>SUM(L30:L41)</f>
        <v>3.0385296683002649</v>
      </c>
      <c r="Q43" s="9"/>
    </row>
    <row r="45" spans="1:17">
      <c r="F45" s="9">
        <f>CHIDIST(F43,9)</f>
        <v>0.96429497294311517</v>
      </c>
      <c r="I45" s="9">
        <f>CHIDIST(I43,9)</f>
        <v>0.92885801310846239</v>
      </c>
      <c r="L45" s="9">
        <f>CHIDIST(L43,9)</f>
        <v>0.96274777248294341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8"/>
  <sheetViews>
    <sheetView workbookViewId="0">
      <selection activeCell="B34" sqref="B34"/>
    </sheetView>
  </sheetViews>
  <sheetFormatPr defaultRowHeight="15"/>
  <cols>
    <col min="1" max="1" width="14.85546875" bestFit="1" customWidth="1"/>
    <col min="2" max="2" width="18.140625" customWidth="1"/>
    <col min="3" max="3" width="12" bestFit="1" customWidth="1"/>
    <col min="5" max="5" width="10.85546875" bestFit="1" customWidth="1"/>
    <col min="6" max="6" width="14.140625" customWidth="1"/>
    <col min="7" max="7" width="15.42578125" bestFit="1" customWidth="1"/>
    <col min="8" max="8" width="11.140625" customWidth="1"/>
    <col min="9" max="9" width="10.42578125" customWidth="1"/>
    <col min="10" max="10" width="10.28515625" bestFit="1" customWidth="1"/>
    <col min="11" max="11" width="10.85546875" bestFit="1" customWidth="1"/>
    <col min="12" max="12" width="15" customWidth="1"/>
    <col min="13" max="13" width="12.28515625" bestFit="1" customWidth="1"/>
    <col min="14" max="14" width="11.7109375" customWidth="1"/>
    <col min="15" max="15" width="10.85546875" bestFit="1" customWidth="1"/>
    <col min="16" max="16" width="11" customWidth="1"/>
    <col min="27" max="27" width="11" bestFit="1" customWidth="1"/>
    <col min="28" max="28" width="17" bestFit="1" customWidth="1"/>
  </cols>
  <sheetData>
    <row r="1" spans="1:28">
      <c r="A1" t="s">
        <v>60</v>
      </c>
      <c r="G1" s="21" t="s">
        <v>77</v>
      </c>
      <c r="H1" s="21"/>
      <c r="I1" s="36"/>
      <c r="J1" s="28"/>
      <c r="K1" s="16"/>
      <c r="L1" s="21" t="s">
        <v>80</v>
      </c>
      <c r="M1" s="22"/>
      <c r="Z1" s="3"/>
      <c r="AA1" s="3"/>
    </row>
    <row r="2" spans="1:28">
      <c r="B2" s="43"/>
      <c r="C2" s="41" t="s">
        <v>35</v>
      </c>
      <c r="D2" s="44" t="s">
        <v>3</v>
      </c>
      <c r="E2" s="45" t="s">
        <v>2</v>
      </c>
      <c r="G2" s="23"/>
      <c r="H2" s="37" t="s">
        <v>72</v>
      </c>
      <c r="I2" s="30" t="s">
        <v>75</v>
      </c>
      <c r="J2" s="31" t="s">
        <v>76</v>
      </c>
      <c r="L2" s="23" t="s">
        <v>90</v>
      </c>
      <c r="M2" s="56">
        <f>-96/E4+(E4^-2)*SUM(AA3:AA98)</f>
        <v>-1.4570161743776566E-10</v>
      </c>
      <c r="Y2" t="s">
        <v>87</v>
      </c>
      <c r="Z2" t="s">
        <v>38</v>
      </c>
      <c r="AA2" t="s">
        <v>88</v>
      </c>
      <c r="AB2" t="s">
        <v>91</v>
      </c>
    </row>
    <row r="3" spans="1:28">
      <c r="B3" s="23" t="s">
        <v>67</v>
      </c>
      <c r="C3" s="53">
        <v>0.49295407542079167</v>
      </c>
      <c r="D3" s="51">
        <f>(LN(-LN(1-0.75))-LN(-LN(1-0.25)))/(LN('X data'!E12)-LN('X data'!D12))</f>
        <v>0.80376767458104426</v>
      </c>
      <c r="E3" s="46">
        <v>0.71318433044635687</v>
      </c>
      <c r="G3" s="23" t="s">
        <v>73</v>
      </c>
      <c r="H3" s="38">
        <f>(C4^(1/C3))*EXP(GAMMALN((1/C3)+1))</f>
        <v>2989.8333333333353</v>
      </c>
      <c r="I3" s="38">
        <f>'X data'!D2</f>
        <v>2989.8333333333335</v>
      </c>
      <c r="J3" s="31">
        <f>H3-I3</f>
        <v>0</v>
      </c>
      <c r="L3" s="25" t="s">
        <v>89</v>
      </c>
      <c r="M3" s="57">
        <f>96/E3+SUM(Z3:Z98)-SUM(AB3:AB98)/E4</f>
        <v>2.3387406145047862E-7</v>
      </c>
      <c r="Y3">
        <f>'X data'!A2</f>
        <v>24</v>
      </c>
      <c r="Z3" s="3">
        <f>LN(Y3)</f>
        <v>3.1780538303479458</v>
      </c>
      <c r="AA3" s="6">
        <f>Y3^E$3</f>
        <v>9.6459505303496176</v>
      </c>
      <c r="AB3" s="6">
        <f>Z3*AA3</f>
        <v>30.655350030324399</v>
      </c>
    </row>
    <row r="4" spans="1:28">
      <c r="B4" s="25" t="s">
        <v>30</v>
      </c>
      <c r="C4" s="54">
        <v>36.245868416908934</v>
      </c>
      <c r="D4" s="52">
        <f>EXP(-LN(-LN(1-0.25))+D3*LN('X data'!D12))</f>
        <v>429.94262160752578</v>
      </c>
      <c r="E4" s="40">
        <v>245.44838287433879</v>
      </c>
      <c r="G4" s="25" t="s">
        <v>74</v>
      </c>
      <c r="H4" s="39">
        <f>(C4^(2/C3))*EXP(GAMMALN((2/C3)+1))</f>
        <v>55455693.645833395</v>
      </c>
      <c r="I4" s="39">
        <f>'X data'!D7</f>
        <v>55455693.645833336</v>
      </c>
      <c r="J4" s="40">
        <f>H4-I4</f>
        <v>5.9604644775390625E-8</v>
      </c>
      <c r="L4" s="49" t="s">
        <v>93</v>
      </c>
      <c r="Y4">
        <f>'X data'!A3</f>
        <v>26</v>
      </c>
      <c r="Z4" s="3">
        <f t="shared" ref="Z4:Z67" si="0">LN(Y4)</f>
        <v>3.2580965380214821</v>
      </c>
      <c r="AA4" s="6">
        <f t="shared" ref="AA4:AA67" si="1">Y4^E$3</f>
        <v>10.212611703019238</v>
      </c>
      <c r="AB4" s="6">
        <f t="shared" ref="AB4:AB67" si="2">Z4*AA4</f>
        <v>33.273674833764652</v>
      </c>
    </row>
    <row r="5" spans="1:28">
      <c r="G5" s="49" t="s">
        <v>84</v>
      </c>
      <c r="L5" s="50" t="s">
        <v>92</v>
      </c>
      <c r="Y5">
        <f>'X data'!A4</f>
        <v>73</v>
      </c>
      <c r="Z5" s="3">
        <f t="shared" si="0"/>
        <v>4.290459441148391</v>
      </c>
      <c r="AA5" s="6">
        <f t="shared" si="1"/>
        <v>21.32517807440798</v>
      </c>
      <c r="AB5" s="6">
        <f t="shared" si="2"/>
        <v>91.494811603514378</v>
      </c>
    </row>
    <row r="6" spans="1:28">
      <c r="G6" s="50" t="s">
        <v>85</v>
      </c>
      <c r="Y6">
        <f>'X data'!A5</f>
        <v>84</v>
      </c>
      <c r="Z6" s="3">
        <f t="shared" si="0"/>
        <v>4.4308167988433134</v>
      </c>
      <c r="AA6" s="6">
        <f t="shared" si="1"/>
        <v>23.570339294135888</v>
      </c>
      <c r="AB6" s="6">
        <f t="shared" si="2"/>
        <v>104.43585529889394</v>
      </c>
    </row>
    <row r="7" spans="1:28">
      <c r="Y7">
        <f>'X data'!A6</f>
        <v>102</v>
      </c>
      <c r="Z7" s="3">
        <f t="shared" si="0"/>
        <v>4.6249728132842707</v>
      </c>
      <c r="AA7" s="6">
        <f t="shared" si="1"/>
        <v>27.070867216189676</v>
      </c>
      <c r="AB7" s="6">
        <f t="shared" si="2"/>
        <v>125.20202490690569</v>
      </c>
    </row>
    <row r="8" spans="1:28">
      <c r="E8" t="s">
        <v>68</v>
      </c>
      <c r="H8" t="s">
        <v>69</v>
      </c>
      <c r="K8" t="s">
        <v>70</v>
      </c>
      <c r="R8" t="s">
        <v>35</v>
      </c>
      <c r="S8" t="s">
        <v>3</v>
      </c>
      <c r="T8" t="s">
        <v>2</v>
      </c>
      <c r="Y8">
        <f>'X data'!A7</f>
        <v>115</v>
      </c>
      <c r="Z8" s="3">
        <f t="shared" si="0"/>
        <v>4.7449321283632502</v>
      </c>
      <c r="AA8" s="6">
        <f t="shared" si="1"/>
        <v>29.488821017878909</v>
      </c>
      <c r="AB8" s="6">
        <f t="shared" si="2"/>
        <v>139.92245427528712</v>
      </c>
    </row>
    <row r="9" spans="1:28">
      <c r="B9" s="7" t="s">
        <v>47</v>
      </c>
      <c r="C9" s="8" t="s">
        <v>28</v>
      </c>
      <c r="E9" t="s">
        <v>27</v>
      </c>
      <c r="F9" t="s">
        <v>4</v>
      </c>
      <c r="H9" t="s">
        <v>27</v>
      </c>
      <c r="I9" t="s">
        <v>4</v>
      </c>
      <c r="J9" s="8"/>
      <c r="K9" t="s">
        <v>27</v>
      </c>
      <c r="L9" t="s">
        <v>4</v>
      </c>
      <c r="P9" s="7" t="s">
        <v>48</v>
      </c>
      <c r="R9" s="7"/>
      <c r="S9" s="8"/>
      <c r="U9" s="8"/>
      <c r="Y9">
        <f>'X data'!A8</f>
        <v>132</v>
      </c>
      <c r="Z9" s="3">
        <f t="shared" si="0"/>
        <v>4.8828019225863706</v>
      </c>
      <c r="AA9" s="6">
        <f t="shared" si="1"/>
        <v>32.53569583072025</v>
      </c>
      <c r="AB9" s="6">
        <f t="shared" si="2"/>
        <v>158.86535815492621</v>
      </c>
    </row>
    <row r="10" spans="1:28">
      <c r="A10" s="6">
        <v>0</v>
      </c>
      <c r="B10" s="6">
        <f>Exponential!B26</f>
        <v>260.14951530282821</v>
      </c>
      <c r="C10">
        <f t="array" ref="C10:C21">FREQUENCY('X data'!A2:A97,Weibull!B10:B21)</f>
        <v>12</v>
      </c>
      <c r="E10" s="3">
        <f>96*WEIBULL($B10,E$3,E$4^(1/E$3),TRUE)</f>
        <v>18.575877370944408</v>
      </c>
      <c r="F10" s="3">
        <f>(($C10-E10)^2)/E10</f>
        <v>2.3278665300265322</v>
      </c>
      <c r="H10" s="3">
        <f>96*WEIBULL($B10,D$3,D$4^(1/D$3),TRUE)</f>
        <v>17.650906624488314</v>
      </c>
      <c r="I10" s="3">
        <f>(($C10-H10)^2)/H10</f>
        <v>1.8091277891858215</v>
      </c>
      <c r="K10" s="3">
        <f>96*WEIBULL($B10,C$3,C$4^(1/C$3),TRUE)</f>
        <v>33.419429376273236</v>
      </c>
      <c r="L10" s="3">
        <f>(($C10-K10)^2)/K10</f>
        <v>13.728300074772822</v>
      </c>
      <c r="O10">
        <f>'X data'!U6</f>
        <v>0</v>
      </c>
      <c r="P10">
        <f>Exponential!B7</f>
        <v>1000</v>
      </c>
      <c r="Q10" s="3"/>
      <c r="R10" s="3">
        <f>WEIBULL($P10,C$3,C$4^(1/C$3),TRUE)</f>
        <v>0.56438878967530748</v>
      </c>
      <c r="S10" s="3">
        <f>WEIBULL($P10,D$3,D$4^(1/D$3),TRUE)</f>
        <v>0.45099221761633834</v>
      </c>
      <c r="T10" s="3">
        <f>WEIBULL($P10,E$3,E$4^(1/E$3),TRUE)</f>
        <v>0.42982636112714012</v>
      </c>
      <c r="V10" s="10"/>
      <c r="W10" s="3"/>
      <c r="Y10">
        <f>'X data'!A9</f>
        <v>159</v>
      </c>
      <c r="Z10" s="3">
        <f t="shared" si="0"/>
        <v>5.0689042022202315</v>
      </c>
      <c r="AA10" s="6">
        <f t="shared" si="1"/>
        <v>37.153688375399497</v>
      </c>
      <c r="AB10" s="6">
        <f t="shared" si="2"/>
        <v>188.32848713404348</v>
      </c>
    </row>
    <row r="11" spans="1:28">
      <c r="A11" s="6">
        <f>B10</f>
        <v>260.14951530282821</v>
      </c>
      <c r="B11" s="6">
        <f>Exponential!B27</f>
        <v>545.11106788779227</v>
      </c>
      <c r="C11">
        <v>18</v>
      </c>
      <c r="E11" s="3">
        <f>96*(WEIBULL($B11,E$3,E$4^(1/E$3),TRUE)-WEIBULL($A11,E$3,E$4^(1/E$3),TRUE))</f>
        <v>10.745704809185661</v>
      </c>
      <c r="F11" s="3">
        <f t="shared" ref="F11:F21" si="3">((C11-E11)^2)/E11</f>
        <v>4.8972868369217846</v>
      </c>
      <c r="H11" s="3">
        <f>96*(WEIBULL($B11,D$3,D$4^(1/D$3),TRUE)-WEIBULL($A11,D$3,D$4^(1/D$3),TRUE))</f>
        <v>11.919350933451202</v>
      </c>
      <c r="I11" s="3">
        <f>(($C11-H11)^2)/H11</f>
        <v>3.1020391359359869</v>
      </c>
      <c r="K11" s="3">
        <f>96*(WEIBULL($B11,C$3,C$4^(1/C$3),TRUE)-WEIBULL($A11,C$3,C$4^(1/C$3),TRUE))</f>
        <v>10.739908555635711</v>
      </c>
      <c r="L11" s="3">
        <f>(($C11-K11)^2)/K11</f>
        <v>4.9077631813608695</v>
      </c>
      <c r="M11" s="6"/>
      <c r="O11">
        <f>P10</f>
        <v>1000</v>
      </c>
      <c r="P11">
        <f>Exponential!B8</f>
        <v>2000</v>
      </c>
      <c r="Q11" s="3"/>
      <c r="R11" s="3">
        <f>(WEIBULL($P11,C$3,C$4^(1/C$3),TRUE)-WEIBULL($O11,C$3,C$4^(1/C$3),TRUE))</f>
        <v>0.12508691766376379</v>
      </c>
      <c r="S11" s="3">
        <f>(WEIBULL($P11,D$3,D$4^(1/D$3),TRUE)-WEIBULL($O11,D$3,D$4^(1/D$3),TRUE))</f>
        <v>0.1979374293788545</v>
      </c>
      <c r="T11" s="3">
        <f>(WEIBULL($P11,E$3,E$4^(1/E$3),TRUE)-WEIBULL($O11,E$3,E$4^(1/E$3),TRUE))</f>
        <v>0.17207238856352725</v>
      </c>
      <c r="V11" s="3"/>
      <c r="W11" s="3"/>
      <c r="Y11">
        <f>'X data'!A10</f>
        <v>207</v>
      </c>
      <c r="Z11" s="3">
        <f t="shared" si="0"/>
        <v>5.3327187932653688</v>
      </c>
      <c r="AA11" s="6">
        <f t="shared" si="1"/>
        <v>44.844972306593178</v>
      </c>
      <c r="AB11" s="6">
        <f t="shared" si="2"/>
        <v>239.14562660283445</v>
      </c>
    </row>
    <row r="12" spans="1:28">
      <c r="A12" s="6">
        <f>B11</f>
        <v>545.11106788779227</v>
      </c>
      <c r="B12" s="6">
        <f>Exponential!B28</f>
        <v>860.12144961875015</v>
      </c>
      <c r="C12">
        <v>10</v>
      </c>
      <c r="E12" s="3">
        <f t="shared" ref="E12:E20" si="4">96*(WEIBULL($B12,E$3,E$4^(1/E$3),TRUE)-WEIBULL($A12,E$3,E$4^(1/E$3),TRUE))</f>
        <v>8.7169948256325434</v>
      </c>
      <c r="F12" s="3">
        <f t="shared" si="3"/>
        <v>0.18883827630747954</v>
      </c>
      <c r="H12" s="3">
        <f t="shared" ref="H12:H20" si="5">96*(WEIBULL($B12,D$3,D$4^(1/D$3),TRUE)-WEIBULL($A12,D$3,D$4^(1/D$3),TRUE))</f>
        <v>9.9938979847173464</v>
      </c>
      <c r="I12" s="3">
        <f t="shared" ref="I12:I20" si="6">(($C12-H12)^2)/H12</f>
        <v>3.7257324986384343E-6</v>
      </c>
      <c r="K12" s="3">
        <f t="shared" ref="K12:K19" si="7">96*(WEIBULL($B12,C$3,C$4^(1/C$3),TRUE)-WEIBULL($A12,C$3,C$4^(1/C$3),TRUE))</f>
        <v>7.4587222637217181</v>
      </c>
      <c r="L12" s="3">
        <f t="shared" ref="L12:L20" si="8">(($C12-K12)^2)/K12</f>
        <v>0.86584435035408336</v>
      </c>
      <c r="M12" s="6"/>
      <c r="O12">
        <f t="shared" ref="O12:O20" si="9">P11</f>
        <v>2000</v>
      </c>
      <c r="P12">
        <f>Exponential!B9</f>
        <v>3000</v>
      </c>
      <c r="Q12" s="3"/>
      <c r="R12" s="3">
        <f t="shared" ref="R12:R19" si="10">(WEIBULL($P12,C$3,C$4^(1/C$3),TRUE)-WEIBULL($O12,C$3,C$4^(1/C$3),TRUE))</f>
        <v>7.0794913108985891E-2</v>
      </c>
      <c r="S12" s="3">
        <f t="shared" ref="S12:T19" si="11">(WEIBULL($P12,D$3,D$4^(1/D$3),TRUE)-WEIBULL($O12,D$3,D$4^(1/D$3),TRUE))</f>
        <v>0.116515072385034</v>
      </c>
      <c r="T12" s="3">
        <f t="shared" si="11"/>
        <v>0.10577813168776207</v>
      </c>
      <c r="V12" s="3"/>
      <c r="W12" s="3"/>
      <c r="Y12">
        <f>'X data'!A11</f>
        <v>240</v>
      </c>
      <c r="Z12" s="3">
        <f t="shared" si="0"/>
        <v>5.4806389233419912</v>
      </c>
      <c r="AA12" s="6">
        <f t="shared" si="1"/>
        <v>49.834414568893195</v>
      </c>
      <c r="AB12" s="6">
        <f t="shared" si="2"/>
        <v>273.12443220823724</v>
      </c>
    </row>
    <row r="13" spans="1:28">
      <c r="A13" s="6">
        <f t="shared" ref="A13:A21" si="12">B12</f>
        <v>860.12144961875015</v>
      </c>
      <c r="B13" s="6">
        <f>Exponential!B29</f>
        <v>1212.2730957253941</v>
      </c>
      <c r="C13">
        <v>8</v>
      </c>
      <c r="E13" s="3">
        <f t="shared" si="4"/>
        <v>7.5680633043864347</v>
      </c>
      <c r="F13" s="3">
        <f t="shared" si="3"/>
        <v>2.4652186631344712E-2</v>
      </c>
      <c r="H13" s="3">
        <f t="shared" si="5"/>
        <v>8.762874332917189</v>
      </c>
      <c r="I13" s="3">
        <f t="shared" si="6"/>
        <v>6.6413967120090373E-2</v>
      </c>
      <c r="K13" s="3">
        <f t="shared" si="7"/>
        <v>5.8832406006887652</v>
      </c>
      <c r="L13" s="3">
        <f t="shared" si="8"/>
        <v>0.7615990333708087</v>
      </c>
      <c r="M13" s="6"/>
      <c r="O13">
        <f t="shared" si="9"/>
        <v>3000</v>
      </c>
      <c r="P13">
        <f>Exponential!B10</f>
        <v>4000</v>
      </c>
      <c r="Q13" s="3"/>
      <c r="R13" s="3">
        <f t="shared" si="10"/>
        <v>4.6881824564675711E-2</v>
      </c>
      <c r="S13" s="3">
        <f t="shared" si="11"/>
        <v>7.3707353455288671E-2</v>
      </c>
      <c r="T13" s="3">
        <f t="shared" si="11"/>
        <v>7.1409777015262965E-2</v>
      </c>
      <c r="V13" s="3"/>
      <c r="W13" s="3"/>
      <c r="Y13">
        <f>'X data'!A12</f>
        <v>241</v>
      </c>
      <c r="Z13" s="3">
        <f t="shared" si="0"/>
        <v>5.4847969334906548</v>
      </c>
      <c r="AA13" s="6">
        <f t="shared" si="1"/>
        <v>49.982414254190793</v>
      </c>
      <c r="AB13" s="6">
        <f t="shared" si="2"/>
        <v>274.14339242984528</v>
      </c>
    </row>
    <row r="14" spans="1:28">
      <c r="A14" s="6">
        <f t="shared" si="12"/>
        <v>1212.2730957253941</v>
      </c>
      <c r="B14" s="6">
        <f>Exponential!B30</f>
        <v>1611.5097044406132</v>
      </c>
      <c r="C14">
        <v>7</v>
      </c>
      <c r="E14" s="3">
        <f t="shared" si="4"/>
        <v>6.8053187168066245</v>
      </c>
      <c r="F14" s="3">
        <f t="shared" si="3"/>
        <v>5.5692912562960916E-3</v>
      </c>
      <c r="H14" s="3">
        <f t="shared" si="5"/>
        <v>7.8519530623981453</v>
      </c>
      <c r="I14" s="3">
        <f t="shared" si="6"/>
        <v>9.2438660134819592E-2</v>
      </c>
      <c r="K14" s="3">
        <f t="shared" si="7"/>
        <v>4.9510290929342666</v>
      </c>
      <c r="L14" s="3">
        <f t="shared" si="8"/>
        <v>0.84796144381240723</v>
      </c>
      <c r="M14" s="6"/>
      <c r="O14">
        <f t="shared" si="9"/>
        <v>4000</v>
      </c>
      <c r="P14">
        <f>Exponential!B11</f>
        <v>5000</v>
      </c>
      <c r="Q14" s="3"/>
      <c r="R14" s="3">
        <f t="shared" si="10"/>
        <v>3.3589797291823653E-2</v>
      </c>
      <c r="S14" s="3">
        <f t="shared" si="11"/>
        <v>4.8511944677223195E-2</v>
      </c>
      <c r="T14" s="3">
        <f t="shared" si="11"/>
        <v>5.06594872073306E-2</v>
      </c>
      <c r="V14" s="3"/>
      <c r="W14" s="3"/>
      <c r="Y14">
        <f>'X data'!A13</f>
        <v>254</v>
      </c>
      <c r="Z14" s="3">
        <f t="shared" si="0"/>
        <v>5.5373342670185366</v>
      </c>
      <c r="AA14" s="6">
        <f t="shared" si="1"/>
        <v>51.890723263512363</v>
      </c>
      <c r="AB14" s="6">
        <f t="shared" si="2"/>
        <v>287.33628006742293</v>
      </c>
    </row>
    <row r="15" spans="1:28">
      <c r="A15" s="6">
        <f t="shared" si="12"/>
        <v>1611.5097044406132</v>
      </c>
      <c r="B15" s="6">
        <f>Exponential!B31</f>
        <v>2072.3945453441443</v>
      </c>
      <c r="C15">
        <v>10</v>
      </c>
      <c r="E15" s="3">
        <f t="shared" si="4"/>
        <v>6.2637759163057041</v>
      </c>
      <c r="F15" s="3">
        <f t="shared" si="3"/>
        <v>2.2285871318031347</v>
      </c>
      <c r="H15" s="3">
        <f t="shared" si="5"/>
        <v>7.1257186235871224</v>
      </c>
      <c r="I15" s="3">
        <f t="shared" si="6"/>
        <v>1.1593909144050696</v>
      </c>
      <c r="K15" s="3">
        <f>96*(WEIBULL($B15,C$3,C$4^(1/C$3),TRUE)-WEIBULL($A15,C$3,C$4^(1/C$3),TRUE))</f>
        <v>4.3474810179126102</v>
      </c>
      <c r="L15" s="3">
        <f t="shared" si="8"/>
        <v>7.3493065780420883</v>
      </c>
      <c r="M15" s="6"/>
      <c r="O15">
        <f t="shared" si="9"/>
        <v>5000</v>
      </c>
      <c r="P15">
        <f>Exponential!B12</f>
        <v>6000</v>
      </c>
      <c r="Q15" s="3"/>
      <c r="R15" s="3">
        <f t="shared" si="10"/>
        <v>2.5269386585610509E-2</v>
      </c>
      <c r="S15" s="3">
        <f t="shared" si="11"/>
        <v>3.2781251665930378E-2</v>
      </c>
      <c r="T15" s="3">
        <f t="shared" si="11"/>
        <v>3.7108475182628387E-2</v>
      </c>
      <c r="V15" s="3"/>
      <c r="W15" s="3"/>
      <c r="Y15">
        <f>'X data'!A14</f>
        <v>268</v>
      </c>
      <c r="Z15" s="3">
        <f t="shared" si="0"/>
        <v>5.5909869805108565</v>
      </c>
      <c r="AA15" s="6">
        <f t="shared" si="1"/>
        <v>53.914761367125443</v>
      </c>
      <c r="AB15" s="6">
        <f t="shared" si="2"/>
        <v>301.43672886094805</v>
      </c>
    </row>
    <row r="16" spans="1:28">
      <c r="A16" s="6">
        <f t="shared" si="12"/>
        <v>2072.3945453441443</v>
      </c>
      <c r="B16" s="6">
        <f>Exponential!B32</f>
        <v>2617.5056132319364</v>
      </c>
      <c r="C16">
        <v>5</v>
      </c>
      <c r="E16" s="3">
        <f t="shared" si="4"/>
        <v>5.8725915357854035</v>
      </c>
      <c r="F16" s="3">
        <f t="shared" si="3"/>
        <v>0.12965587401823223</v>
      </c>
      <c r="H16" s="3">
        <f t="shared" si="5"/>
        <v>6.5192242918846759</v>
      </c>
      <c r="I16" s="3">
        <f t="shared" si="6"/>
        <v>0.35403636164591151</v>
      </c>
      <c r="K16" s="3">
        <f>96*(WEIBULL($B16,C$3,C$4^(1/C$3),TRUE)-WEIBULL($A16,C$3,C$4^(1/C$3),TRUE))</f>
        <v>3.9464669690076697</v>
      </c>
      <c r="L16" s="3">
        <f t="shared" si="8"/>
        <v>0.28124696243713304</v>
      </c>
      <c r="M16" s="6"/>
      <c r="O16">
        <f t="shared" si="9"/>
        <v>6000</v>
      </c>
      <c r="P16">
        <f>Exponential!B13</f>
        <v>7000</v>
      </c>
      <c r="Q16" s="3"/>
      <c r="R16" s="3">
        <f>(WEIBULL($P16,C$3,C$4^(1/C$3),TRUE)-WEIBULL($O16,C$3,C$4^(1/C$3),TRUE))</f>
        <v>1.9661518999973482E-2</v>
      </c>
      <c r="S16" s="3">
        <f>(WEIBULL($P16,D$3,D$4^(1/D$3),TRUE)-WEIBULL($O16,D$3,D$4^(1/D$3),TRUE))</f>
        <v>2.2583020508791796E-2</v>
      </c>
      <c r="T16" s="3">
        <f>(WEIBULL($P16,E$3,E$4^(1/E$3),TRUE)-WEIBULL($O16,E$3,E$4^(1/E$3),TRUE))</f>
        <v>2.7812203645913747E-2</v>
      </c>
      <c r="V16" s="3"/>
      <c r="W16" s="3"/>
      <c r="Y16">
        <f>'X data'!A15</f>
        <v>272</v>
      </c>
      <c r="Z16" s="3">
        <f t="shared" si="0"/>
        <v>5.6058020662959978</v>
      </c>
      <c r="AA16" s="6">
        <f t="shared" si="1"/>
        <v>54.487438739825592</v>
      </c>
      <c r="AB16" s="6">
        <f t="shared" si="2"/>
        <v>305.44579667489091</v>
      </c>
    </row>
    <row r="17" spans="1:28">
      <c r="A17" s="6">
        <f t="shared" si="12"/>
        <v>2617.5056132319364</v>
      </c>
      <c r="B17" s="6">
        <f>Exponential!B33</f>
        <v>3284.6676410695377</v>
      </c>
      <c r="C17">
        <v>6</v>
      </c>
      <c r="E17" s="3">
        <f t="shared" si="4"/>
        <v>5.6016840175582772</v>
      </c>
      <c r="F17" s="3">
        <f t="shared" si="3"/>
        <v>2.8322843875380067E-2</v>
      </c>
      <c r="H17" s="3">
        <f t="shared" si="5"/>
        <v>5.9962749858431152</v>
      </c>
      <c r="I17" s="3">
        <f>(($C17-H17)^2)/H17</f>
        <v>2.3140583948787692E-6</v>
      </c>
      <c r="K17" s="3">
        <f t="shared" si="7"/>
        <v>3.6939141797118822</v>
      </c>
      <c r="L17" s="3">
        <f>(($C17-K17)^2)/K17</f>
        <v>1.439673893817619</v>
      </c>
      <c r="M17" s="6"/>
      <c r="O17">
        <f t="shared" si="9"/>
        <v>7000</v>
      </c>
      <c r="P17">
        <f>Exponential!B14</f>
        <v>8000</v>
      </c>
      <c r="Q17" s="3"/>
      <c r="R17" s="3">
        <f t="shared" si="10"/>
        <v>1.5684140246992606E-2</v>
      </c>
      <c r="S17" s="3">
        <f t="shared" si="11"/>
        <v>1.5792695602384277E-2</v>
      </c>
      <c r="T17" s="3">
        <f t="shared" si="11"/>
        <v>2.1212022901604177E-2</v>
      </c>
      <c r="V17" s="3"/>
      <c r="W17" s="3"/>
      <c r="Y17">
        <f>'X data'!A16</f>
        <v>282</v>
      </c>
      <c r="Z17" s="3">
        <f t="shared" si="0"/>
        <v>5.6419070709381138</v>
      </c>
      <c r="AA17" s="6">
        <f t="shared" si="1"/>
        <v>55.90868399411189</v>
      </c>
      <c r="AB17" s="6">
        <f t="shared" si="2"/>
        <v>315.43159955322443</v>
      </c>
    </row>
    <row r="18" spans="1:28">
      <c r="A18" s="6">
        <f t="shared" si="12"/>
        <v>3284.6676410695377</v>
      </c>
      <c r="B18" s="6">
        <f>Exponential!B34</f>
        <v>4144.7890906882876</v>
      </c>
      <c r="C18">
        <v>6</v>
      </c>
      <c r="E18" s="3">
        <f t="shared" si="4"/>
        <v>5.4490299691345427</v>
      </c>
      <c r="F18" s="3">
        <f t="shared" si="3"/>
        <v>5.5710461610857673E-2</v>
      </c>
      <c r="H18" s="3">
        <f t="shared" si="5"/>
        <v>5.5351545732928713</v>
      </c>
      <c r="I18" s="3">
        <f t="shared" si="6"/>
        <v>3.9037983107666943E-2</v>
      </c>
      <c r="K18" s="3">
        <f t="shared" si="7"/>
        <v>3.5774770283975634</v>
      </c>
      <c r="L18" s="3">
        <f t="shared" si="8"/>
        <v>1.640434725745868</v>
      </c>
      <c r="M18" s="6"/>
      <c r="O18">
        <f t="shared" si="9"/>
        <v>8000</v>
      </c>
      <c r="P18">
        <f>Exponential!B15</f>
        <v>9000</v>
      </c>
      <c r="Q18" s="3"/>
      <c r="R18" s="3">
        <f t="shared" si="10"/>
        <v>1.2755223617085587E-2</v>
      </c>
      <c r="S18" s="3">
        <f t="shared" si="11"/>
        <v>1.1179206617228155E-2</v>
      </c>
      <c r="T18" s="3">
        <f t="shared" si="11"/>
        <v>1.6404628058265924E-2</v>
      </c>
      <c r="V18" s="3"/>
      <c r="W18" s="3"/>
      <c r="Y18">
        <f>'X data'!A17</f>
        <v>300</v>
      </c>
      <c r="Z18" s="3">
        <f t="shared" si="0"/>
        <v>5.7037824746562009</v>
      </c>
      <c r="AA18" s="6">
        <f t="shared" si="1"/>
        <v>58.431100167383583</v>
      </c>
      <c r="AB18" s="6">
        <f t="shared" si="2"/>
        <v>333.27828510960347</v>
      </c>
    </row>
    <row r="19" spans="1:28">
      <c r="A19" s="6">
        <f t="shared" si="12"/>
        <v>4144.7890906882876</v>
      </c>
      <c r="B19" s="6">
        <f>Exponential!B35</f>
        <v>5357.062186413682</v>
      </c>
      <c r="C19">
        <v>3</v>
      </c>
      <c r="E19" s="3">
        <f t="shared" si="4"/>
        <v>5.4524801772422045</v>
      </c>
      <c r="F19" s="3">
        <f t="shared" si="3"/>
        <v>1.1031051602663675</v>
      </c>
      <c r="H19" s="3">
        <f t="shared" si="5"/>
        <v>5.1240901302710711</v>
      </c>
      <c r="I19" s="3">
        <f t="shared" si="6"/>
        <v>0.88049951636512258</v>
      </c>
      <c r="K19" s="3">
        <f t="shared" si="7"/>
        <v>3.6348913624229198</v>
      </c>
      <c r="L19" s="3">
        <f t="shared" si="8"/>
        <v>0.110893834750138</v>
      </c>
      <c r="M19" s="6"/>
      <c r="O19">
        <f t="shared" si="9"/>
        <v>9000</v>
      </c>
      <c r="P19">
        <f>Exponential!B16</f>
        <v>10000</v>
      </c>
      <c r="Q19" s="3"/>
      <c r="R19" s="3">
        <f t="shared" si="10"/>
        <v>1.0535041547267143E-2</v>
      </c>
      <c r="S19" s="3">
        <f t="shared" si="11"/>
        <v>7.9941452711180805E-3</v>
      </c>
      <c r="T19" s="3">
        <f t="shared" si="11"/>
        <v>1.2832494876310996E-2</v>
      </c>
      <c r="V19" s="3"/>
      <c r="W19" s="3"/>
      <c r="Y19">
        <f>'X data'!A18</f>
        <v>302</v>
      </c>
      <c r="Z19" s="3">
        <f t="shared" si="0"/>
        <v>5.7104270173748697</v>
      </c>
      <c r="AA19" s="6">
        <f t="shared" si="1"/>
        <v>58.708649619375102</v>
      </c>
      <c r="AB19" s="6">
        <f t="shared" si="2"/>
        <v>335.25145894007443</v>
      </c>
    </row>
    <row r="20" spans="1:28">
      <c r="A20" s="6">
        <f t="shared" si="12"/>
        <v>5357.062186413682</v>
      </c>
      <c r="B20" s="6">
        <f>Exponential!B36</f>
        <v>7429.4567317578258</v>
      </c>
      <c r="C20">
        <v>4</v>
      </c>
      <c r="E20" s="3">
        <f t="shared" si="4"/>
        <v>5.7770737249898936</v>
      </c>
      <c r="F20" s="3">
        <f t="shared" si="3"/>
        <v>0.54664198076422854</v>
      </c>
      <c r="H20" s="3">
        <f t="shared" si="5"/>
        <v>4.7679652287704002</v>
      </c>
      <c r="I20" s="3">
        <f t="shared" si="6"/>
        <v>0.12369439882691169</v>
      </c>
      <c r="K20" s="3">
        <f>96*(WEIBULL($B20,C$3,C$4^(1/C$3),TRUE)-WEIBULL($A20,C$3,C$4^(1/C$3),TRUE))</f>
        <v>4.0586388053418752</v>
      </c>
      <c r="L20" s="3">
        <f t="shared" si="8"/>
        <v>8.4720756313585955E-4</v>
      </c>
      <c r="M20" s="6"/>
      <c r="O20">
        <f t="shared" si="9"/>
        <v>10000</v>
      </c>
      <c r="P20">
        <f>Exponential!B17</f>
        <v>0</v>
      </c>
      <c r="Q20" s="3"/>
      <c r="R20" s="3">
        <f>(1-WEIBULL($O20,C$3,C$4^(1/C$3),TRUE))</f>
        <v>7.5352446698514153E-2</v>
      </c>
      <c r="S20" s="3">
        <f>(1-WEIBULL($O20,D$3,D$4^(1/D$3),TRUE))</f>
        <v>2.2005662821808603E-2</v>
      </c>
      <c r="T20" s="3">
        <f>(1-WEIBULL($O20,E$3,E$4^(1/E$3),TRUE))</f>
        <v>5.488402973425377E-2</v>
      </c>
      <c r="V20" s="3"/>
      <c r="W20" s="3"/>
      <c r="Y20">
        <f>'X data'!A19</f>
        <v>329</v>
      </c>
      <c r="Z20" s="3">
        <f t="shared" si="0"/>
        <v>5.7960577507653719</v>
      </c>
      <c r="AA20" s="6">
        <f t="shared" si="1"/>
        <v>62.40575921371375</v>
      </c>
      <c r="AB20" s="6">
        <f t="shared" si="2"/>
        <v>361.70738438304312</v>
      </c>
    </row>
    <row r="21" spans="1:28">
      <c r="A21" s="6">
        <f t="shared" si="12"/>
        <v>7429.4567317578258</v>
      </c>
      <c r="B21" s="6"/>
      <c r="C21">
        <v>7</v>
      </c>
      <c r="E21" s="3">
        <f>96*(1-WEIBULL($A21,E$3,E$4^(1/E$3),TRUE))</f>
        <v>9.1714056320283035</v>
      </c>
      <c r="F21" s="3">
        <f t="shared" si="3"/>
        <v>0.51409812279358191</v>
      </c>
      <c r="H21" s="3">
        <f>96*(1-WEIBULL($A21,D$3,D$4^(1/D$3),TRUE))</f>
        <v>4.7525892283785467</v>
      </c>
      <c r="I21" s="3">
        <f>(($C21-H21)^2)/H21</f>
        <v>1.06275862139328</v>
      </c>
      <c r="K21" s="3">
        <f>96*(1-WEIBULL($A21,C$3,C$4^(1/C$3),TRUE))</f>
        <v>10.288800747951782</v>
      </c>
      <c r="L21" s="3">
        <f>(($C21-K21)^2)/K21</f>
        <v>1.0512605525849468</v>
      </c>
      <c r="M21" s="6"/>
      <c r="Q21" s="3"/>
      <c r="R21" s="3"/>
      <c r="S21" s="3"/>
      <c r="T21" s="3"/>
      <c r="V21" s="3"/>
      <c r="W21" s="3"/>
      <c r="Y21">
        <f>'X data'!A20</f>
        <v>346</v>
      </c>
      <c r="Z21" s="3">
        <f t="shared" si="0"/>
        <v>5.8464387750577247</v>
      </c>
      <c r="AA21" s="6">
        <f t="shared" si="1"/>
        <v>64.688828683605749</v>
      </c>
      <c r="AB21" s="6">
        <f t="shared" si="2"/>
        <v>378.19927632889897</v>
      </c>
    </row>
    <row r="22" spans="1:28">
      <c r="Y22">
        <f>'X data'!A21</f>
        <v>359</v>
      </c>
      <c r="Z22" s="3">
        <f t="shared" si="0"/>
        <v>5.8833223884882786</v>
      </c>
      <c r="AA22" s="6">
        <f t="shared" si="1"/>
        <v>66.413034400758931</v>
      </c>
      <c r="AB22" s="6">
        <f t="shared" si="2"/>
        <v>390.72929217742723</v>
      </c>
    </row>
    <row r="23" spans="1:28">
      <c r="C23" s="6">
        <f>SUM(C10:C21)</f>
        <v>96</v>
      </c>
      <c r="E23" s="6">
        <f>SUM(E10:E21)</f>
        <v>96</v>
      </c>
      <c r="F23" s="3">
        <f>SUM(F10:F21)</f>
        <v>12.05033469627522</v>
      </c>
      <c r="H23" s="6">
        <f>SUM(H10:H21)</f>
        <v>96</v>
      </c>
      <c r="I23" s="3">
        <f>SUM(I10:I21)</f>
        <v>8.689443387911572</v>
      </c>
      <c r="J23" s="6"/>
      <c r="K23" s="6">
        <f>SUM(K10:K21)</f>
        <v>96.000000000000014</v>
      </c>
      <c r="L23" s="3">
        <f>SUM(L10:L21)</f>
        <v>32.985131838611927</v>
      </c>
      <c r="Q23" s="3"/>
      <c r="R23" s="3">
        <f>SUM(R10:R20)</f>
        <v>1</v>
      </c>
      <c r="S23" s="3">
        <f>SUM(S10:S20)</f>
        <v>1</v>
      </c>
      <c r="T23" s="3">
        <f>SUM(T10:T20)</f>
        <v>1</v>
      </c>
      <c r="U23" s="6"/>
      <c r="V23" s="6"/>
      <c r="W23" s="3"/>
      <c r="Y23">
        <f>'X data'!A22</f>
        <v>367</v>
      </c>
      <c r="Z23" s="3">
        <f t="shared" si="0"/>
        <v>5.9053618480545707</v>
      </c>
      <c r="AA23" s="6">
        <f t="shared" si="1"/>
        <v>67.465174786221468</v>
      </c>
      <c r="AB23" s="6">
        <f t="shared" si="2"/>
        <v>398.40626925488544</v>
      </c>
    </row>
    <row r="24" spans="1:28">
      <c r="Y24">
        <f>'X data'!A23</f>
        <v>375</v>
      </c>
      <c r="Z24" s="3">
        <f t="shared" si="0"/>
        <v>5.9269260259704106</v>
      </c>
      <c r="AA24" s="6">
        <f t="shared" si="1"/>
        <v>68.510757000082492</v>
      </c>
      <c r="AB24" s="6">
        <f t="shared" si="2"/>
        <v>406.0581887227234</v>
      </c>
    </row>
    <row r="25" spans="1:28">
      <c r="F25" s="9">
        <f>CHIDIST(F23,9)</f>
        <v>0.21048653209334897</v>
      </c>
      <c r="I25" s="9">
        <f>CHIDIST(I23,9)</f>
        <v>0.46642095528442962</v>
      </c>
      <c r="L25" s="9">
        <f>CHIDIST(L23,9)</f>
        <v>1.3435040815394376E-4</v>
      </c>
      <c r="Q25" s="9"/>
      <c r="W25" s="9"/>
      <c r="Y25">
        <f>'X data'!A24</f>
        <v>378</v>
      </c>
      <c r="Z25" s="3">
        <f t="shared" si="0"/>
        <v>5.934894195619588</v>
      </c>
      <c r="AA25" s="6">
        <f t="shared" si="1"/>
        <v>68.901196469451648</v>
      </c>
      <c r="AB25" s="6">
        <f t="shared" si="2"/>
        <v>408.92131099779346</v>
      </c>
    </row>
    <row r="26" spans="1:28">
      <c r="A26" t="s">
        <v>6</v>
      </c>
      <c r="B26">
        <v>12</v>
      </c>
      <c r="Y26">
        <f>'X data'!A25</f>
        <v>384</v>
      </c>
      <c r="Z26" s="3">
        <f t="shared" si="0"/>
        <v>5.9506425525877269</v>
      </c>
      <c r="AA26" s="6">
        <f t="shared" si="1"/>
        <v>69.679421104353295</v>
      </c>
      <c r="AB26" s="6">
        <f t="shared" si="2"/>
        <v>414.637328263244</v>
      </c>
    </row>
    <row r="27" spans="1:28">
      <c r="A27" t="s">
        <v>7</v>
      </c>
      <c r="B27">
        <f>96/B26</f>
        <v>8</v>
      </c>
      <c r="Y27">
        <f>'X data'!A26</f>
        <v>452</v>
      </c>
      <c r="Z27" s="3">
        <f t="shared" si="0"/>
        <v>6.1136821798322316</v>
      </c>
      <c r="AA27" s="6">
        <f t="shared" si="1"/>
        <v>78.271404502687545</v>
      </c>
      <c r="AB27" s="6">
        <f t="shared" si="2"/>
        <v>478.52649089852116</v>
      </c>
    </row>
    <row r="28" spans="1:28">
      <c r="E28" t="s">
        <v>68</v>
      </c>
      <c r="H28" t="s">
        <v>69</v>
      </c>
      <c r="K28" t="s">
        <v>70</v>
      </c>
      <c r="Y28">
        <f>'X data'!A27</f>
        <v>475</v>
      </c>
      <c r="Z28" s="3">
        <f t="shared" si="0"/>
        <v>6.1633148040346413</v>
      </c>
      <c r="AA28" s="6">
        <f t="shared" si="1"/>
        <v>81.091613130421862</v>
      </c>
      <c r="AB28" s="6">
        <f t="shared" si="2"/>
        <v>499.79313968977897</v>
      </c>
    </row>
    <row r="29" spans="1:28">
      <c r="B29" s="7" t="s">
        <v>71</v>
      </c>
      <c r="C29" s="8" t="s">
        <v>28</v>
      </c>
      <c r="E29" t="s">
        <v>27</v>
      </c>
      <c r="F29" t="s">
        <v>4</v>
      </c>
      <c r="H29" t="s">
        <v>27</v>
      </c>
      <c r="I29" t="s">
        <v>4</v>
      </c>
      <c r="J29" s="8"/>
      <c r="K29" t="s">
        <v>27</v>
      </c>
      <c r="L29" t="s">
        <v>4</v>
      </c>
      <c r="Y29">
        <f>'X data'!A28</f>
        <v>495</v>
      </c>
      <c r="Z29" s="3">
        <f t="shared" si="0"/>
        <v>6.2045577625686903</v>
      </c>
      <c r="AA29" s="6">
        <f t="shared" si="1"/>
        <v>83.512253835719406</v>
      </c>
      <c r="AB29" s="6">
        <f t="shared" si="2"/>
        <v>518.15660280601969</v>
      </c>
    </row>
    <row r="30" spans="1:28">
      <c r="A30" s="6">
        <v>0</v>
      </c>
      <c r="B30" s="6">
        <f>(E4*LN(12/11))^(1/E3)</f>
        <v>73.15183451898389</v>
      </c>
      <c r="C30">
        <f t="array" ref="C30:C41">FREQUENCY('X data'!A2:A97,Weibull!B30:B41)</f>
        <v>3</v>
      </c>
      <c r="E30" s="3">
        <f>96*WEIBULL($B30,E$3,E$4^(1/E$3),TRUE)</f>
        <v>7.9999999999999929</v>
      </c>
      <c r="F30" s="3">
        <f t="shared" ref="F30:F41" si="13">((C30-E30)^2)/E30</f>
        <v>3.1249999999999938</v>
      </c>
      <c r="H30" s="3">
        <f>96*WEIBULL($B30,D$3,D$4^(1/D$3),TRUE)</f>
        <v>6.7834250811983559</v>
      </c>
      <c r="I30" s="3">
        <f>((C30-H30)^2)/H30</f>
        <v>2.1101884628630745</v>
      </c>
      <c r="K30" s="3">
        <f>96*WEIBULL($B30,C$3,C$4^(1/C$3),TRUE)</f>
        <v>19.643768165149851</v>
      </c>
      <c r="L30" s="3">
        <f>((C30-K30)^2)/K30</f>
        <v>14.10192873415753</v>
      </c>
      <c r="N30" s="7"/>
      <c r="Y30">
        <f>'X data'!A29</f>
        <v>503</v>
      </c>
      <c r="Z30" s="3">
        <f t="shared" si="0"/>
        <v>6.2205901700997392</v>
      </c>
      <c r="AA30" s="6">
        <f t="shared" si="1"/>
        <v>84.472618078779618</v>
      </c>
      <c r="AB30" s="6">
        <f t="shared" si="2"/>
        <v>525.46953766344598</v>
      </c>
    </row>
    <row r="31" spans="1:28">
      <c r="A31" s="6">
        <f>B30</f>
        <v>73.15183451898389</v>
      </c>
      <c r="B31" s="6">
        <f>(-E$4*LN(EXP(-(B30^E$3)/E$4)-8/96))^(1/E$3)</f>
        <v>206.3890136957834</v>
      </c>
      <c r="C31">
        <v>5</v>
      </c>
      <c r="E31" s="3">
        <f>96*(WEIBULL($B31,E$3,E$4^(1/E$3),TRUE)-WEIBULL($A31,E$3,E$4^(1/E$3),TRUE))</f>
        <v>8.0000000000000036</v>
      </c>
      <c r="F31" s="3">
        <f t="shared" si="13"/>
        <v>1.1250000000000022</v>
      </c>
      <c r="H31" s="3">
        <f>96*(WEIBULL($B31,D$3,D$4^(1/D$3),TRUE)-WEIBULL($A31,D$3,D$4^(1/D$3),TRUE))</f>
        <v>8.1176515740791686</v>
      </c>
      <c r="I31" s="3">
        <f t="shared" ref="I31:I39" si="14">((C31-H31)^2)/H31</f>
        <v>1.1973600059892795</v>
      </c>
      <c r="K31" s="3">
        <f>96*(WEIBULL($B31,C$3,C$4^(1/C$3),TRUE)-WEIBULL($A31,C$3,C$4^(1/C$3),TRUE))</f>
        <v>10.820130406942223</v>
      </c>
      <c r="L31" s="3">
        <f t="shared" ref="L31:L39" si="15">((C31-K31)^2)/K31</f>
        <v>3.1306386041410237</v>
      </c>
      <c r="N31" s="6"/>
      <c r="P31" s="3"/>
      <c r="Q31" s="3"/>
      <c r="Y31">
        <f>'X data'!A30</f>
        <v>531</v>
      </c>
      <c r="Z31" s="3">
        <f t="shared" si="0"/>
        <v>6.2747620212419388</v>
      </c>
      <c r="AA31" s="6">
        <f t="shared" si="1"/>
        <v>87.800039526567133</v>
      </c>
      <c r="AB31" s="6">
        <f t="shared" si="2"/>
        <v>550.92435348484446</v>
      </c>
    </row>
    <row r="32" spans="1:28">
      <c r="A32" s="6">
        <f>B31</f>
        <v>206.3890136957834</v>
      </c>
      <c r="B32" s="6">
        <f>(-E$4*LN(EXP(-(B31^E$3)/E$4)-8/96))^(1/E$3)</f>
        <v>391.21861557817385</v>
      </c>
      <c r="C32">
        <v>16</v>
      </c>
      <c r="E32" s="3">
        <f t="shared" ref="E32:E40" si="16">96*(WEIBULL($B32,E$3,E$4^(1/E$3),TRUE)-WEIBULL($A32,E$3,E$4^(1/E$3),TRUE))</f>
        <v>8.0000000000000036</v>
      </c>
      <c r="F32" s="3">
        <f t="shared" si="13"/>
        <v>7.9999999999999893</v>
      </c>
      <c r="H32" s="3">
        <f>96*(WEIBULL($B32,D$3,D$4^(1/D$3),TRUE)-WEIBULL($A32,D$3,D$4^(1/D$3),TRUE))</f>
        <v>8.6906900065645303</v>
      </c>
      <c r="I32" s="3">
        <f t="shared" si="14"/>
        <v>6.1474995126716268</v>
      </c>
      <c r="K32" s="3">
        <f t="shared" ref="K32:K39" si="17">96*(WEIBULL($B32,C$3,C$4^(1/C$3),TRUE)-WEIBULL($A32,C$3,C$4^(1/C$3),TRUE))</f>
        <v>8.6456743417859236</v>
      </c>
      <c r="L32" s="3">
        <f t="shared" si="15"/>
        <v>6.2558574090235073</v>
      </c>
      <c r="M32" s="6"/>
      <c r="N32" s="6"/>
      <c r="P32" s="3"/>
      <c r="Q32" s="3"/>
      <c r="Y32">
        <f>'X data'!A31</f>
        <v>543</v>
      </c>
      <c r="Z32" s="3">
        <f t="shared" si="0"/>
        <v>6.2971093199339352</v>
      </c>
      <c r="AA32" s="6">
        <f t="shared" si="1"/>
        <v>89.210584609221456</v>
      </c>
      <c r="AB32" s="6">
        <f t="shared" si="2"/>
        <v>561.76880377948328</v>
      </c>
    </row>
    <row r="33" spans="1:28">
      <c r="A33" s="6">
        <f t="shared" ref="A33:A41" si="18">B32</f>
        <v>391.21861557817385</v>
      </c>
      <c r="B33" s="6">
        <f>(-E$4*LN(EXP(-(B32^E$3)/E$4)-8/96))^(1/E$3)</f>
        <v>632.99271068251824</v>
      </c>
      <c r="C33">
        <v>9</v>
      </c>
      <c r="E33" s="3">
        <f t="shared" si="16"/>
        <v>8.0000000000000036</v>
      </c>
      <c r="F33" s="3">
        <f t="shared" si="13"/>
        <v>0.12499999999999906</v>
      </c>
      <c r="H33" s="3">
        <f>96*(WEIBULL($B33,D$3,D$4^(1/D$3),TRUE)-WEIBULL($A33,D$3,D$4^(1/D$3),TRUE))</f>
        <v>9.0285999882129921</v>
      </c>
      <c r="I33" s="3">
        <f>((C33-H33)^2)/H33</f>
        <v>9.059647418770917E-5</v>
      </c>
      <c r="K33" s="3">
        <f t="shared" si="17"/>
        <v>7.4355938397952208</v>
      </c>
      <c r="L33" s="3">
        <f t="shared" si="15"/>
        <v>0.32914205466527507</v>
      </c>
      <c r="M33" s="6"/>
      <c r="N33" s="6"/>
      <c r="P33" s="3"/>
      <c r="Q33" s="3"/>
      <c r="Y33">
        <f>'X data'!A32</f>
        <v>563</v>
      </c>
      <c r="Z33" s="3">
        <f t="shared" si="0"/>
        <v>6.3332796281396906</v>
      </c>
      <c r="AA33" s="6">
        <f t="shared" si="1"/>
        <v>91.541808472845702</v>
      </c>
      <c r="AB33" s="6">
        <f t="shared" si="2"/>
        <v>579.75987072413898</v>
      </c>
    </row>
    <row r="34" spans="1:28">
      <c r="A34" s="6">
        <f t="shared" si="18"/>
        <v>632.99271068251824</v>
      </c>
      <c r="B34" s="6">
        <f>(-E$4*LN(EXP(-(B33^E$3)/E$4)-8/96))^(1/E$3)</f>
        <v>943.52073673575455</v>
      </c>
      <c r="C34">
        <v>9</v>
      </c>
      <c r="E34" s="3">
        <f>96*(WEIBULL($B34,E$3,E$4^(1/E$3),TRUE)-WEIBULL($A34,E$3,E$4^(1/E$3),TRUE))</f>
        <v>8.0000000000000142</v>
      </c>
      <c r="F34" s="3">
        <f t="shared" si="13"/>
        <v>0.12499999999999623</v>
      </c>
      <c r="H34" s="3">
        <f>96*(WEIBULL($B34,D$3,D$4^(1/D$3),TRUE)-WEIBULL($A34,D$3,D$4^(1/D$3),TRUE))</f>
        <v>9.2121176956726352</v>
      </c>
      <c r="I34" s="3">
        <f t="shared" si="14"/>
        <v>4.8842099399798618E-3</v>
      </c>
      <c r="K34" s="3">
        <f>96*(WEIBULL($B34,C$3,C$4^(1/C$3),TRUE)-WEIBULL($A34,C$3,C$4^(1/C$3),TRUE))</f>
        <v>6.6427383214546474</v>
      </c>
      <c r="L34" s="3">
        <f>((C34-K34)^2)/K34</f>
        <v>0.83650481958494993</v>
      </c>
      <c r="M34" s="6"/>
      <c r="N34" s="6"/>
      <c r="P34" s="3"/>
      <c r="Q34" s="3"/>
      <c r="Y34">
        <f>'X data'!A33</f>
        <v>594</v>
      </c>
      <c r="Z34" s="3">
        <f t="shared" si="0"/>
        <v>6.3868793193626452</v>
      </c>
      <c r="AA34" s="6">
        <f t="shared" si="1"/>
        <v>95.108871481561778</v>
      </c>
      <c r="AB34" s="6">
        <f t="shared" si="2"/>
        <v>607.44888435350663</v>
      </c>
    </row>
    <row r="35" spans="1:28">
      <c r="A35" s="6">
        <f t="shared" si="18"/>
        <v>943.52073673575455</v>
      </c>
      <c r="B35" s="6">
        <f>(-E$4*LN(EXP(-(B34^E$3)/E$4)-8/96))^(1/E$3)</f>
        <v>1342.5267626919194</v>
      </c>
      <c r="C35">
        <v>8</v>
      </c>
      <c r="E35" s="3">
        <f t="shared" si="16"/>
        <v>8.0000000000000142</v>
      </c>
      <c r="F35" s="3">
        <f t="shared" si="13"/>
        <v>2.5243548967072333E-29</v>
      </c>
      <c r="H35" s="3">
        <f>96*(WEIBULL($B35,D$3,D$4^(1/D$3),TRUE)-WEIBULL($A35,D$3,D$4^(1/D$3),TRUE))</f>
        <v>9.2636244814246957</v>
      </c>
      <c r="I35" s="3">
        <f t="shared" si="14"/>
        <v>0.17236739607241292</v>
      </c>
      <c r="K35" s="3">
        <f t="shared" si="17"/>
        <v>6.0862800490575424</v>
      </c>
      <c r="L35" s="3">
        <f t="shared" si="15"/>
        <v>0.60173439623474301</v>
      </c>
      <c r="M35" s="6"/>
      <c r="N35" s="6"/>
      <c r="P35" s="3"/>
      <c r="Q35" s="3"/>
      <c r="Y35">
        <f>'X data'!A34</f>
        <v>609</v>
      </c>
      <c r="Z35" s="3">
        <f t="shared" si="0"/>
        <v>6.4118182677098972</v>
      </c>
      <c r="AA35" s="6">
        <f t="shared" si="1"/>
        <v>96.815617414947397</v>
      </c>
      <c r="AB35" s="6">
        <f t="shared" si="2"/>
        <v>620.76414434077219</v>
      </c>
    </row>
    <row r="36" spans="1:28">
      <c r="A36" s="6">
        <f t="shared" si="18"/>
        <v>1342.5267626919194</v>
      </c>
      <c r="B36" s="6">
        <f t="shared" ref="B36:B40" si="19">(-E$4*LN(EXP(-(B35^E$3)/E$4)-8/96))^(1/E$3)</f>
        <v>1862.6166030147911</v>
      </c>
      <c r="C36">
        <v>11</v>
      </c>
      <c r="E36" s="3">
        <f t="shared" si="16"/>
        <v>8.0000000000000142</v>
      </c>
      <c r="F36" s="3">
        <f t="shared" si="13"/>
        <v>1.1249999999999873</v>
      </c>
      <c r="H36" s="3">
        <f t="shared" ref="H36:H39" si="20">96*(WEIBULL($B36,D$3,D$4^(1/D$3),TRUE)-WEIBULL($A36,D$3,D$4^(1/D$3),TRUE))</f>
        <v>9.1816131988733716</v>
      </c>
      <c r="I36" s="3">
        <f>((C36-H36)^2)/H36</f>
        <v>0.36012522929165214</v>
      </c>
      <c r="K36" s="3">
        <f>96*(WEIBULL($B36,C$3,C$4^(1/C$3),TRUE)-WEIBULL($A36,C$3,C$4^(1/C$3),TRUE))</f>
        <v>5.6891023404614316</v>
      </c>
      <c r="L36" s="3">
        <f>((C36-K36)^2)/K36</f>
        <v>4.9578355709109179</v>
      </c>
      <c r="M36" s="6"/>
      <c r="N36" s="6"/>
      <c r="P36" s="3"/>
      <c r="Q36" s="3"/>
      <c r="Y36">
        <f>'X data'!A35</f>
        <v>671</v>
      </c>
      <c r="Z36" s="3">
        <f t="shared" si="0"/>
        <v>6.508769136971682</v>
      </c>
      <c r="AA36" s="6">
        <f t="shared" si="1"/>
        <v>103.74668003965866</v>
      </c>
      <c r="AB36" s="6">
        <f t="shared" si="2"/>
        <v>675.26318910540635</v>
      </c>
    </row>
    <row r="37" spans="1:28">
      <c r="A37" s="6">
        <f t="shared" si="18"/>
        <v>1862.6166030147911</v>
      </c>
      <c r="B37" s="6">
        <f>(-E$4*LN(EXP(-(B36^E$3)/E$4)-8/96))^(1/E$3)</f>
        <v>2560.837320156445</v>
      </c>
      <c r="C37">
        <v>8</v>
      </c>
      <c r="E37" s="3">
        <f t="shared" si="16"/>
        <v>8.0000000000000142</v>
      </c>
      <c r="F37" s="3">
        <f t="shared" si="13"/>
        <v>2.5243548967072333E-29</v>
      </c>
      <c r="H37" s="3">
        <f t="shared" si="20"/>
        <v>8.946240896535933</v>
      </c>
      <c r="I37" s="3">
        <f t="shared" si="14"/>
        <v>0.10008358199071328</v>
      </c>
      <c r="K37" s="3">
        <f>96*(WEIBULL($B37,C$3,C$4^(1/C$3),TRUE)-WEIBULL($A37,C$3,C$4^(1/C$3),TRUE))</f>
        <v>5.4184829700246055</v>
      </c>
      <c r="L37" s="3">
        <f t="shared" si="15"/>
        <v>1.2299070077215208</v>
      </c>
      <c r="M37" s="6"/>
      <c r="N37" s="6"/>
      <c r="P37" s="3"/>
      <c r="Q37" s="3"/>
      <c r="Y37">
        <f>'X data'!A36</f>
        <v>687</v>
      </c>
      <c r="Z37" s="3">
        <f t="shared" si="0"/>
        <v>6.5323342922223491</v>
      </c>
      <c r="AA37" s="6">
        <f t="shared" si="1"/>
        <v>105.50501195291032</v>
      </c>
      <c r="AB37" s="6">
        <f t="shared" si="2"/>
        <v>689.19400758132497</v>
      </c>
    </row>
    <row r="38" spans="1:28">
      <c r="A38" s="6">
        <f t="shared" si="18"/>
        <v>2560.837320156445</v>
      </c>
      <c r="B38" s="6">
        <f t="shared" si="19"/>
        <v>3548.2628691321102</v>
      </c>
      <c r="C38">
        <v>12</v>
      </c>
      <c r="E38" s="3">
        <f t="shared" si="16"/>
        <v>8.0000000000000036</v>
      </c>
      <c r="F38" s="3">
        <f t="shared" si="13"/>
        <v>1.9999999999999956</v>
      </c>
      <c r="H38" s="3">
        <f>96*(WEIBULL($B38,D$3,D$4^(1/D$3),TRUE)-WEIBULL($A38,D$3,D$4^(1/D$3),TRUE))</f>
        <v>8.5135783504412039</v>
      </c>
      <c r="I38" s="3">
        <f>((C38-H38)^2)/H38</f>
        <v>1.4277352504640255</v>
      </c>
      <c r="K38" s="3">
        <f t="shared" si="17"/>
        <v>5.2718354029181214</v>
      </c>
      <c r="L38" s="3">
        <f t="shared" si="15"/>
        <v>8.5868004946377177</v>
      </c>
      <c r="M38" s="6"/>
      <c r="P38" s="3"/>
      <c r="Q38" s="3"/>
      <c r="Y38">
        <f>'X data'!A37</f>
        <v>691</v>
      </c>
      <c r="Z38" s="3">
        <f t="shared" si="0"/>
        <v>6.5381398237676702</v>
      </c>
      <c r="AA38" s="6">
        <f t="shared" si="1"/>
        <v>105.9427519821304</v>
      </c>
      <c r="AB38" s="6">
        <f t="shared" si="2"/>
        <v>692.66852577390807</v>
      </c>
    </row>
    <row r="39" spans="1:28">
      <c r="A39" s="6">
        <f t="shared" si="18"/>
        <v>3548.2628691321102</v>
      </c>
      <c r="B39" s="6">
        <f>(-E$4*LN(EXP(-(B38^E$3)/E$4)-8/96))^(1/E$3)</f>
        <v>5084.5279992105443</v>
      </c>
      <c r="C39">
        <v>4</v>
      </c>
      <c r="E39" s="3">
        <f>96*(WEIBULL($B39,E$3,E$4^(1/E$3),TRUE)-WEIBULL($A39,E$3,E$4^(1/E$3),TRUE))</f>
        <v>8.0000000000000249</v>
      </c>
      <c r="F39" s="3">
        <f t="shared" si="13"/>
        <v>2.0000000000000187</v>
      </c>
      <c r="H39" s="3">
        <f t="shared" si="20"/>
        <v>7.7933511345785185</v>
      </c>
      <c r="I39" s="3">
        <f t="shared" si="14"/>
        <v>1.8463832286938717</v>
      </c>
      <c r="K39" s="3">
        <f t="shared" si="17"/>
        <v>5.2889712759371434</v>
      </c>
      <c r="L39" s="3">
        <f t="shared" si="15"/>
        <v>0.31413423584847106</v>
      </c>
      <c r="Y39">
        <f>'X data'!A38</f>
        <v>716</v>
      </c>
      <c r="Z39" s="3">
        <f t="shared" si="0"/>
        <v>6.5736801669606457</v>
      </c>
      <c r="AA39" s="6">
        <f t="shared" si="1"/>
        <v>108.66238482184689</v>
      </c>
      <c r="AB39" s="6">
        <f t="shared" si="2"/>
        <v>714.31176399802041</v>
      </c>
    </row>
    <row r="40" spans="1:28">
      <c r="A40" s="6">
        <f t="shared" si="18"/>
        <v>5084.5279992105443</v>
      </c>
      <c r="B40" s="6">
        <f t="shared" si="19"/>
        <v>8042.6697756071308</v>
      </c>
      <c r="C40">
        <v>5</v>
      </c>
      <c r="E40" s="3">
        <f t="shared" si="16"/>
        <v>8.0000000000000249</v>
      </c>
      <c r="F40" s="3">
        <f t="shared" si="13"/>
        <v>1.1250000000000151</v>
      </c>
      <c r="H40" s="3">
        <f>96*(WEIBULL($B40,D$3,D$4^(1/D$3),TRUE)-WEIBULL($A40,D$3,D$4^(1/D$3),TRUE))</f>
        <v>6.5695862664416893</v>
      </c>
      <c r="I40" s="3">
        <f>((C40-H40)^2)/H40</f>
        <v>0.37500094342116486</v>
      </c>
      <c r="K40" s="3">
        <f>96*(WEIBULL($B40,C$3,C$4^(1/C$3),TRUE)-WEIBULL($A40,C$3,C$4^(1/C$3),TRUE))</f>
        <v>5.6451411473961315</v>
      </c>
      <c r="L40" s="3">
        <f>((C40-K40)^2)/K40</f>
        <v>7.3728377944203588E-2</v>
      </c>
      <c r="Y40">
        <f>'X data'!A39</f>
        <v>757</v>
      </c>
      <c r="Z40" s="3">
        <f t="shared" si="0"/>
        <v>6.6293632534374485</v>
      </c>
      <c r="AA40" s="6">
        <f t="shared" si="1"/>
        <v>113.06444808738367</v>
      </c>
      <c r="AB40" s="6">
        <f t="shared" si="2"/>
        <v>749.54529742068723</v>
      </c>
    </row>
    <row r="41" spans="1:28">
      <c r="A41" s="6">
        <f t="shared" si="18"/>
        <v>8042.6697756071308</v>
      </c>
      <c r="B41" s="6"/>
      <c r="C41">
        <v>6</v>
      </c>
      <c r="E41" s="3">
        <f>96*(1-WEIBULL($A41,E$3,E$4^(1/E$3),TRUE))</f>
        <v>7.9999999999998863</v>
      </c>
      <c r="F41" s="3">
        <f t="shared" si="13"/>
        <v>0.49999999999995026</v>
      </c>
      <c r="H41" s="3">
        <f>96*(1-WEIBULL($A41,D$3,D$4^(1/D$3),TRUE))</f>
        <v>3.8995213259769059</v>
      </c>
      <c r="I41" s="3">
        <f>((C41-H41)^2)/H41</f>
        <v>1.1314236520864573</v>
      </c>
      <c r="K41" s="3">
        <f>96*(1-WEIBULL($A41,C$3,C$4^(1/C$3),TRUE))</f>
        <v>9.4122817390771587</v>
      </c>
      <c r="L41" s="3">
        <f>((C41-K41)^2)/K41</f>
        <v>1.2370716250978968</v>
      </c>
      <c r="Q41" s="3"/>
      <c r="Y41">
        <f>'X data'!A40</f>
        <v>821</v>
      </c>
      <c r="Z41" s="3">
        <f t="shared" si="0"/>
        <v>6.7105231094524278</v>
      </c>
      <c r="AA41" s="6">
        <f t="shared" si="1"/>
        <v>119.8019461761865</v>
      </c>
      <c r="AB41" s="6">
        <f t="shared" si="2"/>
        <v>803.93372837267543</v>
      </c>
    </row>
    <row r="42" spans="1:28">
      <c r="Y42">
        <f>'X data'!A41</f>
        <v>829</v>
      </c>
      <c r="Z42" s="3">
        <f t="shared" si="0"/>
        <v>6.7202201551352951</v>
      </c>
      <c r="AA42" s="6">
        <f t="shared" si="1"/>
        <v>120.63334176448066</v>
      </c>
      <c r="AB42" s="6">
        <f t="shared" si="2"/>
        <v>810.68261470698735</v>
      </c>
    </row>
    <row r="43" spans="1:28">
      <c r="C43" s="6">
        <f>SUM(C30:C41)</f>
        <v>96</v>
      </c>
      <c r="E43" s="6">
        <f>SUM(E30:E41)</f>
        <v>96</v>
      </c>
      <c r="F43" s="3">
        <f>SUM(F30:F41)</f>
        <v>19.249999999999947</v>
      </c>
      <c r="H43" s="6">
        <f>SUM(H30:H41)</f>
        <v>96</v>
      </c>
      <c r="I43" s="3">
        <f>SUM(I30:I41)</f>
        <v>14.873142069958448</v>
      </c>
      <c r="J43" s="6"/>
      <c r="K43" s="6">
        <f>SUM(K30:K41)</f>
        <v>96</v>
      </c>
      <c r="L43" s="3">
        <f>SUM(L30:L41)</f>
        <v>41.655283329967759</v>
      </c>
      <c r="Q43" s="9"/>
      <c r="Y43">
        <f>'X data'!A42</f>
        <v>885</v>
      </c>
      <c r="Z43" s="3">
        <f t="shared" si="0"/>
        <v>6.7855876450079293</v>
      </c>
      <c r="AA43" s="6">
        <f t="shared" si="1"/>
        <v>126.39030543836327</v>
      </c>
      <c r="AB43" s="6">
        <f t="shared" si="2"/>
        <v>857.63249503133636</v>
      </c>
    </row>
    <row r="44" spans="1:28">
      <c r="Y44">
        <f>'X data'!A43</f>
        <v>893</v>
      </c>
      <c r="Z44" s="3">
        <f t="shared" si="0"/>
        <v>6.7945865808764987</v>
      </c>
      <c r="AA44" s="6">
        <f t="shared" si="1"/>
        <v>127.2040743367338</v>
      </c>
      <c r="AB44" s="6">
        <f t="shared" si="2"/>
        <v>864.29909652118806</v>
      </c>
    </row>
    <row r="45" spans="1:28">
      <c r="F45" s="9">
        <f>CHIDIST(F43,9)</f>
        <v>2.3149145628601396E-2</v>
      </c>
      <c r="I45" s="9">
        <f>CHIDIST(I43,9)</f>
        <v>9.4480007447818926E-2</v>
      </c>
      <c r="L45" s="9">
        <f>CHIDIST(L43,9)</f>
        <v>3.7993129242459852E-6</v>
      </c>
      <c r="Y45">
        <f>'X data'!A44</f>
        <v>968</v>
      </c>
      <c r="Z45" s="3">
        <f t="shared" si="0"/>
        <v>6.8752320872765766</v>
      </c>
      <c r="AA45" s="6">
        <f t="shared" si="1"/>
        <v>134.73471793108357</v>
      </c>
      <c r="AB45" s="6">
        <f t="shared" si="2"/>
        <v>926.33245598994449</v>
      </c>
    </row>
    <row r="46" spans="1:28">
      <c r="Y46">
        <f>'X data'!A45</f>
        <v>1053</v>
      </c>
      <c r="Z46" s="3">
        <f t="shared" si="0"/>
        <v>6.9593985121339754</v>
      </c>
      <c r="AA46" s="6">
        <f t="shared" si="1"/>
        <v>143.06999244696274</v>
      </c>
      <c r="AB46" s="6">
        <f t="shared" si="2"/>
        <v>995.68109256641162</v>
      </c>
    </row>
    <row r="47" spans="1:28">
      <c r="Y47">
        <f>'X data'!A46</f>
        <v>1081</v>
      </c>
      <c r="Z47" s="3">
        <f t="shared" si="0"/>
        <v>6.9856418176392081</v>
      </c>
      <c r="AA47" s="6">
        <f t="shared" si="1"/>
        <v>145.77295119675458</v>
      </c>
      <c r="AB47" s="6">
        <f t="shared" si="2"/>
        <v>1018.3176237607282</v>
      </c>
    </row>
    <row r="48" spans="1:28">
      <c r="Y48">
        <f>'X data'!A47</f>
        <v>1083</v>
      </c>
      <c r="Z48" s="3">
        <f t="shared" si="0"/>
        <v>6.9874902470009905</v>
      </c>
      <c r="AA48" s="6">
        <f t="shared" si="1"/>
        <v>145.96524615058991</v>
      </c>
      <c r="AB48" s="6">
        <f t="shared" si="2"/>
        <v>1019.9307338783458</v>
      </c>
    </row>
    <row r="49" spans="25:28">
      <c r="Y49">
        <f>'X data'!A48</f>
        <v>1150</v>
      </c>
      <c r="Z49" s="3">
        <f t="shared" si="0"/>
        <v>7.0475172213572961</v>
      </c>
      <c r="AA49" s="6">
        <f t="shared" si="1"/>
        <v>152.34974792055093</v>
      </c>
      <c r="AB49" s="6">
        <f t="shared" si="2"/>
        <v>1073.6874721395257</v>
      </c>
    </row>
    <row r="50" spans="25:28">
      <c r="Y50">
        <f>'X data'!A49</f>
        <v>1205</v>
      </c>
      <c r="Z50" s="3">
        <f t="shared" si="0"/>
        <v>7.0942348459247553</v>
      </c>
      <c r="AA50" s="6">
        <f t="shared" si="1"/>
        <v>157.51128848533378</v>
      </c>
      <c r="AB50" s="6">
        <f t="shared" si="2"/>
        <v>1117.4220713991615</v>
      </c>
    </row>
    <row r="51" spans="25:28">
      <c r="Y51">
        <f>'X data'!A50</f>
        <v>1262</v>
      </c>
      <c r="Z51" s="3">
        <f t="shared" si="0"/>
        <v>7.1404530431011581</v>
      </c>
      <c r="AA51" s="6">
        <f t="shared" si="1"/>
        <v>162.78970632829851</v>
      </c>
      <c r="AB51" s="6">
        <f t="shared" si="2"/>
        <v>1162.392253937443</v>
      </c>
    </row>
    <row r="52" spans="25:28">
      <c r="Y52">
        <f>'X data'!A51</f>
        <v>1270</v>
      </c>
      <c r="Z52" s="3">
        <f t="shared" si="0"/>
        <v>7.1467721794526371</v>
      </c>
      <c r="AA52" s="6">
        <f t="shared" si="1"/>
        <v>163.52500781785292</v>
      </c>
      <c r="AB52" s="6">
        <f t="shared" si="2"/>
        <v>1168.6759765174063</v>
      </c>
    </row>
    <row r="53" spans="25:28">
      <c r="Y53">
        <f>'X data'!A52</f>
        <v>1351</v>
      </c>
      <c r="Z53" s="3">
        <f t="shared" si="0"/>
        <v>7.2086003379601991</v>
      </c>
      <c r="AA53" s="6">
        <f t="shared" si="1"/>
        <v>170.89696063238972</v>
      </c>
      <c r="AB53" s="6">
        <f t="shared" si="2"/>
        <v>1231.9278881710154</v>
      </c>
    </row>
    <row r="54" spans="25:28">
      <c r="Y54">
        <f>'X data'!A53</f>
        <v>1385</v>
      </c>
      <c r="Z54" s="3">
        <f t="shared" si="0"/>
        <v>7.233455418621439</v>
      </c>
      <c r="AA54" s="6">
        <f t="shared" si="1"/>
        <v>173.95333255648157</v>
      </c>
      <c r="AB54" s="6">
        <f t="shared" si="2"/>
        <v>1258.2836759679387</v>
      </c>
    </row>
    <row r="55" spans="25:28">
      <c r="Y55">
        <f>'X data'!A54</f>
        <v>1498</v>
      </c>
      <c r="Z55" s="3">
        <f t="shared" si="0"/>
        <v>7.3118861640771646</v>
      </c>
      <c r="AA55" s="6">
        <f t="shared" si="1"/>
        <v>183.96079021211102</v>
      </c>
      <c r="AB55" s="6">
        <f t="shared" si="2"/>
        <v>1345.1003566846364</v>
      </c>
    </row>
    <row r="56" spans="25:28">
      <c r="Y56">
        <f>'X data'!A55</f>
        <v>1546</v>
      </c>
      <c r="Z56" s="3">
        <f t="shared" si="0"/>
        <v>7.3434262291473669</v>
      </c>
      <c r="AA56" s="6">
        <f t="shared" si="1"/>
        <v>188.14567285888592</v>
      </c>
      <c r="AB56" s="6">
        <f t="shared" si="2"/>
        <v>1381.6338689725228</v>
      </c>
    </row>
    <row r="57" spans="25:28">
      <c r="Y57">
        <f>'X data'!A56</f>
        <v>1565</v>
      </c>
      <c r="Z57" s="3">
        <f t="shared" si="0"/>
        <v>7.3556411029742534</v>
      </c>
      <c r="AA57" s="6">
        <f t="shared" si="1"/>
        <v>189.7918556389605</v>
      </c>
      <c r="AB57" s="6">
        <f t="shared" si="2"/>
        <v>1396.0407743476937</v>
      </c>
    </row>
    <row r="58" spans="25:28">
      <c r="Y58">
        <f>'X data'!A57</f>
        <v>1635</v>
      </c>
      <c r="Z58" s="3">
        <f t="shared" si="0"/>
        <v>7.399398083331354</v>
      </c>
      <c r="AA58" s="6">
        <f t="shared" si="1"/>
        <v>195.80803534072291</v>
      </c>
      <c r="AB58" s="6">
        <f t="shared" si="2"/>
        <v>1448.8616014010231</v>
      </c>
    </row>
    <row r="59" spans="25:28">
      <c r="Y59">
        <f>'X data'!A58</f>
        <v>1671</v>
      </c>
      <c r="Z59" s="3">
        <f t="shared" si="0"/>
        <v>7.4211775285953934</v>
      </c>
      <c r="AA59" s="6">
        <f t="shared" si="1"/>
        <v>198.87321812714185</v>
      </c>
      <c r="AB59" s="6">
        <f t="shared" si="2"/>
        <v>1475.8734574045952</v>
      </c>
    </row>
    <row r="60" spans="25:28">
      <c r="Y60">
        <f>'X data'!A59</f>
        <v>1706</v>
      </c>
      <c r="Z60" s="3">
        <f t="shared" si="0"/>
        <v>7.4419067280516247</v>
      </c>
      <c r="AA60" s="6">
        <f t="shared" si="1"/>
        <v>201.8351483811696</v>
      </c>
      <c r="AB60" s="6">
        <f t="shared" si="2"/>
        <v>1502.0383486951241</v>
      </c>
    </row>
    <row r="61" spans="25:28">
      <c r="Y61">
        <f>'X data'!A60</f>
        <v>1820</v>
      </c>
      <c r="Z61" s="3">
        <f t="shared" si="0"/>
        <v>7.506591780070841</v>
      </c>
      <c r="AA61" s="6">
        <f t="shared" si="1"/>
        <v>211.36439460686066</v>
      </c>
      <c r="AB61" s="6">
        <f t="shared" si="2"/>
        <v>1586.6262271555099</v>
      </c>
    </row>
    <row r="62" spans="25:28">
      <c r="Y62">
        <f>'X data'!A61</f>
        <v>1829</v>
      </c>
      <c r="Z62" s="3">
        <f t="shared" si="0"/>
        <v>7.511524648390866</v>
      </c>
      <c r="AA62" s="6">
        <f t="shared" si="1"/>
        <v>212.1092934548808</v>
      </c>
      <c r="AB62" s="6">
        <f t="shared" si="2"/>
        <v>1593.2641859391085</v>
      </c>
    </row>
    <row r="63" spans="25:28">
      <c r="Y63">
        <f>'X data'!A62</f>
        <v>1855</v>
      </c>
      <c r="Z63" s="3">
        <f t="shared" si="0"/>
        <v>7.5256399750415355</v>
      </c>
      <c r="AA63" s="6">
        <f t="shared" si="1"/>
        <v>214.25534545473153</v>
      </c>
      <c r="AB63" s="6">
        <f t="shared" si="2"/>
        <v>1612.4085926204614</v>
      </c>
    </row>
    <row r="64" spans="25:28">
      <c r="Y64">
        <f>'X data'!A63</f>
        <v>1873</v>
      </c>
      <c r="Z64" s="3">
        <f t="shared" si="0"/>
        <v>7.5352967024440884</v>
      </c>
      <c r="AA64" s="6">
        <f t="shared" si="1"/>
        <v>215.73602060451921</v>
      </c>
      <c r="AB64" s="6">
        <f t="shared" si="2"/>
        <v>1625.6349246596435</v>
      </c>
    </row>
    <row r="65" spans="25:28">
      <c r="Y65">
        <f>'X data'!A64</f>
        <v>1914</v>
      </c>
      <c r="Z65" s="3">
        <f t="shared" si="0"/>
        <v>7.5569505720128998</v>
      </c>
      <c r="AA65" s="6">
        <f t="shared" si="1"/>
        <v>219.09353386631147</v>
      </c>
      <c r="AB65" s="6">
        <f t="shared" si="2"/>
        <v>1655.6790060753501</v>
      </c>
    </row>
    <row r="66" spans="25:28">
      <c r="Y66">
        <f>'X data'!A65</f>
        <v>2030</v>
      </c>
      <c r="Z66" s="3">
        <f t="shared" si="0"/>
        <v>7.6157910720358331</v>
      </c>
      <c r="AA66" s="6">
        <f t="shared" si="1"/>
        <v>228.48323927028721</v>
      </c>
      <c r="AB66" s="6">
        <f t="shared" si="2"/>
        <v>1740.0806137444804</v>
      </c>
    </row>
    <row r="67" spans="25:28">
      <c r="Y67">
        <f>'X data'!A66</f>
        <v>2066</v>
      </c>
      <c r="Z67" s="3">
        <f t="shared" si="0"/>
        <v>7.633369649679584</v>
      </c>
      <c r="AA67" s="6">
        <f t="shared" si="1"/>
        <v>231.36571088804683</v>
      </c>
      <c r="AB67" s="6">
        <f t="shared" si="2"/>
        <v>1766.099995469358</v>
      </c>
    </row>
    <row r="68" spans="25:28">
      <c r="Y68">
        <f>'X data'!A67</f>
        <v>2240</v>
      </c>
      <c r="Z68" s="3">
        <f t="shared" ref="Z68:Z98" si="21">LN(Y68)</f>
        <v>7.7142311448490855</v>
      </c>
      <c r="AA68" s="6">
        <f t="shared" ref="AA68:AA98" si="22">Y68^E$3</f>
        <v>245.1006086854197</v>
      </c>
      <c r="AB68" s="6">
        <f t="shared" ref="AB68:AB98" si="23">Z68*AA68</f>
        <v>1890.7627491425328</v>
      </c>
    </row>
    <row r="69" spans="25:28">
      <c r="Y69">
        <f>'X data'!A68</f>
        <v>2413</v>
      </c>
      <c r="Z69" s="3">
        <f t="shared" si="21"/>
        <v>7.7886260656250315</v>
      </c>
      <c r="AA69" s="6">
        <f t="shared" si="22"/>
        <v>258.45615481910374</v>
      </c>
      <c r="AB69" s="6">
        <f t="shared" si="23"/>
        <v>2013.0183442452901</v>
      </c>
    </row>
    <row r="70" spans="25:28">
      <c r="Y70">
        <f>'X data'!A69</f>
        <v>2421</v>
      </c>
      <c r="Z70" s="3">
        <f t="shared" si="21"/>
        <v>7.7919359569380582</v>
      </c>
      <c r="AA70" s="6">
        <f t="shared" si="22"/>
        <v>259.06697741591739</v>
      </c>
      <c r="AB70" s="6">
        <f t="shared" si="23"/>
        <v>2018.6332965823467</v>
      </c>
    </row>
    <row r="71" spans="25:28">
      <c r="Y71">
        <f>'X data'!A70</f>
        <v>2521</v>
      </c>
      <c r="Z71" s="3">
        <f t="shared" si="21"/>
        <v>7.8324109271879196</v>
      </c>
      <c r="AA71" s="6">
        <f t="shared" si="22"/>
        <v>266.65421466071325</v>
      </c>
      <c r="AB71" s="6">
        <f t="shared" si="23"/>
        <v>2088.5453846892838</v>
      </c>
    </row>
    <row r="72" spans="25:28">
      <c r="Y72">
        <f>'X data'!A71</f>
        <v>2586</v>
      </c>
      <c r="Z72" s="3">
        <f t="shared" si="21"/>
        <v>7.8578675593318028</v>
      </c>
      <c r="AA72" s="6">
        <f t="shared" si="22"/>
        <v>271.53960786015438</v>
      </c>
      <c r="AB72" s="6">
        <f t="shared" si="23"/>
        <v>2133.7222756779861</v>
      </c>
    </row>
    <row r="73" spans="25:28">
      <c r="Y73">
        <f>'X data'!A72</f>
        <v>2727</v>
      </c>
      <c r="Z73" s="3">
        <f t="shared" si="21"/>
        <v>7.9109573828455888</v>
      </c>
      <c r="AA73" s="6">
        <f t="shared" si="22"/>
        <v>282.01798465429596</v>
      </c>
      <c r="AB73" s="6">
        <f t="shared" si="23"/>
        <v>2231.0322577961365</v>
      </c>
    </row>
    <row r="74" spans="25:28">
      <c r="Y74">
        <f>'X data'!A73</f>
        <v>2797</v>
      </c>
      <c r="Z74" s="3">
        <f t="shared" si="21"/>
        <v>7.9363026932019594</v>
      </c>
      <c r="AA74" s="6">
        <f t="shared" si="22"/>
        <v>287.16205916356432</v>
      </c>
      <c r="AB74" s="6">
        <f t="shared" si="23"/>
        <v>2279.0050235252161</v>
      </c>
    </row>
    <row r="75" spans="25:28">
      <c r="Y75">
        <f>'X data'!A74</f>
        <v>2850</v>
      </c>
      <c r="Z75" s="3">
        <f t="shared" si="21"/>
        <v>7.9550742732626958</v>
      </c>
      <c r="AA75" s="6">
        <f t="shared" si="22"/>
        <v>291.03231794286694</v>
      </c>
      <c r="AB75" s="6">
        <f t="shared" si="23"/>
        <v>2315.1837051553102</v>
      </c>
    </row>
    <row r="76" spans="25:28">
      <c r="Y76">
        <f>'X data'!A75</f>
        <v>2989</v>
      </c>
      <c r="Z76" s="3">
        <f t="shared" si="21"/>
        <v>8.0026941622839374</v>
      </c>
      <c r="AA76" s="6">
        <f t="shared" si="22"/>
        <v>301.08604205250458</v>
      </c>
      <c r="AB76" s="6">
        <f t="shared" si="23"/>
        <v>2409.4995110787545</v>
      </c>
    </row>
    <row r="77" spans="25:28">
      <c r="Y77">
        <f>'X data'!A76</f>
        <v>3110</v>
      </c>
      <c r="Z77" s="3">
        <f t="shared" si="21"/>
        <v>8.0423780051732798</v>
      </c>
      <c r="AA77" s="6">
        <f t="shared" si="22"/>
        <v>309.72907780865</v>
      </c>
      <c r="AB77" s="6">
        <f t="shared" si="23"/>
        <v>2490.9583229308901</v>
      </c>
    </row>
    <row r="78" spans="25:28">
      <c r="Y78">
        <f>'X data'!A77</f>
        <v>3166</v>
      </c>
      <c r="Z78" s="3">
        <f t="shared" si="21"/>
        <v>8.0602242404409576</v>
      </c>
      <c r="AA78" s="6">
        <f t="shared" si="22"/>
        <v>313.69639653930619</v>
      </c>
      <c r="AB78" s="6">
        <f t="shared" si="23"/>
        <v>2528.4632995250945</v>
      </c>
    </row>
    <row r="79" spans="25:28">
      <c r="Y79">
        <f>'X data'!A78</f>
        <v>3383</v>
      </c>
      <c r="Z79" s="3">
        <f t="shared" si="21"/>
        <v>8.1265181687807093</v>
      </c>
      <c r="AA79" s="6">
        <f t="shared" si="22"/>
        <v>328.8841032878405</v>
      </c>
      <c r="AB79" s="6">
        <f t="shared" si="23"/>
        <v>2672.6826407917874</v>
      </c>
    </row>
    <row r="80" spans="25:28">
      <c r="Y80">
        <f>'X data'!A79</f>
        <v>3443</v>
      </c>
      <c r="Z80" s="3">
        <f t="shared" si="21"/>
        <v>8.1440984633385245</v>
      </c>
      <c r="AA80" s="6">
        <f t="shared" si="22"/>
        <v>333.0336079508769</v>
      </c>
      <c r="AB80" s="6">
        <f t="shared" si="23"/>
        <v>2712.2584947528212</v>
      </c>
    </row>
    <row r="81" spans="25:28">
      <c r="Y81">
        <f>'X data'!A80</f>
        <v>3512</v>
      </c>
      <c r="Z81" s="3">
        <f t="shared" si="21"/>
        <v>8.1639409547550077</v>
      </c>
      <c r="AA81" s="6">
        <f t="shared" si="22"/>
        <v>337.77998906632058</v>
      </c>
      <c r="AB81" s="6">
        <f t="shared" si="23"/>
        <v>2757.6158864352333</v>
      </c>
    </row>
    <row r="82" spans="25:28">
      <c r="Y82">
        <f>'X data'!A81</f>
        <v>3515</v>
      </c>
      <c r="Z82" s="3">
        <f t="shared" si="21"/>
        <v>8.1647948042447656</v>
      </c>
      <c r="AA82" s="6">
        <f t="shared" si="22"/>
        <v>337.98574353306157</v>
      </c>
      <c r="AB82" s="6">
        <f t="shared" si="23"/>
        <v>2759.5842427075449</v>
      </c>
    </row>
    <row r="83" spans="25:28">
      <c r="Y83">
        <f>'X data'!A82</f>
        <v>3531</v>
      </c>
      <c r="Z83" s="3">
        <f t="shared" si="21"/>
        <v>8.1693363959283865</v>
      </c>
      <c r="AA83" s="6">
        <f t="shared" si="22"/>
        <v>339.0822514922445</v>
      </c>
      <c r="AB83" s="6">
        <f t="shared" si="23"/>
        <v>2770.0769783289352</v>
      </c>
    </row>
    <row r="84" spans="25:28">
      <c r="Y84">
        <f>'X data'!A83</f>
        <v>4068</v>
      </c>
      <c r="Z84" s="3">
        <f t="shared" si="21"/>
        <v>8.3109067571684498</v>
      </c>
      <c r="AA84" s="6">
        <f t="shared" si="22"/>
        <v>375.10593185033611</v>
      </c>
      <c r="AB84" s="6">
        <f t="shared" si="23"/>
        <v>3117.4704236689263</v>
      </c>
    </row>
    <row r="85" spans="25:28">
      <c r="Y85">
        <f>'X data'!A84</f>
        <v>4527</v>
      </c>
      <c r="Z85" s="3">
        <f t="shared" si="21"/>
        <v>8.4178147474359584</v>
      </c>
      <c r="AA85" s="6">
        <f t="shared" si="22"/>
        <v>404.82447353030722</v>
      </c>
      <c r="AB85" s="6">
        <f t="shared" si="23"/>
        <v>3407.7374234064177</v>
      </c>
    </row>
    <row r="86" spans="25:28">
      <c r="Y86">
        <f>'X data'!A85</f>
        <v>5006</v>
      </c>
      <c r="Z86" s="3">
        <f t="shared" si="21"/>
        <v>8.518392471991719</v>
      </c>
      <c r="AA86" s="6">
        <f t="shared" si="22"/>
        <v>434.92953593741169</v>
      </c>
      <c r="AB86" s="6">
        <f t="shared" si="23"/>
        <v>3704.9004847760993</v>
      </c>
    </row>
    <row r="87" spans="25:28">
      <c r="Y87">
        <f>'X data'!A86</f>
        <v>5065</v>
      </c>
      <c r="Z87" s="3">
        <f t="shared" si="21"/>
        <v>8.5301094166827838</v>
      </c>
      <c r="AA87" s="6">
        <f t="shared" si="22"/>
        <v>438.57918321664152</v>
      </c>
      <c r="AB87" s="6">
        <f t="shared" si="23"/>
        <v>3741.1284207173176</v>
      </c>
    </row>
    <row r="88" spans="25:28">
      <c r="Y88">
        <f>'X data'!A87</f>
        <v>5481</v>
      </c>
      <c r="Z88" s="3">
        <f t="shared" si="21"/>
        <v>8.6090428450461172</v>
      </c>
      <c r="AA88" s="6">
        <f t="shared" si="22"/>
        <v>463.97675650310515</v>
      </c>
      <c r="AB88" s="6">
        <f t="shared" si="23"/>
        <v>3994.3957758407619</v>
      </c>
    </row>
    <row r="89" spans="25:28">
      <c r="Y89">
        <f>'X data'!A88</f>
        <v>6046</v>
      </c>
      <c r="Z89" s="3">
        <f t="shared" si="21"/>
        <v>8.7071521753394041</v>
      </c>
      <c r="AA89" s="6">
        <f t="shared" si="22"/>
        <v>497.6039573484241</v>
      </c>
      <c r="AB89" s="6">
        <f t="shared" si="23"/>
        <v>4332.713379683827</v>
      </c>
    </row>
    <row r="90" spans="25:28">
      <c r="Y90">
        <f>'X data'!A89</f>
        <v>7003</v>
      </c>
      <c r="Z90" s="3">
        <f t="shared" si="21"/>
        <v>8.8540939076555176</v>
      </c>
      <c r="AA90" s="6">
        <f t="shared" si="22"/>
        <v>552.58155604009255</v>
      </c>
      <c r="AB90" s="6">
        <f t="shared" si="23"/>
        <v>4892.6089888173892</v>
      </c>
    </row>
    <row r="91" spans="25:28">
      <c r="Y91">
        <f>'X data'!A90</f>
        <v>7245</v>
      </c>
      <c r="Z91" s="3">
        <f t="shared" si="21"/>
        <v>8.8880668547547828</v>
      </c>
      <c r="AA91" s="6">
        <f t="shared" si="22"/>
        <v>566.13355245517482</v>
      </c>
      <c r="AB91" s="6">
        <f t="shared" si="23"/>
        <v>5031.8328629414173</v>
      </c>
    </row>
    <row r="92" spans="25:28">
      <c r="Y92">
        <f>'X data'!A91</f>
        <v>7477</v>
      </c>
      <c r="Z92" s="3">
        <f t="shared" si="21"/>
        <v>8.9195869209999152</v>
      </c>
      <c r="AA92" s="6">
        <f t="shared" si="22"/>
        <v>579.00413901853415</v>
      </c>
      <c r="AB92" s="6">
        <f t="shared" si="23"/>
        <v>5164.4777455945341</v>
      </c>
    </row>
    <row r="93" spans="25:28">
      <c r="Y93">
        <f>'X data'!A92</f>
        <v>8738</v>
      </c>
      <c r="Z93" s="3">
        <f t="shared" si="21"/>
        <v>9.0754366095113816</v>
      </c>
      <c r="AA93" s="6">
        <f t="shared" si="22"/>
        <v>647.07304224579923</v>
      </c>
      <c r="AB93" s="6">
        <f t="shared" si="23"/>
        <v>5872.4703766254315</v>
      </c>
    </row>
    <row r="94" spans="25:28">
      <c r="Y94">
        <f>'X data'!A93</f>
        <v>9197</v>
      </c>
      <c r="Z94" s="3">
        <f t="shared" si="21"/>
        <v>9.1266326229026973</v>
      </c>
      <c r="AA94" s="6">
        <f t="shared" si="22"/>
        <v>671.1357163760091</v>
      </c>
      <c r="AB94" s="6">
        <f t="shared" si="23"/>
        <v>6125.2091234724567</v>
      </c>
    </row>
    <row r="95" spans="25:28">
      <c r="Y95">
        <f>'X data'!A94</f>
        <v>16370</v>
      </c>
      <c r="Z95" s="3">
        <f t="shared" si="21"/>
        <v>9.7032056703651808</v>
      </c>
      <c r="AA95" s="6">
        <f t="shared" si="22"/>
        <v>1012.4963957311804</v>
      </c>
      <c r="AB95" s="6">
        <f t="shared" si="23"/>
        <v>9824.4607682830974</v>
      </c>
    </row>
    <row r="96" spans="25:28">
      <c r="Y96">
        <f>'X data'!A95</f>
        <v>17605</v>
      </c>
      <c r="Z96" s="3">
        <f t="shared" si="21"/>
        <v>9.7759382315891532</v>
      </c>
      <c r="AA96" s="6">
        <f t="shared" si="22"/>
        <v>1066.4023389551239</v>
      </c>
      <c r="AB96" s="6">
        <f t="shared" si="23"/>
        <v>10425.083395647491</v>
      </c>
    </row>
    <row r="97" spans="25:28">
      <c r="Y97">
        <f>'X data'!A96</f>
        <v>25318</v>
      </c>
      <c r="Z97" s="3">
        <f t="shared" si="21"/>
        <v>10.139270884196774</v>
      </c>
      <c r="AA97" s="6">
        <f t="shared" si="22"/>
        <v>1381.8370889844985</v>
      </c>
      <c r="AB97" s="6">
        <f t="shared" si="23"/>
        <v>14010.820563043751</v>
      </c>
    </row>
    <row r="98" spans="25:28">
      <c r="Y98">
        <f>'X data'!A97</f>
        <v>58524</v>
      </c>
      <c r="Z98" s="3">
        <f t="shared" si="21"/>
        <v>10.977192205498053</v>
      </c>
      <c r="AA98" s="6">
        <f t="shared" si="22"/>
        <v>2511.8164942285957</v>
      </c>
      <c r="AB98" s="6">
        <f t="shared" si="23"/>
        <v>27572.692442087588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8"/>
  <sheetViews>
    <sheetView workbookViewId="0">
      <selection activeCell="M44" sqref="M44"/>
    </sheetView>
  </sheetViews>
  <sheetFormatPr defaultRowHeight="15"/>
  <cols>
    <col min="1" max="1" width="14.85546875" bestFit="1" customWidth="1"/>
    <col min="2" max="2" width="18.140625" customWidth="1"/>
    <col min="3" max="3" width="12" bestFit="1" customWidth="1"/>
    <col min="5" max="5" width="10.85546875" bestFit="1" customWidth="1"/>
    <col min="6" max="6" width="14.140625" customWidth="1"/>
    <col min="7" max="7" width="15.42578125" bestFit="1" customWidth="1"/>
    <col min="8" max="8" width="11.140625" customWidth="1"/>
    <col min="9" max="9" width="10.42578125" customWidth="1"/>
    <col min="10" max="10" width="10.28515625" bestFit="1" customWidth="1"/>
    <col min="11" max="11" width="10.85546875" bestFit="1" customWidth="1"/>
    <col min="12" max="12" width="15" customWidth="1"/>
    <col min="13" max="13" width="14.28515625" bestFit="1" customWidth="1"/>
    <col min="14" max="14" width="11.7109375" customWidth="1"/>
    <col min="15" max="15" width="10.85546875" bestFit="1" customWidth="1"/>
    <col min="16" max="16" width="11" customWidth="1"/>
    <col min="26" max="26" width="10.7109375" bestFit="1" customWidth="1"/>
    <col min="27" max="27" width="11" bestFit="1" customWidth="1"/>
    <col min="28" max="28" width="17" bestFit="1" customWidth="1"/>
  </cols>
  <sheetData>
    <row r="1" spans="1:28">
      <c r="A1" t="s">
        <v>94</v>
      </c>
      <c r="G1" s="21" t="s">
        <v>78</v>
      </c>
      <c r="H1" s="21"/>
      <c r="I1" s="36"/>
      <c r="J1" s="28"/>
      <c r="K1" s="16"/>
      <c r="L1" s="21" t="s">
        <v>80</v>
      </c>
      <c r="M1" s="22"/>
      <c r="Z1" s="3"/>
      <c r="AA1" s="3"/>
    </row>
    <row r="2" spans="1:28">
      <c r="B2" s="43"/>
      <c r="C2" s="41" t="s">
        <v>35</v>
      </c>
      <c r="D2" s="44" t="s">
        <v>3</v>
      </c>
      <c r="E2" s="45" t="s">
        <v>2</v>
      </c>
      <c r="G2" s="23"/>
      <c r="H2" s="37" t="s">
        <v>72</v>
      </c>
      <c r="I2" s="30" t="s">
        <v>14</v>
      </c>
      <c r="J2" s="31" t="s">
        <v>76</v>
      </c>
      <c r="L2" s="23" t="s">
        <v>90</v>
      </c>
      <c r="M2" s="56">
        <f>96/E3+96*LN(E4)-SUM(Z3:Z98)</f>
        <v>2.8222063974681078E-7</v>
      </c>
      <c r="Y2" t="s">
        <v>87</v>
      </c>
      <c r="Z2" t="s">
        <v>99</v>
      </c>
      <c r="AA2" t="s">
        <v>100</v>
      </c>
    </row>
    <row r="3" spans="1:28">
      <c r="B3" s="23" t="s">
        <v>29</v>
      </c>
      <c r="C3" s="53">
        <f>(2*95*'X data'!D3^2)/(95*'X data'!D3^2-96*'X data'!D2^2)</f>
        <v>2.4757690890443449</v>
      </c>
      <c r="D3" s="51">
        <v>1.5580207660926857</v>
      </c>
      <c r="E3" s="46">
        <v>1.908877854995209</v>
      </c>
      <c r="G3" s="23" t="s">
        <v>96</v>
      </c>
      <c r="H3" s="38">
        <f>D4*(0.75^(-1/D3)-1)</f>
        <v>401.00000013736201</v>
      </c>
      <c r="I3" s="38">
        <f>'X data'!D12</f>
        <v>401</v>
      </c>
      <c r="J3" s="31">
        <f>H3-I3</f>
        <v>1.3736200799030485E-7</v>
      </c>
      <c r="L3" s="25" t="s">
        <v>89</v>
      </c>
      <c r="M3" s="58">
        <f>96*E3/E4-(E3+1)*SUM(AA3:AA98)</f>
        <v>-3.5826999700283579E-10</v>
      </c>
      <c r="Y3">
        <f>'X data'!A2</f>
        <v>24</v>
      </c>
      <c r="Z3" s="3">
        <f>LN(Y3+E$4)</f>
        <v>7.9114955386016605</v>
      </c>
      <c r="AA3" s="1">
        <f>1/(Y3+E$4)</f>
        <v>3.6650604658003817E-4</v>
      </c>
      <c r="AB3" s="6"/>
    </row>
    <row r="4" spans="1:28">
      <c r="B4" s="25" t="s">
        <v>95</v>
      </c>
      <c r="C4" s="55">
        <f>(95*'X data'!D2*'X data'!D3^2+96*'X data'!D2^3)/(95*'X data'!D3^2-96*'X data'!D2^2)</f>
        <v>4412.3036147277498</v>
      </c>
      <c r="D4" s="48">
        <v>1977.3916712168495</v>
      </c>
      <c r="E4" s="40">
        <v>2704.4679457030961</v>
      </c>
      <c r="G4" s="25" t="s">
        <v>97</v>
      </c>
      <c r="H4" s="39">
        <f>D4*(0.25^-(1/D3)-1)</f>
        <v>2836.7500006443474</v>
      </c>
      <c r="I4" s="39">
        <f>'X data'!E12</f>
        <v>2836.75</v>
      </c>
      <c r="J4" s="40">
        <f>H4-I4</f>
        <v>6.4434743762831204E-7</v>
      </c>
      <c r="L4" s="49" t="s">
        <v>93</v>
      </c>
      <c r="Y4">
        <f>'X data'!A3</f>
        <v>26</v>
      </c>
      <c r="Z4" s="3">
        <f t="shared" ref="Z4:Z67" si="0">LN(Y4+E$4)</f>
        <v>7.9122282821726682</v>
      </c>
      <c r="AA4" s="1">
        <f t="shared" ref="AA4:AA67" si="1">1/(Y4+E$4)</f>
        <v>3.6623758999760014E-4</v>
      </c>
      <c r="AB4" s="6"/>
    </row>
    <row r="5" spans="1:28">
      <c r="G5" s="49" t="s">
        <v>98</v>
      </c>
      <c r="L5" s="50" t="s">
        <v>92</v>
      </c>
      <c r="Y5">
        <f>'X data'!A4</f>
        <v>73</v>
      </c>
      <c r="Z5" s="3">
        <f t="shared" si="0"/>
        <v>7.929294980746235</v>
      </c>
      <c r="AA5" s="1">
        <f t="shared" si="1"/>
        <v>3.6004015871616375E-4</v>
      </c>
      <c r="AB5" s="6"/>
    </row>
    <row r="6" spans="1:28">
      <c r="G6" s="50" t="s">
        <v>85</v>
      </c>
      <c r="Y6">
        <f>'X data'!A5</f>
        <v>84</v>
      </c>
      <c r="Z6" s="3">
        <f t="shared" si="0"/>
        <v>7.9332476005880306</v>
      </c>
      <c r="AA6" s="1">
        <f t="shared" si="1"/>
        <v>3.586198656294239E-4</v>
      </c>
      <c r="AB6" s="6"/>
    </row>
    <row r="7" spans="1:28">
      <c r="Y7">
        <f>'X data'!A6</f>
        <v>102</v>
      </c>
      <c r="Z7" s="3">
        <f t="shared" si="0"/>
        <v>7.9396820128679266</v>
      </c>
      <c r="AA7" s="1">
        <f t="shared" si="1"/>
        <v>3.5631976539446023E-4</v>
      </c>
      <c r="AB7" s="6"/>
    </row>
    <row r="8" spans="1:28">
      <c r="E8" t="s">
        <v>101</v>
      </c>
      <c r="H8" t="s">
        <v>102</v>
      </c>
      <c r="K8" t="s">
        <v>103</v>
      </c>
      <c r="R8" t="s">
        <v>35</v>
      </c>
      <c r="S8" t="s">
        <v>3</v>
      </c>
      <c r="T8" t="s">
        <v>2</v>
      </c>
      <c r="Y8">
        <f>'X data'!A7</f>
        <v>115</v>
      </c>
      <c r="Z8" s="3">
        <f t="shared" si="0"/>
        <v>7.9443034743949177</v>
      </c>
      <c r="AA8" s="1">
        <f t="shared" si="1"/>
        <v>3.5467684657455048E-4</v>
      </c>
      <c r="AB8" s="6"/>
    </row>
    <row r="9" spans="1:28">
      <c r="B9" s="7" t="s">
        <v>47</v>
      </c>
      <c r="C9" s="8" t="s">
        <v>28</v>
      </c>
      <c r="E9" t="s">
        <v>27</v>
      </c>
      <c r="F9" t="s">
        <v>4</v>
      </c>
      <c r="H9" t="s">
        <v>27</v>
      </c>
      <c r="I9" t="s">
        <v>4</v>
      </c>
      <c r="J9" s="8"/>
      <c r="K9" t="s">
        <v>27</v>
      </c>
      <c r="L9" t="s">
        <v>4</v>
      </c>
      <c r="P9" s="7" t="s">
        <v>48</v>
      </c>
      <c r="R9" s="7"/>
      <c r="S9" s="8"/>
      <c r="U9" s="8"/>
      <c r="Y9">
        <f>'X data'!A8</f>
        <v>132</v>
      </c>
      <c r="Z9" s="3">
        <f t="shared" si="0"/>
        <v>7.9503148760516487</v>
      </c>
      <c r="AA9" s="1">
        <f t="shared" si="1"/>
        <v>3.5255113723914219E-4</v>
      </c>
      <c r="AB9" s="6"/>
    </row>
    <row r="10" spans="1:28">
      <c r="A10" s="6">
        <v>0</v>
      </c>
      <c r="B10" s="6">
        <f>Exponential!B26</f>
        <v>260.14951530282821</v>
      </c>
      <c r="C10">
        <f t="array" ref="C10:C21">FREQUENCY('X data'!A2:A97,Pareto!B10:B21)</f>
        <v>12</v>
      </c>
      <c r="E10" s="3">
        <f>96*(1-(E$4^E$3)/(($B10+E$4)^E$3))</f>
        <v>15.437644004314262</v>
      </c>
      <c r="F10" s="3">
        <f>(($C10-E10)^2)/E10</f>
        <v>0.76549221481563234</v>
      </c>
      <c r="H10" s="3">
        <f>96*(1-(D$4^D$3)/(($B10+D$4)^D$3))</f>
        <v>16.815665982655808</v>
      </c>
      <c r="I10" s="3">
        <f>(($C10-H10)^2)/H10</f>
        <v>1.3791091521696415</v>
      </c>
      <c r="K10" s="3">
        <f>96*(1-(C$4^C$3)/(($B10+C$4)^C$3))</f>
        <v>12.694212142857026</v>
      </c>
      <c r="L10" s="3">
        <f>(($C10-K10)^2)/K10</f>
        <v>3.7964585266626723E-2</v>
      </c>
      <c r="O10">
        <f>'X data'!U6</f>
        <v>0</v>
      </c>
      <c r="P10">
        <f>Exponential!B7</f>
        <v>1000</v>
      </c>
      <c r="Q10" s="3"/>
      <c r="R10" s="3">
        <f>(1-(C$4^C$3)/(($P10+C$4)^C$3))</f>
        <v>0.39694380627891812</v>
      </c>
      <c r="S10" s="3">
        <f>(1-(D$4^D$3)/(($P10+D$4)^D$3))</f>
        <v>0.47146677123003766</v>
      </c>
      <c r="T10" s="3">
        <f>(1-(E$4^E$3)/(($P10+E$4)^E$3))</f>
        <v>0.45151685145880582</v>
      </c>
      <c r="V10" s="10"/>
      <c r="W10" s="3"/>
      <c r="Y10">
        <f>'X data'!A9</f>
        <v>159</v>
      </c>
      <c r="Z10" s="3">
        <f t="shared" si="0"/>
        <v>7.9597887376742076</v>
      </c>
      <c r="AA10" s="1">
        <f t="shared" si="1"/>
        <v>3.4922688815168838E-4</v>
      </c>
      <c r="AB10" s="6"/>
    </row>
    <row r="11" spans="1:28">
      <c r="A11" s="6">
        <f>B10</f>
        <v>260.14951530282821</v>
      </c>
      <c r="B11" s="6">
        <f>Exponential!B27</f>
        <v>545.11106788779227</v>
      </c>
      <c r="C11">
        <v>18</v>
      </c>
      <c r="E11" s="3">
        <f>96*((E$4^E$3)/(($A11+E$4)^E$3) - (E$4^E$3)/(($B11+E$4)^E$3))</f>
        <v>12.946699878352803</v>
      </c>
      <c r="F11" s="3">
        <f t="shared" ref="F11:F21" si="2">((C11-E11)^2)/E11</f>
        <v>1.9723823336737827</v>
      </c>
      <c r="H11" s="3">
        <f>96*((D$4^D$3)/(($A11+D$4)^D$3) - (D$4^D$3)/(($B11+D$4)^D$3))</f>
        <v>13.490023413593942</v>
      </c>
      <c r="I11" s="3">
        <f>(($C11-H11)^2)/H11</f>
        <v>1.5077726840291665</v>
      </c>
      <c r="K11" s="3">
        <f>96*((C$4^C$3)/(($A11+C$4)^C$3) - (C$4^C$3)/(($B11+C$4)^C$3))</f>
        <v>11.357175522009015</v>
      </c>
      <c r="L11" s="3">
        <f>(($C11-K11)^2)/K11</f>
        <v>3.8853953573124298</v>
      </c>
      <c r="M11" s="6"/>
      <c r="O11">
        <f>P10</f>
        <v>1000</v>
      </c>
      <c r="P11">
        <f>Exponential!B8</f>
        <v>2000</v>
      </c>
      <c r="Q11" s="3"/>
      <c r="R11" s="3">
        <f>(C$4^C$3)/(($O11+C$4)^C$3)-(C$4^C$3)/(($P11+C$4)^C$3)</f>
        <v>0.20672145907911177</v>
      </c>
      <c r="S11" s="3">
        <f>(D$4^D$3)/(($O11+D$4)^D$3)-(D$4^D$3)/(($P11+D$4)^D$3)</f>
        <v>0.19191945709909175</v>
      </c>
      <c r="T11" s="3">
        <f>(E$4^E$3)/(($O11+E$4)^E$3)-(E$4^E$3)/(($P11+E$4)^E$3)</f>
        <v>0.20090615218844421</v>
      </c>
      <c r="V11" s="3"/>
      <c r="W11" s="3"/>
      <c r="Y11">
        <f>'X data'!A10</f>
        <v>207</v>
      </c>
      <c r="Z11" s="3">
        <f t="shared" si="0"/>
        <v>7.9764126816692897</v>
      </c>
      <c r="AA11" s="1">
        <f t="shared" si="1"/>
        <v>3.4346934901888747E-4</v>
      </c>
      <c r="AB11" s="6"/>
    </row>
    <row r="12" spans="1:28">
      <c r="A12" s="6">
        <f>B11</f>
        <v>545.11106788779227</v>
      </c>
      <c r="B12" s="6">
        <f>Exponential!B28</f>
        <v>860.12144961875015</v>
      </c>
      <c r="C12">
        <v>10</v>
      </c>
      <c r="E12" s="3">
        <f t="shared" ref="E12:E20" si="3">96*((E$4^E$3)/(($A12+E$4)^E$3) - (E$4^E$3)/(($B12+E$4)^E$3))</f>
        <v>10.946864095301873</v>
      </c>
      <c r="F12" s="3">
        <f t="shared" si="2"/>
        <v>8.190031475375785E-2</v>
      </c>
      <c r="H12" s="3">
        <f t="shared" ref="H12:H20" si="4">96*((D$4^D$3)/(($A12+D$4)^D$3) - (D$4^D$3)/(($B12+D$4)^D$3))</f>
        <v>11.004906804153588</v>
      </c>
      <c r="I12" s="3">
        <f t="shared" ref="I12:I20" si="5">(($C12-H12)^2)/H12</f>
        <v>9.1762493131975875E-2</v>
      </c>
      <c r="K12" s="3">
        <f t="shared" ref="K12:K20" si="6">96*((C$4^C$3)/(($A12+C$4)^C$3) - (C$4^C$3)/(($B12+C$4)^C$3))</f>
        <v>10.177872043906675</v>
      </c>
      <c r="L12" s="3">
        <f t="shared" ref="L12:L20" si="7">(($C12-K12)^2)/K12</f>
        <v>3.108553916481922E-3</v>
      </c>
      <c r="M12" s="6"/>
      <c r="O12">
        <f t="shared" ref="O12:O20" si="8">P11</f>
        <v>2000</v>
      </c>
      <c r="P12">
        <f>Exponential!B9</f>
        <v>3000</v>
      </c>
      <c r="Q12" s="3"/>
      <c r="R12" s="3">
        <f t="shared" ref="R12:T19" si="9">(C$4^C$3)/(($O12+C$4)^C$3)-(C$4^C$3)/(($P12+C$4)^C$3)</f>
        <v>0.11948800275668953</v>
      </c>
      <c r="S12" s="3">
        <f t="shared" si="9"/>
        <v>9.9271403332944597E-2</v>
      </c>
      <c r="T12" s="3">
        <f t="shared" si="9"/>
        <v>0.10699168378950166</v>
      </c>
      <c r="V12" s="3"/>
      <c r="W12" s="3"/>
      <c r="Y12">
        <f>'X data'!A11</f>
        <v>240</v>
      </c>
      <c r="Z12" s="3">
        <f t="shared" si="0"/>
        <v>7.9876834161657841</v>
      </c>
      <c r="AA12" s="1">
        <f t="shared" si="1"/>
        <v>3.396199308127345E-4</v>
      </c>
      <c r="AB12" s="6"/>
    </row>
    <row r="13" spans="1:28">
      <c r="A13" s="6">
        <f t="shared" ref="A13:A21" si="10">B12</f>
        <v>860.12144961875015</v>
      </c>
      <c r="B13" s="6">
        <f>Exponential!B29</f>
        <v>1212.2730957253941</v>
      </c>
      <c r="C13">
        <v>8</v>
      </c>
      <c r="E13" s="3">
        <f t="shared" si="3"/>
        <v>9.3273422686443599</v>
      </c>
      <c r="F13" s="3">
        <f t="shared" si="2"/>
        <v>0.18888955153417161</v>
      </c>
      <c r="H13" s="3">
        <f>96*((D$4^D$3)/(($A13+D$4)^D$3) - (D$4^D$3)/(($B13+D$4)^D$3))</f>
        <v>9.1125256560897956</v>
      </c>
      <c r="I13" s="3">
        <f t="shared" si="5"/>
        <v>0.1358254980199568</v>
      </c>
      <c r="K13" s="3">
        <f t="shared" si="6"/>
        <v>9.1369524568630389</v>
      </c>
      <c r="L13" s="3">
        <f>(($C13-K13)^2)/K13</f>
        <v>0.14147615359385438</v>
      </c>
      <c r="M13" s="6"/>
      <c r="O13">
        <f t="shared" si="8"/>
        <v>3000</v>
      </c>
      <c r="P13">
        <f>Exponential!B10</f>
        <v>4000</v>
      </c>
      <c r="Q13" s="3"/>
      <c r="R13" s="3">
        <f>(C$4^C$3)/(($O13+C$4)^C$3)-(C$4^C$3)/(($P13+C$4)^C$3)</f>
        <v>7.4467087922764658E-2</v>
      </c>
      <c r="S13" s="3">
        <f>(D$4^D$3)/(($O13+D$4)^D$3)-(D$4^D$3)/(($P13+D$4)^D$3)</f>
        <v>5.8900319742408058E-2</v>
      </c>
      <c r="T13" s="3">
        <f t="shared" si="9"/>
        <v>6.3833895367280818E-2</v>
      </c>
      <c r="V13" s="3"/>
      <c r="W13" s="3"/>
      <c r="Y13">
        <f>'X data'!A12</f>
        <v>241</v>
      </c>
      <c r="Z13" s="3">
        <f t="shared" si="0"/>
        <v>7.9880229784388019</v>
      </c>
      <c r="AA13" s="1">
        <f t="shared" si="1"/>
        <v>3.3950462827436935E-4</v>
      </c>
      <c r="AB13" s="6"/>
    </row>
    <row r="14" spans="1:28">
      <c r="A14" s="6">
        <f t="shared" si="10"/>
        <v>1212.2730957253941</v>
      </c>
      <c r="B14" s="6">
        <f>Exponential!B30</f>
        <v>1611.5097044406132</v>
      </c>
      <c r="C14">
        <v>7</v>
      </c>
      <c r="E14" s="3">
        <f t="shared" si="3"/>
        <v>8.0069084951611593</v>
      </c>
      <c r="F14" s="3">
        <f t="shared" si="2"/>
        <v>0.12662374226462342</v>
      </c>
      <c r="H14" s="3">
        <f t="shared" si="4"/>
        <v>7.649900945040967</v>
      </c>
      <c r="I14" s="3">
        <f t="shared" si="5"/>
        <v>5.5212641496873667E-2</v>
      </c>
      <c r="K14" s="3">
        <f t="shared" si="6"/>
        <v>8.218537741554611</v>
      </c>
      <c r="L14" s="3">
        <f t="shared" si="7"/>
        <v>0.18066890659701978</v>
      </c>
      <c r="M14" s="6"/>
      <c r="O14">
        <f t="shared" si="8"/>
        <v>4000</v>
      </c>
      <c r="P14">
        <f>Exponential!B11</f>
        <v>5000</v>
      </c>
      <c r="Q14" s="3"/>
      <c r="R14" s="3">
        <f>(C$4^C$3)/(($O14+C$4)^C$3)-(C$4^C$3)/(($P14+C$4)^C$3)</f>
        <v>4.9131098011986979E-2</v>
      </c>
      <c r="S14" s="3">
        <f>(D$4^D$3)/(($O14+D$4)^D$3)-(D$4^D$3)/(($P14+D$4)^D$3)</f>
        <v>3.8216482390090234E-2</v>
      </c>
      <c r="T14" s="3">
        <f>(E$4^E$3)/(($O14+E$4)^E$3)-(E$4^E$3)/(($P14+E$4)^E$3)</f>
        <v>4.1198758488239118E-2</v>
      </c>
      <c r="V14" s="3"/>
      <c r="W14" s="3"/>
      <c r="Y14">
        <f>'X data'!A13</f>
        <v>254</v>
      </c>
      <c r="Z14" s="3">
        <f t="shared" si="0"/>
        <v>7.9924268274131647</v>
      </c>
      <c r="AA14" s="1">
        <f t="shared" si="1"/>
        <v>3.3801278849493992E-4</v>
      </c>
      <c r="AB14" s="6"/>
    </row>
    <row r="15" spans="1:28">
      <c r="A15" s="6">
        <f t="shared" si="10"/>
        <v>1611.5097044406132</v>
      </c>
      <c r="B15" s="6">
        <f>Exponential!B31</f>
        <v>2072.3945453441443</v>
      </c>
      <c r="C15">
        <v>10</v>
      </c>
      <c r="E15" s="3">
        <f t="shared" si="3"/>
        <v>6.9258010272142556</v>
      </c>
      <c r="F15" s="3">
        <f t="shared" si="2"/>
        <v>1.3645640824998191</v>
      </c>
      <c r="H15" s="3">
        <f t="shared" si="4"/>
        <v>6.5075700091024213</v>
      </c>
      <c r="I15" s="3">
        <f>(($C15-H15)^2)/H15</f>
        <v>1.8742890547870084</v>
      </c>
      <c r="K15" s="3">
        <f t="shared" si="6"/>
        <v>7.4100898198113025</v>
      </c>
      <c r="L15" s="3">
        <f t="shared" si="7"/>
        <v>0.90520289288691258</v>
      </c>
      <c r="M15" s="6"/>
      <c r="O15">
        <f t="shared" si="8"/>
        <v>5000</v>
      </c>
      <c r="P15">
        <f>Exponential!B12</f>
        <v>6000</v>
      </c>
      <c r="Q15" s="3"/>
      <c r="R15" s="3">
        <f t="shared" si="9"/>
        <v>3.3896004525533027E-2</v>
      </c>
      <c r="S15" s="3">
        <f t="shared" si="9"/>
        <v>2.641029388637299E-2</v>
      </c>
      <c r="T15" s="3">
        <f t="shared" si="9"/>
        <v>2.8168969561839952E-2</v>
      </c>
      <c r="V15" s="3"/>
      <c r="W15" s="3"/>
      <c r="Y15">
        <f>'X data'!A14</f>
        <v>268</v>
      </c>
      <c r="Z15" s="3">
        <f t="shared" si="0"/>
        <v>7.9971478448913507</v>
      </c>
      <c r="AA15" s="1">
        <f t="shared" si="1"/>
        <v>3.364207851073946E-4</v>
      </c>
      <c r="AB15" s="6"/>
    </row>
    <row r="16" spans="1:28">
      <c r="A16" s="6">
        <f t="shared" si="10"/>
        <v>2072.3945453441443</v>
      </c>
      <c r="B16" s="6">
        <f>Exponential!B32</f>
        <v>2617.5056132319364</v>
      </c>
      <c r="C16">
        <v>5</v>
      </c>
      <c r="E16" s="3">
        <f>96*((E$4^E$3)/(($A16+E$4)^E$3) - (E$4^E$3)/(($B16+E$4)^E$3))</f>
        <v>6.0406568190296195</v>
      </c>
      <c r="F16" s="3">
        <f t="shared" si="2"/>
        <v>0.17927961270390722</v>
      </c>
      <c r="H16" s="3">
        <f t="shared" si="4"/>
        <v>5.6116449947456655</v>
      </c>
      <c r="I16" s="3">
        <f t="shared" si="5"/>
        <v>6.6666654777291515E-2</v>
      </c>
      <c r="K16" s="3">
        <f t="shared" si="6"/>
        <v>6.7027453407327702</v>
      </c>
      <c r="L16" s="3">
        <f t="shared" si="7"/>
        <v>0.4325603238672634</v>
      </c>
      <c r="M16" s="6"/>
      <c r="O16">
        <f t="shared" si="8"/>
        <v>6000</v>
      </c>
      <c r="P16">
        <f>Exponential!B13</f>
        <v>7000</v>
      </c>
      <c r="Q16" s="3"/>
      <c r="R16" s="3">
        <f t="shared" si="9"/>
        <v>2.4241602582845967E-2</v>
      </c>
      <c r="S16" s="3">
        <f t="shared" si="9"/>
        <v>1.9128172865526386E-2</v>
      </c>
      <c r="T16" s="3">
        <f>(E$4^E$3)/(($O16+E$4)^E$3)-(E$4^E$3)/(($P16+E$4)^E$3)</f>
        <v>2.0130165566839692E-2</v>
      </c>
      <c r="V16" s="3"/>
      <c r="W16" s="3"/>
      <c r="Y16">
        <f>'X data'!A15</f>
        <v>272</v>
      </c>
      <c r="Z16" s="3">
        <f t="shared" si="0"/>
        <v>7.9984926234116864</v>
      </c>
      <c r="AA16" s="1">
        <f t="shared" si="1"/>
        <v>3.3596867772207157E-4</v>
      </c>
      <c r="AB16" s="6"/>
    </row>
    <row r="17" spans="1:28">
      <c r="A17" s="6">
        <f t="shared" si="10"/>
        <v>2617.5056132319364</v>
      </c>
      <c r="B17" s="6">
        <f>Exponential!B33</f>
        <v>3284.6676410695377</v>
      </c>
      <c r="C17">
        <v>6</v>
      </c>
      <c r="E17" s="3">
        <f t="shared" si="3"/>
        <v>5.3220873856715043</v>
      </c>
      <c r="F17" s="3">
        <f t="shared" si="2"/>
        <v>8.6350613840533719E-2</v>
      </c>
      <c r="H17" s="3">
        <f t="shared" si="4"/>
        <v>4.9141181162633698</v>
      </c>
      <c r="I17" s="3">
        <f>(($C17-H17)^2)/H17</f>
        <v>0.23994935358289973</v>
      </c>
      <c r="K17" s="3">
        <f t="shared" si="6"/>
        <v>6.0926511558869763</v>
      </c>
      <c r="L17" s="3">
        <f>(($C17-K17)^2)/K17</f>
        <v>1.4089493173917113E-3</v>
      </c>
      <c r="M17" s="6"/>
      <c r="O17">
        <f t="shared" si="8"/>
        <v>7000</v>
      </c>
      <c r="P17">
        <f>Exponential!B14</f>
        <v>8000</v>
      </c>
      <c r="Q17" s="3"/>
      <c r="R17" s="3">
        <f t="shared" si="9"/>
        <v>1.7857698061540181E-2</v>
      </c>
      <c r="S17" s="3">
        <f t="shared" si="9"/>
        <v>1.4366061592911358E-2</v>
      </c>
      <c r="T17" s="3">
        <f t="shared" si="9"/>
        <v>1.4897038787661784E-2</v>
      </c>
      <c r="V17" s="3"/>
      <c r="W17" s="3"/>
      <c r="Y17">
        <f>'X data'!A16</f>
        <v>282</v>
      </c>
      <c r="Z17" s="3">
        <f t="shared" si="0"/>
        <v>8.0018466790503364</v>
      </c>
      <c r="AA17" s="1">
        <f t="shared" si="1"/>
        <v>3.3484370774472609E-4</v>
      </c>
      <c r="AB17" s="6"/>
    </row>
    <row r="18" spans="1:28">
      <c r="A18" s="6">
        <f t="shared" si="10"/>
        <v>3284.6676410695377</v>
      </c>
      <c r="B18" s="6">
        <f>Exponential!B34</f>
        <v>4144.7890906882876</v>
      </c>
      <c r="C18">
        <v>6</v>
      </c>
      <c r="E18" s="3">
        <f>96*((E$4^E$3)/(($A18+E$4)^E$3) - (E$4^E$3)/(($B18+E$4)^E$3))</f>
        <v>4.7559848700206064</v>
      </c>
      <c r="F18" s="3">
        <f t="shared" si="2"/>
        <v>0.32539498882193507</v>
      </c>
      <c r="H18" s="3">
        <f>96*((D$4^D$3)/(($A18+D$4)^D$3) - (D$4^D$3)/(($B18+D$4)^D$3))</f>
        <v>4.3902340765979488</v>
      </c>
      <c r="I18" s="3">
        <f t="shared" si="5"/>
        <v>0.59025242912663267</v>
      </c>
      <c r="K18" s="3">
        <f>96*((C$4^C$3)/(($A18+C$4)^C$3) - (C$4^C$3)/(($B18+C$4)^C$3))</f>
        <v>5.585059003442872</v>
      </c>
      <c r="L18" s="3">
        <f t="shared" si="7"/>
        <v>3.0827969859886131E-2</v>
      </c>
      <c r="M18" s="6"/>
      <c r="O18">
        <f t="shared" si="8"/>
        <v>8000</v>
      </c>
      <c r="P18">
        <f>Exponential!B15</f>
        <v>9000</v>
      </c>
      <c r="Q18" s="3"/>
      <c r="R18" s="3">
        <f t="shared" si="9"/>
        <v>1.3484970515793809E-2</v>
      </c>
      <c r="S18" s="3">
        <f t="shared" si="9"/>
        <v>1.1106188543743276E-2</v>
      </c>
      <c r="T18" s="3">
        <f t="shared" si="9"/>
        <v>1.1341206552403151E-2</v>
      </c>
      <c r="V18" s="3"/>
      <c r="W18" s="3"/>
      <c r="Y18">
        <f>'X data'!A17</f>
        <v>300</v>
      </c>
      <c r="Z18" s="3">
        <f t="shared" si="0"/>
        <v>8.0078557749545798</v>
      </c>
      <c r="AA18" s="1">
        <f t="shared" si="1"/>
        <v>3.328376331756747E-4</v>
      </c>
      <c r="AB18" s="6"/>
    </row>
    <row r="19" spans="1:28">
      <c r="A19" s="6">
        <f t="shared" si="10"/>
        <v>4144.7890906882876</v>
      </c>
      <c r="B19" s="6">
        <f>Exponential!B35</f>
        <v>5357.062186413682</v>
      </c>
      <c r="C19">
        <v>3</v>
      </c>
      <c r="E19" s="3">
        <f t="shared" si="3"/>
        <v>4.3550110318671571</v>
      </c>
      <c r="F19" s="3">
        <f t="shared" si="2"/>
        <v>0.42159592318977707</v>
      </c>
      <c r="H19" s="3">
        <f t="shared" si="4"/>
        <v>4.0488371716903568</v>
      </c>
      <c r="I19" s="3">
        <f t="shared" si="5"/>
        <v>0.27169761738285986</v>
      </c>
      <c r="K19" s="3">
        <f t="shared" si="6"/>
        <v>5.2083877768982498</v>
      </c>
      <c r="L19" s="3">
        <f t="shared" si="7"/>
        <v>0.93636971401887026</v>
      </c>
      <c r="M19" s="6"/>
      <c r="O19">
        <f t="shared" si="8"/>
        <v>9000</v>
      </c>
      <c r="P19">
        <f>Exponential!B16</f>
        <v>10000</v>
      </c>
      <c r="Q19" s="3"/>
      <c r="R19" s="3">
        <f t="shared" si="9"/>
        <v>1.0399609787331565E-2</v>
      </c>
      <c r="S19" s="3">
        <f t="shared" si="9"/>
        <v>8.7910826213489293E-3</v>
      </c>
      <c r="T19" s="3">
        <f t="shared" si="9"/>
        <v>8.8389670298078885E-3</v>
      </c>
      <c r="V19" s="3"/>
      <c r="W19" s="3"/>
      <c r="Y19">
        <f>'X data'!A18</f>
        <v>302</v>
      </c>
      <c r="Z19" s="3">
        <f t="shared" si="0"/>
        <v>8.0085212287574272</v>
      </c>
      <c r="AA19" s="1">
        <f t="shared" si="1"/>
        <v>3.3261621878564177E-4</v>
      </c>
      <c r="AB19" s="6"/>
    </row>
    <row r="20" spans="1:28">
      <c r="A20" s="6">
        <f t="shared" si="10"/>
        <v>5357.062186413682</v>
      </c>
      <c r="B20" s="6">
        <f>Exponential!B36</f>
        <v>7429.4567317578258</v>
      </c>
      <c r="C20">
        <v>4</v>
      </c>
      <c r="E20" s="3">
        <f t="shared" si="3"/>
        <v>4.2231965217460683</v>
      </c>
      <c r="F20" s="3">
        <f t="shared" si="2"/>
        <v>1.1795967121829931E-2</v>
      </c>
      <c r="H20" s="3">
        <f t="shared" si="4"/>
        <v>4.0028817156866188</v>
      </c>
      <c r="I20" s="3">
        <f t="shared" si="5"/>
        <v>2.0745767395428118E-6</v>
      </c>
      <c r="K20" s="3">
        <f t="shared" si="6"/>
        <v>5.0836685193206144</v>
      </c>
      <c r="L20" s="3">
        <f t="shared" si="7"/>
        <v>0.23100197333941674</v>
      </c>
      <c r="M20" s="6"/>
      <c r="O20">
        <f t="shared" si="8"/>
        <v>10000</v>
      </c>
      <c r="P20">
        <f>Exponential!B17</f>
        <v>0</v>
      </c>
      <c r="Q20" s="3"/>
      <c r="R20" s="3">
        <f>(C$4^C$3)/(($O20+C$4)^C$3)</f>
        <v>5.3368660477484398E-2</v>
      </c>
      <c r="S20" s="3">
        <f>(D$4^D$3)/(($O20+D$4)^D$3)</f>
        <v>6.042376669552476E-2</v>
      </c>
      <c r="T20" s="3">
        <f>(E$4^E$3)/(($O20+E$4)^E$3)</f>
        <v>5.2176311209175902E-2</v>
      </c>
      <c r="V20" s="3"/>
      <c r="W20" s="3"/>
      <c r="Y20">
        <f>'X data'!A19</f>
        <v>329</v>
      </c>
      <c r="Z20" s="3">
        <f t="shared" si="0"/>
        <v>8.0174617805564878</v>
      </c>
      <c r="AA20" s="1">
        <f t="shared" si="1"/>
        <v>3.2965570030713491E-4</v>
      </c>
      <c r="AB20" s="6"/>
    </row>
    <row r="21" spans="1:28">
      <c r="A21" s="6">
        <f t="shared" si="10"/>
        <v>7429.4567317578258</v>
      </c>
      <c r="B21" s="6"/>
      <c r="C21">
        <v>7</v>
      </c>
      <c r="E21" s="3">
        <f>96*((E$4^E$3)/(($A21+E$4)^E$3))</f>
        <v>7.7118036026763326</v>
      </c>
      <c r="F21" s="3">
        <f t="shared" si="2"/>
        <v>6.5699853742018491E-2</v>
      </c>
      <c r="H21" s="3">
        <f>96*((D$4^D$3)/(($A21+D$4)^D$3))</f>
        <v>8.4516911143795177</v>
      </c>
      <c r="I21" s="3">
        <f>(($C21-H21)^2)/H21</f>
        <v>0.24934738658195291</v>
      </c>
      <c r="K21" s="3">
        <f>96*((C$4^C$3)/(($A21+C$4)^C$3))</f>
        <v>8.3326484767168481</v>
      </c>
      <c r="L21" s="3">
        <f>(($C21-K21)^2)/K21</f>
        <v>0.21313175126229247</v>
      </c>
      <c r="M21" s="6"/>
      <c r="Q21" s="3"/>
      <c r="R21" s="3"/>
      <c r="S21" s="3"/>
      <c r="T21" s="3"/>
      <c r="V21" s="3"/>
      <c r="W21" s="3"/>
      <c r="Y21">
        <f>'X data'!A20</f>
        <v>346</v>
      </c>
      <c r="Z21" s="3">
        <f t="shared" si="0"/>
        <v>8.0230502826537613</v>
      </c>
      <c r="AA21" s="1">
        <f t="shared" si="1"/>
        <v>3.278185569556975E-4</v>
      </c>
      <c r="AB21" s="6"/>
    </row>
    <row r="22" spans="1:28">
      <c r="Y22">
        <f>'X data'!A21</f>
        <v>359</v>
      </c>
      <c r="Z22" s="3">
        <f t="shared" si="0"/>
        <v>8.0273028688183601</v>
      </c>
      <c r="AA22" s="1">
        <f t="shared" si="1"/>
        <v>3.2642744031404912E-4</v>
      </c>
      <c r="AB22" s="6"/>
    </row>
    <row r="23" spans="1:28">
      <c r="C23" s="6">
        <f>SUM(C10:C21)</f>
        <v>96</v>
      </c>
      <c r="E23" s="6">
        <f>SUM(E10:E21)</f>
        <v>96</v>
      </c>
      <c r="F23" s="3">
        <f>SUM(F10:F21)</f>
        <v>5.5899691989617883</v>
      </c>
      <c r="H23" s="6">
        <f>SUM(H10:H21)</f>
        <v>95.999999999999972</v>
      </c>
      <c r="I23" s="3">
        <f>SUM(I10:I21)</f>
        <v>6.4618870396629999</v>
      </c>
      <c r="J23" s="6"/>
      <c r="K23" s="6">
        <f>SUM(K10:K21)</f>
        <v>96</v>
      </c>
      <c r="L23" s="3">
        <f>SUM(L10:L21)</f>
        <v>6.9991171312384459</v>
      </c>
      <c r="Q23" s="3"/>
      <c r="R23" s="3">
        <f>SUM(R10:R20)</f>
        <v>1</v>
      </c>
      <c r="S23" s="3">
        <f>SUM(S10:S20)</f>
        <v>0.99999999999999989</v>
      </c>
      <c r="T23" s="3">
        <f>SUM(T10:T20)</f>
        <v>0.99999999999999978</v>
      </c>
      <c r="U23" s="6"/>
      <c r="V23" s="6"/>
      <c r="W23" s="3"/>
      <c r="Y23">
        <f>'X data'!A22</f>
        <v>367</v>
      </c>
      <c r="Z23" s="3">
        <f t="shared" si="0"/>
        <v>8.029910884509512</v>
      </c>
      <c r="AA23" s="1">
        <f t="shared" si="1"/>
        <v>3.2557722160147368E-4</v>
      </c>
      <c r="AB23" s="6"/>
    </row>
    <row r="24" spans="1:28">
      <c r="Y24">
        <f>'X data'!A23</f>
        <v>375</v>
      </c>
      <c r="Z24" s="3">
        <f t="shared" si="0"/>
        <v>8.0325121161439093</v>
      </c>
      <c r="AA24" s="1">
        <f t="shared" si="1"/>
        <v>3.247314203725808E-4</v>
      </c>
      <c r="AB24" s="6"/>
    </row>
    <row r="25" spans="1:28">
      <c r="F25" s="9">
        <f>CHIDIST(F23,9)</f>
        <v>0.78015025499879931</v>
      </c>
      <c r="I25" s="9">
        <f>CHIDIST(I23,9)</f>
        <v>0.69294733892856386</v>
      </c>
      <c r="L25" s="9">
        <f>CHIDIST(L23,9)</f>
        <v>0.63721134657156386</v>
      </c>
      <c r="Q25" s="9"/>
      <c r="W25" s="9"/>
      <c r="Y25">
        <f>'X data'!A24</f>
        <v>378</v>
      </c>
      <c r="Z25" s="3">
        <f t="shared" si="0"/>
        <v>8.0334858361857595</v>
      </c>
      <c r="AA25" s="1">
        <f t="shared" si="1"/>
        <v>3.2441537677430895E-4</v>
      </c>
      <c r="AB25" s="6"/>
    </row>
    <row r="26" spans="1:28">
      <c r="A26" t="s">
        <v>6</v>
      </c>
      <c r="B26">
        <v>12</v>
      </c>
      <c r="Y26">
        <f>'X data'!A25</f>
        <v>384</v>
      </c>
      <c r="Z26" s="3">
        <f t="shared" si="0"/>
        <v>8.0354304364850737</v>
      </c>
      <c r="AA26" s="1">
        <f t="shared" si="1"/>
        <v>3.237851315216898E-4</v>
      </c>
      <c r="AB26" s="6"/>
    </row>
    <row r="27" spans="1:28">
      <c r="A27" t="s">
        <v>7</v>
      </c>
      <c r="B27">
        <f>96/B26</f>
        <v>8</v>
      </c>
      <c r="Y27">
        <f>'X data'!A26</f>
        <v>452</v>
      </c>
      <c r="Z27" s="3">
        <f t="shared" si="0"/>
        <v>8.0572089427436353</v>
      </c>
      <c r="AA27" s="1">
        <f t="shared" si="1"/>
        <v>3.1680980678460596E-4</v>
      </c>
      <c r="AB27" s="6"/>
    </row>
    <row r="28" spans="1:28">
      <c r="E28" t="s">
        <v>101</v>
      </c>
      <c r="H28" t="s">
        <v>102</v>
      </c>
      <c r="K28" t="s">
        <v>103</v>
      </c>
      <c r="Y28">
        <f>'X data'!A27</f>
        <v>475</v>
      </c>
      <c r="Z28" s="3">
        <f t="shared" si="0"/>
        <v>8.064469149103914</v>
      </c>
      <c r="AA28" s="1">
        <f t="shared" si="1"/>
        <v>3.1451803165729464E-4</v>
      </c>
      <c r="AB28" s="6"/>
    </row>
    <row r="29" spans="1:28">
      <c r="B29" s="7" t="s">
        <v>104</v>
      </c>
      <c r="C29" s="8" t="s">
        <v>28</v>
      </c>
      <c r="E29" t="s">
        <v>27</v>
      </c>
      <c r="F29" t="s">
        <v>4</v>
      </c>
      <c r="H29" t="s">
        <v>27</v>
      </c>
      <c r="I29" t="s">
        <v>4</v>
      </c>
      <c r="J29" s="8"/>
      <c r="K29" t="s">
        <v>27</v>
      </c>
      <c r="L29" t="s">
        <v>4</v>
      </c>
      <c r="Y29">
        <f>'X data'!A28</f>
        <v>495</v>
      </c>
      <c r="Z29" s="3">
        <f t="shared" si="0"/>
        <v>8.0707398079961514</v>
      </c>
      <c r="AA29" s="1">
        <f t="shared" si="1"/>
        <v>3.1255196706783884E-4</v>
      </c>
      <c r="AB29" s="6"/>
    </row>
    <row r="30" spans="1:28">
      <c r="A30" s="6">
        <v>0</v>
      </c>
      <c r="B30" s="6">
        <f>E$4*((11/12)^-(1/E$3)-1)</f>
        <v>126.12914351821011</v>
      </c>
      <c r="C30">
        <f t="array" ref="C30:C41">FREQUENCY('X data'!A2:A97,Pareto!B30:B41)</f>
        <v>6</v>
      </c>
      <c r="E30" s="3">
        <f>96*((E$4^E$3)/(($A30+E$4)^E$3) - (E$4^E$3)/(($B30+E$4)^E$3))</f>
        <v>7.9999999999999609</v>
      </c>
      <c r="F30" s="3">
        <f t="shared" ref="F30:F41" si="11">((C30-E30)^2)/E30</f>
        <v>0.4999999999999829</v>
      </c>
      <c r="H30" s="3">
        <f>96*((D$4^D$3)/(($A30+D$4)^D$3) - (D$4^D$3)/(($B30+D$4)^D$3))</f>
        <v>8.8169683219286448</v>
      </c>
      <c r="I30" s="3">
        <f>((C30-H30)^2)/H30</f>
        <v>0.9000044274871225</v>
      </c>
      <c r="K30" s="3">
        <f>96*((C$4^C$3)/(($A30+C$4)^C$3) - (C$4^C$3)/(($B30+C$4)^C$3))</f>
        <v>6.4704212275080621</v>
      </c>
      <c r="L30" s="3">
        <f>((C30-K30)^2)/K30</f>
        <v>3.4201193942271238E-2</v>
      </c>
      <c r="N30" s="7"/>
      <c r="Y30">
        <f>'X data'!A29</f>
        <v>503</v>
      </c>
      <c r="Z30" s="3">
        <f t="shared" si="0"/>
        <v>8.0732371028944456</v>
      </c>
      <c r="AA30" s="1">
        <f t="shared" si="1"/>
        <v>3.1177240643656505E-4</v>
      </c>
      <c r="AB30" s="6"/>
    </row>
    <row r="31" spans="1:28">
      <c r="A31" s="6">
        <f>B30</f>
        <v>126.12914351821011</v>
      </c>
      <c r="B31" s="6">
        <f>E$4*((E$4/(A31+E$4))^E$3-(8/96))^(-1/E$3)-E$4</f>
        <v>271.04852360705399</v>
      </c>
      <c r="C31">
        <v>7</v>
      </c>
      <c r="E31" s="3">
        <f>96*((E$4^E$3)/(($A31+E$4)^E$3) - (E$4^E$3)/(($B31+E$4)^E$3))</f>
        <v>8.0000000000000675</v>
      </c>
      <c r="F31" s="3">
        <f t="shared" si="11"/>
        <v>0.12500000000001582</v>
      </c>
      <c r="H31" s="3">
        <f>96*((D$4^D$3)/(($A31+D$4)^D$3) - (D$4^D$3)/(($B31+D$4)^D$3))</f>
        <v>8.5959116427821449</v>
      </c>
      <c r="I31" s="3">
        <f t="shared" ref="I31:I37" si="12">((C31-H31)^2)/H31</f>
        <v>0.29629596922465185</v>
      </c>
      <c r="K31" s="3">
        <f t="shared" ref="K31:K38" si="13">96*((C$4^C$3)/(($A31+C$4)^C$3) - (C$4^C$3)/(($B31+C$4)^C$3))</f>
        <v>6.7029385523448397</v>
      </c>
      <c r="L31" s="3">
        <f t="shared" ref="L31:L38" si="14">((C31-K31)^2)/K31</f>
        <v>1.3165196576672967E-2</v>
      </c>
      <c r="N31" s="6"/>
      <c r="P31" s="3"/>
      <c r="Q31" s="3"/>
      <c r="Y31">
        <f>'X data'!A30</f>
        <v>531</v>
      </c>
      <c r="Z31" s="3">
        <f t="shared" si="0"/>
        <v>8.0819288473869246</v>
      </c>
      <c r="AA31" s="1">
        <f t="shared" si="1"/>
        <v>3.0907430293910425E-4</v>
      </c>
      <c r="AB31" s="6"/>
    </row>
    <row r="32" spans="1:28">
      <c r="A32" s="6">
        <f>B31</f>
        <v>271.04852360705399</v>
      </c>
      <c r="B32" s="6">
        <f>E$4*((E$4/(A32+E$4))^E$3-(8/96))^(-1/E$3)-E$4</f>
        <v>439.8991496012809</v>
      </c>
      <c r="C32">
        <v>11</v>
      </c>
      <c r="E32" s="3">
        <f t="shared" ref="E32:E40" si="15">96*((E$4^E$3)/(($A32+E$4)^E$3) - (E$4^E$3)/(($B32+E$4)^E$3))</f>
        <v>8.0000000000001528</v>
      </c>
      <c r="F32" s="3">
        <f t="shared" si="11"/>
        <v>1.1249999999998639</v>
      </c>
      <c r="H32" s="3">
        <f t="shared" ref="H32:H37" si="16">96*((D$4^D$3)/(($A32+D$4)^D$3) - (D$4^D$3)/(($B32+D$4)^D$3))</f>
        <v>8.3841609435649538</v>
      </c>
      <c r="I32" s="3">
        <f t="shared" si="12"/>
        <v>0.81613580836885835</v>
      </c>
      <c r="K32" s="3">
        <f t="shared" si="13"/>
        <v>6.9536065503826485</v>
      </c>
      <c r="L32" s="3">
        <f t="shared" si="14"/>
        <v>2.3546486029188989</v>
      </c>
      <c r="M32" s="6"/>
      <c r="N32" s="6"/>
      <c r="P32" s="3"/>
      <c r="Q32" s="3"/>
      <c r="Y32">
        <f>'X data'!A31</f>
        <v>543</v>
      </c>
      <c r="Z32" s="3">
        <f t="shared" si="0"/>
        <v>8.0856308780427995</v>
      </c>
      <c r="AA32" s="1">
        <f t="shared" si="1"/>
        <v>3.0793221571999045E-4</v>
      </c>
      <c r="AB32" s="6"/>
    </row>
    <row r="33" spans="1:28">
      <c r="A33" s="6">
        <f t="shared" ref="A33:A41" si="17">B32</f>
        <v>439.8991496012809</v>
      </c>
      <c r="B33" s="6">
        <f t="shared" ref="B33:B40" si="18">E$4*((E$4/(A33+E$4))^E$3-(8/96))^(-1/E$3)-E$4</f>
        <v>640.02598270158614</v>
      </c>
      <c r="C33">
        <v>9</v>
      </c>
      <c r="E33" s="3">
        <f t="shared" si="15"/>
        <v>7.9999999999997797</v>
      </c>
      <c r="F33" s="3">
        <f t="shared" si="11"/>
        <v>0.12500000000005851</v>
      </c>
      <c r="H33" s="3">
        <f t="shared" si="16"/>
        <v>8.1825030833918113</v>
      </c>
      <c r="I33" s="3">
        <f>((C33-H33)^2)/H33</f>
        <v>8.1674421855136237E-2</v>
      </c>
      <c r="K33" s="3">
        <f t="shared" si="13"/>
        <v>7.2245524797115088</v>
      </c>
      <c r="L33" s="3">
        <f t="shared" si="14"/>
        <v>0.43631960680620968</v>
      </c>
      <c r="M33" s="6"/>
      <c r="N33" s="6"/>
      <c r="P33" s="3"/>
      <c r="Q33" s="3"/>
      <c r="Y33">
        <f>'X data'!A32</f>
        <v>563</v>
      </c>
      <c r="Z33" s="3">
        <f t="shared" si="0"/>
        <v>8.0917706354129511</v>
      </c>
      <c r="AA33" s="1">
        <f t="shared" si="1"/>
        <v>3.0604737877078675E-4</v>
      </c>
      <c r="AB33" s="6"/>
    </row>
    <row r="34" spans="1:28">
      <c r="A34" s="6">
        <f t="shared" si="17"/>
        <v>640.02598270158614</v>
      </c>
      <c r="B34" s="6">
        <f t="shared" si="18"/>
        <v>882.35993095968615</v>
      </c>
      <c r="C34">
        <v>7</v>
      </c>
      <c r="E34" s="3">
        <f t="shared" si="15"/>
        <v>8.0000000000001101</v>
      </c>
      <c r="F34" s="3">
        <f t="shared" si="11"/>
        <v>0.12500000000002581</v>
      </c>
      <c r="H34" s="3">
        <f t="shared" si="16"/>
        <v>7.9922156827402056</v>
      </c>
      <c r="I34" s="3">
        <f t="shared" si="12"/>
        <v>0.12318135547839344</v>
      </c>
      <c r="K34" s="3">
        <f t="shared" si="13"/>
        <v>7.5180836947498193</v>
      </c>
      <c r="L34" s="3">
        <f>((C34-K34)^2)/K34</f>
        <v>3.5702012063668027E-2</v>
      </c>
      <c r="M34" s="6"/>
      <c r="N34" s="6"/>
      <c r="P34" s="3"/>
      <c r="Q34" s="3"/>
      <c r="Y34">
        <f>'X data'!A33</f>
        <v>594</v>
      </c>
      <c r="Z34" s="3">
        <f t="shared" si="0"/>
        <v>8.1012133807752029</v>
      </c>
      <c r="AA34" s="1">
        <f t="shared" si="1"/>
        <v>3.0317105288311106E-4</v>
      </c>
      <c r="AB34" s="6"/>
    </row>
    <row r="35" spans="1:28">
      <c r="A35" s="6">
        <f t="shared" si="17"/>
        <v>882.35993095968615</v>
      </c>
      <c r="B35" s="6">
        <f t="shared" si="18"/>
        <v>1184.0294852350139</v>
      </c>
      <c r="C35">
        <v>7</v>
      </c>
      <c r="E35" s="3">
        <f t="shared" si="15"/>
        <v>7.9999999999999343</v>
      </c>
      <c r="F35" s="3">
        <f t="shared" si="11"/>
        <v>0.1249999999999846</v>
      </c>
      <c r="H35" s="3">
        <f>96*((D$4^D$3)/(($A35+D$4)^D$3) - (D$4^D$3)/(($B35+D$4)^D$3))</f>
        <v>7.8153939137245949</v>
      </c>
      <c r="I35" s="3">
        <f t="shared" si="12"/>
        <v>8.5071493756896932E-2</v>
      </c>
      <c r="K35" s="3">
        <f>96*((C$4^C$3)/(($A35+C$4)^C$3) - (C$4^C$3)/(($B35+C$4)^C$3))</f>
        <v>7.8365138154740137</v>
      </c>
      <c r="L35" s="3">
        <f t="shared" si="14"/>
        <v>8.9294216785166927E-2</v>
      </c>
      <c r="M35" s="6"/>
      <c r="N35" s="6"/>
      <c r="P35" s="3"/>
      <c r="Q35" s="3"/>
      <c r="Y35">
        <f>'X data'!A34</f>
        <v>609</v>
      </c>
      <c r="Z35" s="3">
        <f t="shared" si="0"/>
        <v>8.1057506376330206</v>
      </c>
      <c r="AA35" s="1">
        <f t="shared" si="1"/>
        <v>3.0179860387567639E-4</v>
      </c>
      <c r="AB35" s="6"/>
    </row>
    <row r="36" spans="1:28">
      <c r="A36" s="6">
        <f t="shared" si="17"/>
        <v>1184.0294852350139</v>
      </c>
      <c r="B36" s="6">
        <f t="shared" si="18"/>
        <v>1573.7443973234213</v>
      </c>
      <c r="C36">
        <v>8</v>
      </c>
      <c r="E36" s="3">
        <f t="shared" si="15"/>
        <v>7.9999999999999396</v>
      </c>
      <c r="F36" s="3">
        <f t="shared" si="11"/>
        <v>4.5596160321774823E-28</v>
      </c>
      <c r="H36" s="3">
        <f t="shared" si="16"/>
        <v>7.6555915695885073</v>
      </c>
      <c r="I36" s="3">
        <f>((C36-H36)^2)/H36</f>
        <v>1.5494186943006387E-2</v>
      </c>
      <c r="K36" s="3">
        <f t="shared" si="13"/>
        <v>8.181663507052539</v>
      </c>
      <c r="L36" s="3">
        <f>((C36-K36)^2)/K36</f>
        <v>4.0336087845926063E-3</v>
      </c>
      <c r="M36" s="6"/>
      <c r="N36" s="6"/>
      <c r="P36" s="3"/>
      <c r="Q36" s="3"/>
      <c r="Y36">
        <f>'X data'!A35</f>
        <v>671</v>
      </c>
      <c r="Z36" s="3">
        <f t="shared" si="0"/>
        <v>8.1242892442742214</v>
      </c>
      <c r="AA36" s="1">
        <f t="shared" si="1"/>
        <v>2.962552203385549E-4</v>
      </c>
      <c r="AB36" s="6"/>
    </row>
    <row r="37" spans="1:28">
      <c r="A37" s="6">
        <f t="shared" si="17"/>
        <v>1573.7443973234213</v>
      </c>
      <c r="B37" s="6">
        <f t="shared" si="18"/>
        <v>2104.2620187442062</v>
      </c>
      <c r="C37">
        <v>10</v>
      </c>
      <c r="E37" s="3">
        <f t="shared" si="15"/>
        <v>8.0000000000000355</v>
      </c>
      <c r="F37" s="3">
        <f t="shared" si="11"/>
        <v>0.49999999999998002</v>
      </c>
      <c r="H37" s="3">
        <f t="shared" si="16"/>
        <v>7.5192071150761262</v>
      </c>
      <c r="I37" s="3">
        <f t="shared" si="12"/>
        <v>0.81848168878729033</v>
      </c>
      <c r="K37" s="3">
        <f>96*((C$4^C$3)/(($A37+C$4)^C$3) - (C$4^C$3)/(($B37+C$4)^C$3))</f>
        <v>8.5534684999331496</v>
      </c>
      <c r="L37" s="3">
        <f t="shared" si="14"/>
        <v>0.24463214901674168</v>
      </c>
      <c r="M37" s="6"/>
      <c r="N37" s="6"/>
      <c r="P37" s="3"/>
      <c r="Q37" s="3"/>
      <c r="Y37">
        <f>'X data'!A36</f>
        <v>687</v>
      </c>
      <c r="Z37" s="3">
        <f t="shared" si="0"/>
        <v>8.1290181289786787</v>
      </c>
      <c r="AA37" s="1">
        <f t="shared" si="1"/>
        <v>2.9485757082474407E-4</v>
      </c>
      <c r="AB37" s="6"/>
    </row>
    <row r="38" spans="1:28">
      <c r="A38" s="6">
        <f t="shared" si="17"/>
        <v>2104.2620187442062</v>
      </c>
      <c r="B38" s="6">
        <f t="shared" si="18"/>
        <v>2886.4329538382899</v>
      </c>
      <c r="C38">
        <v>8</v>
      </c>
      <c r="E38" s="3">
        <f t="shared" si="15"/>
        <v>8.0000000000000675</v>
      </c>
      <c r="F38" s="3">
        <f t="shared" si="11"/>
        <v>5.6955757356956568E-28</v>
      </c>
      <c r="H38" s="3">
        <f>96*((D$4^D$3)/(($A38+D$4)^D$3) - (D$4^D$3)/(($B38+D$4)^D$3))</f>
        <v>7.4189140592870988</v>
      </c>
      <c r="I38" s="3">
        <f>((C38-H38)^2)/H38</f>
        <v>4.5513516910403999E-2</v>
      </c>
      <c r="K38" s="3">
        <f t="shared" si="13"/>
        <v>8.945857327801729</v>
      </c>
      <c r="L38" s="3">
        <f t="shared" si="14"/>
        <v>0.10000674633786825</v>
      </c>
      <c r="M38" s="6"/>
      <c r="P38" s="3"/>
      <c r="Q38" s="3"/>
      <c r="Y38">
        <f>'X data'!A37</f>
        <v>691</v>
      </c>
      <c r="Z38" s="3">
        <f t="shared" si="0"/>
        <v>8.1301968642804834</v>
      </c>
      <c r="AA38" s="1">
        <f t="shared" si="1"/>
        <v>2.9451021655659627E-4</v>
      </c>
      <c r="AB38" s="6"/>
    </row>
    <row r="39" spans="1:28">
      <c r="A39" s="6">
        <f t="shared" si="17"/>
        <v>2886.4329538382899</v>
      </c>
      <c r="B39" s="6">
        <f t="shared" si="18"/>
        <v>4209.5478563837096</v>
      </c>
      <c r="C39">
        <v>9</v>
      </c>
      <c r="E39" s="3">
        <f>96*((E$4^E$3)/(($A39+E$4)^E$3) - (E$4^E$3)/(($B39+E$4)^E$3))</f>
        <v>7.9999999999999742</v>
      </c>
      <c r="F39" s="3">
        <f t="shared" si="11"/>
        <v>0.12500000000000683</v>
      </c>
      <c r="H39" s="3">
        <f>96*((D$4^D$3)/(($A39+D$4)^D$3) - (D$4^D$3)/(($B39+D$4)^D$3))</f>
        <v>7.3840711219431876</v>
      </c>
      <c r="I39" s="3">
        <f>((C39-H39)^2)/H39</f>
        <v>0.35362960294060386</v>
      </c>
      <c r="K39" s="3">
        <f>96*((C$4^C$3)/(($A39+C$4)^C$3) - (C$4^C$3)/(($B39+C$4)^C$3))</f>
        <v>9.3326083170683098</v>
      </c>
      <c r="L39" s="3">
        <f>((C39-K39)^2)/K39</f>
        <v>1.1853952166907766E-2</v>
      </c>
      <c r="Y39">
        <f>'X data'!A38</f>
        <v>716</v>
      </c>
      <c r="Z39" s="3">
        <f t="shared" si="0"/>
        <v>8.1375326469257718</v>
      </c>
      <c r="AA39" s="1">
        <f t="shared" si="1"/>
        <v>2.9235765862277202E-4</v>
      </c>
      <c r="AB39" s="6"/>
    </row>
    <row r="40" spans="1:28">
      <c r="A40" s="6">
        <f t="shared" si="17"/>
        <v>4209.5478563837096</v>
      </c>
      <c r="B40" s="6">
        <f t="shared" si="18"/>
        <v>7236.5382794198904</v>
      </c>
      <c r="C40">
        <v>6</v>
      </c>
      <c r="E40" s="3">
        <f t="shared" si="15"/>
        <v>7.9999999999999742</v>
      </c>
      <c r="F40" s="3">
        <f t="shared" si="11"/>
        <v>0.49999999999998873</v>
      </c>
      <c r="H40" s="3">
        <f>96*((D$4^D$3)/(($A40+D$4)^D$3) - (D$4^D$3)/(($B40+D$4)^D$3))</f>
        <v>7.5060600508031126</v>
      </c>
      <c r="I40" s="3">
        <f>((C40-H40)^2)/H40</f>
        <v>0.30218474955877628</v>
      </c>
      <c r="K40" s="3">
        <f>96*((C$4^C$3)/(($A40+C$4)^C$3) - (C$4^C$3)/(($B40+C$4)^C$3))</f>
        <v>9.6017993451751042</v>
      </c>
      <c r="L40" s="3">
        <f>((C40-K40)^2)/K40</f>
        <v>1.3510966076814248</v>
      </c>
      <c r="Y40">
        <f>'X data'!A39</f>
        <v>757</v>
      </c>
      <c r="Z40" s="3">
        <f t="shared" si="0"/>
        <v>8.1494480398420954</v>
      </c>
      <c r="AA40" s="1">
        <f t="shared" si="1"/>
        <v>2.8889477403404908E-4</v>
      </c>
      <c r="AB40" s="6"/>
    </row>
    <row r="41" spans="1:28">
      <c r="A41" s="6">
        <f t="shared" si="17"/>
        <v>7236.5382794198904</v>
      </c>
      <c r="B41" s="6"/>
      <c r="C41">
        <v>8</v>
      </c>
      <c r="E41" s="3">
        <f>96*((E$4^E$3)/(($A41+E$4)^E$3))</f>
        <v>8.0000000000000036</v>
      </c>
      <c r="F41" s="3">
        <f t="shared" si="11"/>
        <v>1.5777218104420229E-30</v>
      </c>
      <c r="H41" s="3">
        <f>96*((D$4^D$3)/(($A41+D$4)^D$3))</f>
        <v>8.7290024951696132</v>
      </c>
      <c r="I41" s="3">
        <f>((C41-H41)^2)/H41</f>
        <v>6.0882631005960711E-2</v>
      </c>
      <c r="K41" s="3">
        <f>96*((C$4^C$3)/(($A41+C$4)^C$3))</f>
        <v>8.6784866827982743</v>
      </c>
      <c r="L41" s="3">
        <f>((C41-K41)^2)/K41</f>
        <v>5.3044291655947283E-2</v>
      </c>
      <c r="Q41" s="3"/>
      <c r="Y41">
        <f>'X data'!A40</f>
        <v>821</v>
      </c>
      <c r="Z41" s="3">
        <f t="shared" si="0"/>
        <v>8.1677684569898634</v>
      </c>
      <c r="AA41" s="1">
        <f t="shared" si="1"/>
        <v>2.8365028852944701E-4</v>
      </c>
      <c r="AB41" s="6"/>
    </row>
    <row r="42" spans="1:28">
      <c r="Y42">
        <f>'X data'!A41</f>
        <v>829</v>
      </c>
      <c r="Z42" s="3">
        <f t="shared" si="0"/>
        <v>8.1700350885468431</v>
      </c>
      <c r="AA42" s="1">
        <f t="shared" si="1"/>
        <v>2.8300808592761074E-4</v>
      </c>
      <c r="AB42" s="6"/>
    </row>
    <row r="43" spans="1:28">
      <c r="C43" s="6">
        <f>SUM(C30:C41)</f>
        <v>96</v>
      </c>
      <c r="E43" s="6">
        <f>SUM(E30:E41)</f>
        <v>95.999999999999986</v>
      </c>
      <c r="F43" s="3">
        <f>SUM(F30:F41)</f>
        <v>3.2499999999999067</v>
      </c>
      <c r="H43" s="6">
        <f>SUM(H30:H41)</f>
        <v>96.000000000000014</v>
      </c>
      <c r="I43" s="3">
        <f>SUM(I30:I41)</f>
        <v>3.8985498523171005</v>
      </c>
      <c r="J43" s="6"/>
      <c r="K43" s="6">
        <f>SUM(K30:K41)</f>
        <v>96.000000000000014</v>
      </c>
      <c r="L43" s="3">
        <f>SUM(L30:L41)</f>
        <v>4.7279981847363706</v>
      </c>
      <c r="Q43" s="9"/>
      <c r="Y43">
        <f>'X data'!A42</f>
        <v>885</v>
      </c>
      <c r="Z43" s="3">
        <f t="shared" si="0"/>
        <v>8.1857592659594189</v>
      </c>
      <c r="AA43" s="1">
        <f t="shared" si="1"/>
        <v>2.7859282075414171E-4</v>
      </c>
      <c r="AB43" s="6"/>
    </row>
    <row r="44" spans="1:28">
      <c r="Y44">
        <f>'X data'!A43</f>
        <v>893</v>
      </c>
      <c r="Z44" s="3">
        <f t="shared" si="0"/>
        <v>8.1879855285628551</v>
      </c>
      <c r="AA44" s="1">
        <f t="shared" si="1"/>
        <v>2.7797328985083093E-4</v>
      </c>
      <c r="AB44" s="6"/>
    </row>
    <row r="45" spans="1:28">
      <c r="F45" s="9">
        <f>CHIDIST(F43,9)</f>
        <v>0.95355309639726582</v>
      </c>
      <c r="I45" s="9">
        <f>CHIDIST(I43,9)</f>
        <v>0.91796184574417494</v>
      </c>
      <c r="L45" s="9">
        <f>CHIDIST(L43,9)</f>
        <v>0.85734560038103114</v>
      </c>
      <c r="Y45">
        <f>'X data'!A44</f>
        <v>968</v>
      </c>
      <c r="Z45" s="3">
        <f t="shared" si="0"/>
        <v>8.2086191798147325</v>
      </c>
      <c r="AA45" s="1">
        <f t="shared" si="1"/>
        <v>2.7229645426041953E-4</v>
      </c>
      <c r="AB45" s="6"/>
    </row>
    <row r="46" spans="1:28">
      <c r="Y46">
        <f>'X data'!A45</f>
        <v>1053</v>
      </c>
      <c r="Z46" s="3">
        <f t="shared" si="0"/>
        <v>8.2315005908397367</v>
      </c>
      <c r="AA46" s="1">
        <f t="shared" si="1"/>
        <v>2.6613666821657483E-4</v>
      </c>
      <c r="AB46" s="6"/>
    </row>
    <row r="47" spans="1:28">
      <c r="Y47">
        <f>'X data'!A46</f>
        <v>1081</v>
      </c>
      <c r="Z47" s="3">
        <f t="shared" si="0"/>
        <v>8.2389247898554423</v>
      </c>
      <c r="AA47" s="1">
        <f t="shared" si="1"/>
        <v>2.641681330666411E-4</v>
      </c>
      <c r="AB47" s="6"/>
    </row>
    <row r="48" spans="1:28">
      <c r="Y48">
        <f>'X data'!A47</f>
        <v>1083</v>
      </c>
      <c r="Z48" s="3">
        <f t="shared" si="0"/>
        <v>8.2394529866011101</v>
      </c>
      <c r="AA48" s="1">
        <f t="shared" si="1"/>
        <v>2.6402863716233047E-4</v>
      </c>
      <c r="AB48" s="6"/>
    </row>
    <row r="49" spans="25:28">
      <c r="Y49">
        <f>'X data'!A48</f>
        <v>1150</v>
      </c>
      <c r="Z49" s="3">
        <f t="shared" si="0"/>
        <v>8.2569882597934185</v>
      </c>
      <c r="AA49" s="1">
        <f t="shared" si="1"/>
        <v>2.5943917917770862E-4</v>
      </c>
      <c r="AB49" s="6"/>
    </row>
    <row r="50" spans="25:28">
      <c r="Y50">
        <f>'X data'!A49</f>
        <v>1205</v>
      </c>
      <c r="Z50" s="3">
        <f t="shared" si="0"/>
        <v>8.2711565684525823</v>
      </c>
      <c r="AA50" s="1">
        <f t="shared" si="1"/>
        <v>2.5578928229840121E-4</v>
      </c>
      <c r="AB50" s="6"/>
    </row>
    <row r="51" spans="25:28">
      <c r="Y51">
        <f>'X data'!A50</f>
        <v>1262</v>
      </c>
      <c r="Z51" s="3">
        <f t="shared" si="0"/>
        <v>8.2856312914546706</v>
      </c>
      <c r="AA51" s="1">
        <f t="shared" si="1"/>
        <v>2.521134706466763E-4</v>
      </c>
      <c r="AB51" s="6"/>
    </row>
    <row r="52" spans="25:28">
      <c r="Y52">
        <f>'X data'!A51</f>
        <v>1270</v>
      </c>
      <c r="Z52" s="3">
        <f t="shared" si="0"/>
        <v>8.2876461679921167</v>
      </c>
      <c r="AA52" s="1">
        <f t="shared" si="1"/>
        <v>2.5160600454235058E-4</v>
      </c>
      <c r="AB52" s="6"/>
    </row>
    <row r="53" spans="25:28">
      <c r="Y53">
        <f>'X data'!A52</f>
        <v>1351</v>
      </c>
      <c r="Z53" s="3">
        <f t="shared" si="0"/>
        <v>8.3078213595716548</v>
      </c>
      <c r="AA53" s="1">
        <f t="shared" si="1"/>
        <v>2.4658066920724484E-4</v>
      </c>
      <c r="AB53" s="6"/>
    </row>
    <row r="54" spans="25:28">
      <c r="Y54">
        <f>'X data'!A53</f>
        <v>1385</v>
      </c>
      <c r="Z54" s="3">
        <f t="shared" si="0"/>
        <v>8.3161701539496882</v>
      </c>
      <c r="AA54" s="1">
        <f t="shared" si="1"/>
        <v>2.4453058766501015E-4</v>
      </c>
      <c r="AB54" s="6"/>
    </row>
    <row r="55" spans="25:28">
      <c r="Y55">
        <f>'X data'!A54</f>
        <v>1498</v>
      </c>
      <c r="Z55" s="3">
        <f t="shared" si="0"/>
        <v>8.3434272378183678</v>
      </c>
      <c r="AA55" s="1">
        <f t="shared" si="1"/>
        <v>2.379554140377136E-4</v>
      </c>
      <c r="AB55" s="6"/>
    </row>
    <row r="56" spans="25:28">
      <c r="Y56">
        <f>'X data'!A55</f>
        <v>1546</v>
      </c>
      <c r="Z56" s="3">
        <f t="shared" si="0"/>
        <v>8.3547843607286829</v>
      </c>
      <c r="AA56" s="1">
        <f t="shared" si="1"/>
        <v>2.352682134706897E-4</v>
      </c>
      <c r="AB56" s="6"/>
    </row>
    <row r="57" spans="25:28">
      <c r="Y57">
        <f>'X data'!A56</f>
        <v>1565</v>
      </c>
      <c r="Z57" s="3">
        <f t="shared" si="0"/>
        <v>8.3592444955792491</v>
      </c>
      <c r="AA57" s="1">
        <f t="shared" si="1"/>
        <v>2.3422122210951977E-4</v>
      </c>
      <c r="AB57" s="6"/>
    </row>
    <row r="58" spans="25:28">
      <c r="Y58">
        <f>'X data'!A57</f>
        <v>1635</v>
      </c>
      <c r="Z58" s="3">
        <f t="shared" si="0"/>
        <v>8.3755070264233265</v>
      </c>
      <c r="AA58" s="1">
        <f t="shared" si="1"/>
        <v>2.3044299727808599E-4</v>
      </c>
      <c r="AB58" s="6"/>
    </row>
    <row r="59" spans="25:28">
      <c r="Y59">
        <f>'X data'!A58</f>
        <v>1671</v>
      </c>
      <c r="Z59" s="3">
        <f t="shared" si="0"/>
        <v>8.3837687520898569</v>
      </c>
      <c r="AA59" s="1">
        <f t="shared" si="1"/>
        <v>2.2854698341055028E-4</v>
      </c>
      <c r="AB59" s="6"/>
    </row>
    <row r="60" spans="25:28">
      <c r="Y60">
        <f>'X data'!A59</f>
        <v>1706</v>
      </c>
      <c r="Z60" s="3">
        <f t="shared" si="0"/>
        <v>8.3917360729483654</v>
      </c>
      <c r="AA60" s="1">
        <f t="shared" si="1"/>
        <v>2.2673331091188436E-4</v>
      </c>
      <c r="AB60" s="6"/>
    </row>
    <row r="61" spans="25:28">
      <c r="Y61">
        <f>'X data'!A60</f>
        <v>1820</v>
      </c>
      <c r="Z61" s="3">
        <f t="shared" si="0"/>
        <v>8.4172552681607424</v>
      </c>
      <c r="AA61" s="1">
        <f t="shared" si="1"/>
        <v>2.2102046295845762E-4</v>
      </c>
      <c r="AB61" s="6"/>
    </row>
    <row r="62" spans="25:28">
      <c r="Y62">
        <f>'X data'!A61</f>
        <v>1829</v>
      </c>
      <c r="Z62" s="3">
        <f t="shared" si="0"/>
        <v>8.4192424765202727</v>
      </c>
      <c r="AA62" s="1">
        <f t="shared" si="1"/>
        <v>2.2058168536248686E-4</v>
      </c>
      <c r="AB62" s="6"/>
    </row>
    <row r="63" spans="25:28">
      <c r="Y63">
        <f>'X data'!A62</f>
        <v>1855</v>
      </c>
      <c r="Z63" s="3">
        <f t="shared" si="0"/>
        <v>8.4249612171270751</v>
      </c>
      <c r="AA63" s="1">
        <f t="shared" si="1"/>
        <v>2.1932383600643875E-4</v>
      </c>
      <c r="AB63" s="6"/>
    </row>
    <row r="64" spans="25:28">
      <c r="Y64">
        <f>'X data'!A63</f>
        <v>1873</v>
      </c>
      <c r="Z64" s="3">
        <f t="shared" si="0"/>
        <v>8.4289012739469982</v>
      </c>
      <c r="AA64" s="1">
        <f t="shared" si="1"/>
        <v>2.1846138779381462E-4</v>
      </c>
      <c r="AB64" s="6"/>
    </row>
    <row r="65" spans="25:28">
      <c r="Y65">
        <f>'X data'!A64</f>
        <v>1914</v>
      </c>
      <c r="Z65" s="3">
        <f t="shared" si="0"/>
        <v>8.4378183155956954</v>
      </c>
      <c r="AA65" s="1">
        <f t="shared" si="1"/>
        <v>2.1652201807103032E-4</v>
      </c>
      <c r="AB65" s="6"/>
    </row>
    <row r="66" spans="25:28">
      <c r="Y66">
        <f>'X data'!A65</f>
        <v>2030</v>
      </c>
      <c r="Z66" s="3">
        <f t="shared" si="0"/>
        <v>8.4626246330348316</v>
      </c>
      <c r="AA66" s="1">
        <f t="shared" si="1"/>
        <v>2.1121697548033439E-4</v>
      </c>
      <c r="AB66" s="6"/>
    </row>
    <row r="67" spans="25:28">
      <c r="Y67">
        <f>'X data'!A66</f>
        <v>2066</v>
      </c>
      <c r="Z67" s="3">
        <f t="shared" si="0"/>
        <v>8.4701996808952664</v>
      </c>
      <c r="AA67" s="1">
        <f t="shared" si="1"/>
        <v>2.0962304146718562E-4</v>
      </c>
      <c r="AB67" s="6"/>
    </row>
    <row r="68" spans="25:28">
      <c r="Y68">
        <f>'X data'!A67</f>
        <v>2240</v>
      </c>
      <c r="Z68" s="3">
        <f t="shared" ref="Z68:Z98" si="19">LN(Y68+E$4)</f>
        <v>8.5060246438703633</v>
      </c>
      <c r="AA68" s="1">
        <f t="shared" ref="AA68:AA98" si="20">1/(Y68+E$4)</f>
        <v>2.0224622972205383E-4</v>
      </c>
      <c r="AB68" s="6"/>
    </row>
    <row r="69" spans="25:28">
      <c r="Y69">
        <f>'X data'!A68</f>
        <v>2413</v>
      </c>
      <c r="Z69" s="3">
        <f t="shared" si="19"/>
        <v>8.5404150538525343</v>
      </c>
      <c r="AA69" s="1">
        <f t="shared" si="20"/>
        <v>1.9540913799756269E-4</v>
      </c>
      <c r="AB69" s="6"/>
    </row>
    <row r="70" spans="25:28">
      <c r="Y70">
        <f>'X data'!A69</f>
        <v>2421</v>
      </c>
      <c r="Z70" s="3">
        <f t="shared" si="19"/>
        <v>8.5419771063170788</v>
      </c>
      <c r="AA70" s="1">
        <f t="shared" si="20"/>
        <v>1.9510413694779689E-4</v>
      </c>
      <c r="AB70" s="6"/>
    </row>
    <row r="71" spans="25:28">
      <c r="Y71">
        <f>'X data'!A70</f>
        <v>2521</v>
      </c>
      <c r="Z71" s="3">
        <f t="shared" si="19"/>
        <v>8.5612996318090833</v>
      </c>
      <c r="AA71" s="1">
        <f t="shared" si="20"/>
        <v>1.9137042086772349E-4</v>
      </c>
      <c r="AB71" s="6"/>
    </row>
    <row r="72" spans="25:28">
      <c r="Y72">
        <f>'X data'!A71</f>
        <v>2586</v>
      </c>
      <c r="Z72" s="3">
        <f t="shared" si="19"/>
        <v>8.5736619794851272</v>
      </c>
      <c r="AA72" s="1">
        <f t="shared" si="20"/>
        <v>1.8901919646109892E-4</v>
      </c>
      <c r="AB72" s="6"/>
    </row>
    <row r="73" spans="25:28">
      <c r="Y73">
        <f>'X data'!A72</f>
        <v>2727</v>
      </c>
      <c r="Z73" s="3">
        <f t="shared" si="19"/>
        <v>8.5999647163012209</v>
      </c>
      <c r="AA73" s="1">
        <f t="shared" si="20"/>
        <v>1.8411228971554786E-4</v>
      </c>
      <c r="AB73" s="6"/>
    </row>
    <row r="74" spans="25:28">
      <c r="Y74">
        <f>'X data'!A73</f>
        <v>2797</v>
      </c>
      <c r="Z74" s="3">
        <f t="shared" si="19"/>
        <v>8.6127702348280462</v>
      </c>
      <c r="AA74" s="1">
        <f t="shared" si="20"/>
        <v>1.8176966763589831E-4</v>
      </c>
      <c r="AB74" s="6"/>
    </row>
    <row r="75" spans="25:28">
      <c r="Y75">
        <f>'X data'!A74</f>
        <v>2850</v>
      </c>
      <c r="Z75" s="3">
        <f t="shared" si="19"/>
        <v>8.6223579181352168</v>
      </c>
      <c r="AA75" s="1">
        <f t="shared" si="20"/>
        <v>1.8003524545921526E-4</v>
      </c>
      <c r="AB75" s="6"/>
    </row>
    <row r="76" spans="25:28">
      <c r="Y76">
        <f>'X data'!A75</f>
        <v>2989</v>
      </c>
      <c r="Z76" s="3">
        <f t="shared" si="19"/>
        <v>8.6470748222537974</v>
      </c>
      <c r="AA76" s="1">
        <f t="shared" si="20"/>
        <v>1.7563987529862316E-4</v>
      </c>
      <c r="AB76" s="6"/>
    </row>
    <row r="77" spans="25:28">
      <c r="Y77">
        <f>'X data'!A76</f>
        <v>3110</v>
      </c>
      <c r="Z77" s="3">
        <f t="shared" si="19"/>
        <v>8.6681045638970406</v>
      </c>
      <c r="AA77" s="1">
        <f t="shared" si="20"/>
        <v>1.7198478164094137E-4</v>
      </c>
      <c r="AB77" s="6"/>
    </row>
    <row r="78" spans="25:28">
      <c r="Y78">
        <f>'X data'!A77</f>
        <v>3166</v>
      </c>
      <c r="Z78" s="3">
        <f t="shared" si="19"/>
        <v>8.6776896278225166</v>
      </c>
      <c r="AA78" s="1">
        <f t="shared" si="20"/>
        <v>1.7034417175072942E-4</v>
      </c>
      <c r="AB78" s="6"/>
    </row>
    <row r="79" spans="25:28">
      <c r="Y79">
        <f>'X data'!A78</f>
        <v>3383</v>
      </c>
      <c r="Z79" s="3">
        <f t="shared" si="19"/>
        <v>8.7139875017840609</v>
      </c>
      <c r="AA79" s="1">
        <f t="shared" si="20"/>
        <v>1.6427191221694409E-4</v>
      </c>
      <c r="AB79" s="6"/>
    </row>
    <row r="80" spans="25:28">
      <c r="Y80">
        <f>'X data'!A79</f>
        <v>3443</v>
      </c>
      <c r="Z80" s="3">
        <f t="shared" si="19"/>
        <v>8.723795559876363</v>
      </c>
      <c r="AA80" s="1">
        <f t="shared" si="20"/>
        <v>1.6266859930501488E-4</v>
      </c>
      <c r="AB80" s="6"/>
    </row>
    <row r="81" spans="25:28">
      <c r="Y81">
        <f>'X data'!A80</f>
        <v>3512</v>
      </c>
      <c r="Z81" s="3">
        <f t="shared" si="19"/>
        <v>8.7349571700542903</v>
      </c>
      <c r="AA81" s="1">
        <f t="shared" si="20"/>
        <v>1.6086305096951606E-4</v>
      </c>
      <c r="AB81" s="6"/>
    </row>
    <row r="82" spans="25:28">
      <c r="Y82">
        <f>'X data'!A81</f>
        <v>3515</v>
      </c>
      <c r="Z82" s="3">
        <f t="shared" si="19"/>
        <v>8.7354396427985037</v>
      </c>
      <c r="AA82" s="1">
        <f t="shared" si="20"/>
        <v>1.6078545765170791E-4</v>
      </c>
      <c r="AB82" s="6"/>
    </row>
    <row r="83" spans="25:28">
      <c r="Y83">
        <f>'X data'!A82</f>
        <v>3531</v>
      </c>
      <c r="Z83" s="3">
        <f t="shared" si="19"/>
        <v>8.7380089067338602</v>
      </c>
      <c r="AA83" s="1">
        <f t="shared" si="20"/>
        <v>1.6037288760166056E-4</v>
      </c>
      <c r="AB83" s="6"/>
    </row>
    <row r="84" spans="25:28">
      <c r="Y84">
        <f>'X data'!A83</f>
        <v>4068</v>
      </c>
      <c r="Z84" s="3">
        <f t="shared" si="19"/>
        <v>8.8206208409400162</v>
      </c>
      <c r="AA84" s="1">
        <f t="shared" si="20"/>
        <v>1.4765666046961013E-4</v>
      </c>
      <c r="AB84" s="6"/>
    </row>
    <row r="85" spans="25:28">
      <c r="Y85">
        <f>'X data'!A84</f>
        <v>4527</v>
      </c>
      <c r="Z85" s="3">
        <f t="shared" si="19"/>
        <v>8.8861973299108765</v>
      </c>
      <c r="AA85" s="1">
        <f t="shared" si="20"/>
        <v>1.3828450979917504E-4</v>
      </c>
      <c r="AB85" s="6"/>
    </row>
    <row r="86" spans="25:28">
      <c r="Y86">
        <f>'X data'!A85</f>
        <v>5006</v>
      </c>
      <c r="Z86" s="3">
        <f t="shared" si="19"/>
        <v>8.9503341580623133</v>
      </c>
      <c r="AA86" s="1">
        <f t="shared" si="20"/>
        <v>1.2969381457026636E-4</v>
      </c>
      <c r="AB86" s="6"/>
    </row>
    <row r="87" spans="25:28">
      <c r="Y87">
        <f>'X data'!A86</f>
        <v>5065</v>
      </c>
      <c r="Z87" s="3">
        <f t="shared" si="19"/>
        <v>8.9579569655606548</v>
      </c>
      <c r="AA87" s="1">
        <f t="shared" si="20"/>
        <v>1.2870894210369321E-4</v>
      </c>
      <c r="AB87" s="6"/>
    </row>
    <row r="88" spans="25:28">
      <c r="Y88">
        <f>'X data'!A87</f>
        <v>5481</v>
      </c>
      <c r="Z88" s="3">
        <f t="shared" si="19"/>
        <v>9.0101156593015226</v>
      </c>
      <c r="AA88" s="1">
        <f t="shared" si="20"/>
        <v>1.2216772536809492E-4</v>
      </c>
      <c r="AB88" s="6"/>
    </row>
    <row r="89" spans="25:28">
      <c r="Y89">
        <f>'X data'!A88</f>
        <v>6046</v>
      </c>
      <c r="Z89" s="3">
        <f t="shared" si="19"/>
        <v>9.0768624574306074</v>
      </c>
      <c r="AA89" s="1">
        <f t="shared" si="20"/>
        <v>1.1427960266868339E-4</v>
      </c>
      <c r="AB89" s="6"/>
    </row>
    <row r="90" spans="25:28">
      <c r="Y90">
        <f>'X data'!A89</f>
        <v>7003</v>
      </c>
      <c r="Z90" s="3">
        <f t="shared" si="19"/>
        <v>9.1806507595867828</v>
      </c>
      <c r="AA90" s="1">
        <f t="shared" si="20"/>
        <v>1.0301347432649922E-4</v>
      </c>
      <c r="AB90" s="6"/>
    </row>
    <row r="91" spans="25:28">
      <c r="Y91">
        <f>'X data'!A90</f>
        <v>7245</v>
      </c>
      <c r="Z91" s="3">
        <f t="shared" si="19"/>
        <v>9.2052743559292587</v>
      </c>
      <c r="AA91" s="1">
        <f t="shared" si="20"/>
        <v>1.0050788700031671E-4</v>
      </c>
      <c r="AB91" s="6"/>
    </row>
    <row r="92" spans="25:28">
      <c r="Y92">
        <f>'X data'!A91</f>
        <v>7477</v>
      </c>
      <c r="Z92" s="3">
        <f t="shared" si="19"/>
        <v>9.2283244786973544</v>
      </c>
      <c r="AA92" s="1">
        <f t="shared" si="20"/>
        <v>9.8217664224148731E-5</v>
      </c>
      <c r="AB92" s="6"/>
    </row>
    <row r="93" spans="25:28">
      <c r="Y93">
        <f>'X data'!A92</f>
        <v>8738</v>
      </c>
      <c r="Z93" s="3">
        <f t="shared" si="19"/>
        <v>9.3450869711870244</v>
      </c>
      <c r="AA93" s="1">
        <f t="shared" si="20"/>
        <v>8.7393734004343222E-5</v>
      </c>
      <c r="AB93" s="6"/>
    </row>
    <row r="94" spans="25:28">
      <c r="Y94">
        <f>'X data'!A93</f>
        <v>9197</v>
      </c>
      <c r="Z94" s="3">
        <f t="shared" si="19"/>
        <v>9.384417028273571</v>
      </c>
      <c r="AA94" s="1">
        <f t="shared" si="20"/>
        <v>8.4023248607835793E-5</v>
      </c>
      <c r="AB94" s="6"/>
    </row>
    <row r="95" spans="25:28">
      <c r="Y95">
        <f>'X data'!A94</f>
        <v>16370</v>
      </c>
      <c r="Z95" s="3">
        <f t="shared" si="19"/>
        <v>9.8561059630088952</v>
      </c>
      <c r="AA95" s="1">
        <f t="shared" si="20"/>
        <v>5.2426101889005509E-5</v>
      </c>
      <c r="AB95" s="6"/>
    </row>
    <row r="96" spans="25:28">
      <c r="Y96">
        <f>'X data'!A95</f>
        <v>17605</v>
      </c>
      <c r="Z96" s="3">
        <f t="shared" si="19"/>
        <v>9.9188424575647769</v>
      </c>
      <c r="AA96" s="1">
        <f t="shared" si="20"/>
        <v>4.9238119022786688E-5</v>
      </c>
      <c r="AB96" s="6"/>
    </row>
    <row r="97" spans="25:28">
      <c r="Y97">
        <f>'X data'!A96</f>
        <v>25318</v>
      </c>
      <c r="Z97" s="3">
        <f t="shared" si="19"/>
        <v>10.240761894017465</v>
      </c>
      <c r="AA97" s="1">
        <f t="shared" si="20"/>
        <v>3.5685650597856704E-5</v>
      </c>
      <c r="AB97" s="6"/>
    </row>
    <row r="98" spans="25:28">
      <c r="Y98">
        <f>'X data'!A97</f>
        <v>58524</v>
      </c>
      <c r="Z98" s="3">
        <f t="shared" si="19"/>
        <v>11.022367522857364</v>
      </c>
      <c r="AA98" s="1">
        <f t="shared" si="20"/>
        <v>1.6332272120327948E-5</v>
      </c>
      <c r="AB98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00"/>
  <sheetViews>
    <sheetView workbookViewId="0">
      <selection activeCell="M7" sqref="M7"/>
    </sheetView>
  </sheetViews>
  <sheetFormatPr defaultRowHeight="15"/>
  <cols>
    <col min="1" max="1" width="14.85546875" bestFit="1" customWidth="1"/>
    <col min="2" max="2" width="18.140625" customWidth="1"/>
    <col min="3" max="3" width="12" bestFit="1" customWidth="1"/>
    <col min="5" max="5" width="10.85546875" bestFit="1" customWidth="1"/>
    <col min="6" max="6" width="14.140625" customWidth="1"/>
    <col min="7" max="7" width="15.42578125" bestFit="1" customWidth="1"/>
    <col min="8" max="8" width="15.42578125" customWidth="1"/>
    <col min="9" max="9" width="29.42578125" customWidth="1"/>
    <col min="10" max="10" width="10.28515625" bestFit="1" customWidth="1"/>
    <col min="11" max="11" width="10.85546875" bestFit="1" customWidth="1"/>
    <col min="12" max="12" width="15" customWidth="1"/>
    <col min="13" max="13" width="18.42578125" bestFit="1" customWidth="1"/>
    <col min="14" max="14" width="11.7109375" customWidth="1"/>
    <col min="15" max="15" width="10.85546875" bestFit="1" customWidth="1"/>
    <col min="16" max="16" width="11" customWidth="1"/>
    <col min="25" max="25" width="10.7109375" bestFit="1" customWidth="1"/>
    <col min="26" max="26" width="11" bestFit="1" customWidth="1"/>
    <col min="27" max="27" width="17" bestFit="1" customWidth="1"/>
  </cols>
  <sheetData>
    <row r="1" spans="1:27">
      <c r="A1" t="s">
        <v>106</v>
      </c>
      <c r="G1" s="16"/>
      <c r="H1" s="21" t="s">
        <v>118</v>
      </c>
      <c r="I1" s="22"/>
      <c r="U1" s="3"/>
      <c r="V1" s="3"/>
    </row>
    <row r="2" spans="1:27">
      <c r="B2" s="43"/>
      <c r="C2" s="41" t="s">
        <v>35</v>
      </c>
      <c r="D2" s="45" t="s">
        <v>2</v>
      </c>
      <c r="H2" s="23" t="s">
        <v>90</v>
      </c>
      <c r="I2" s="56">
        <f>-B19*M2-B19*LN(1+D4)+O18</f>
        <v>-5.1980168791487813E-7</v>
      </c>
      <c r="L2" s="37" t="s">
        <v>45</v>
      </c>
      <c r="M2" s="51">
        <f>(GAMMALN(D3+M3)-GAMMALN(D3-M3))/(2*M3)</f>
        <v>0.49937144575018516</v>
      </c>
    </row>
    <row r="3" spans="1:27">
      <c r="B3" s="23" t="s">
        <v>29</v>
      </c>
      <c r="C3" s="53">
        <f>B21^2/(B22-B21^2-B21)</f>
        <v>2.1492824477512489</v>
      </c>
      <c r="D3" s="46">
        <v>2.1232872058377104</v>
      </c>
      <c r="H3" s="25" t="s">
        <v>89</v>
      </c>
      <c r="I3" s="58">
        <f>(-B19*D3)/(1+D4)+(B21*B19)/D4-(B21*B19)/(1+D4)</f>
        <v>-4.7338107833638787E-7</v>
      </c>
      <c r="L3" s="37" t="s">
        <v>40</v>
      </c>
      <c r="M3" s="37">
        <v>1.0000000000000001E-5</v>
      </c>
      <c r="U3" s="3"/>
      <c r="V3" s="1"/>
      <c r="W3" s="6"/>
    </row>
    <row r="4" spans="1:27">
      <c r="B4" s="25" t="s">
        <v>30</v>
      </c>
      <c r="C4" s="62">
        <f>(B22-B21^2)/B21-1</f>
        <v>0.10279244602362736</v>
      </c>
      <c r="D4" s="63">
        <v>0.10405092603258036</v>
      </c>
      <c r="H4" s="49" t="s">
        <v>113</v>
      </c>
      <c r="U4" s="3"/>
      <c r="V4" s="1"/>
      <c r="W4" s="6"/>
    </row>
    <row r="5" spans="1:27">
      <c r="H5" s="50" t="s">
        <v>114</v>
      </c>
      <c r="U5" s="3"/>
      <c r="V5" s="1"/>
      <c r="W5" s="6"/>
    </row>
    <row r="6" spans="1:27">
      <c r="A6" t="s">
        <v>108</v>
      </c>
      <c r="B6" s="43"/>
      <c r="C6" s="60" t="s">
        <v>35</v>
      </c>
      <c r="D6" s="45" t="s">
        <v>2</v>
      </c>
      <c r="U6" s="3"/>
      <c r="V6" s="1"/>
      <c r="W6" s="6"/>
    </row>
    <row r="7" spans="1:27">
      <c r="B7" s="25" t="s">
        <v>107</v>
      </c>
      <c r="C7" s="61">
        <f>B21</f>
        <v>0.22092999999999999</v>
      </c>
      <c r="D7" s="26">
        <f>B21</f>
        <v>0.22092999999999999</v>
      </c>
      <c r="U7" s="3"/>
      <c r="V7" s="1"/>
      <c r="W7" s="6"/>
    </row>
    <row r="8" spans="1:27">
      <c r="U8" s="3"/>
      <c r="V8" s="1"/>
      <c r="W8" s="6"/>
    </row>
    <row r="9" spans="1:27">
      <c r="Y9" s="3"/>
      <c r="Z9" s="1"/>
      <c r="AA9" s="6"/>
    </row>
    <row r="10" spans="1:27">
      <c r="E10" t="s">
        <v>115</v>
      </c>
      <c r="H10" t="s">
        <v>116</v>
      </c>
      <c r="J10" t="s">
        <v>117</v>
      </c>
      <c r="Y10" s="3"/>
      <c r="Z10" s="1"/>
      <c r="AA10" s="6"/>
    </row>
    <row r="11" spans="1:27">
      <c r="B11" s="8" t="s">
        <v>105</v>
      </c>
      <c r="E11" t="s">
        <v>27</v>
      </c>
      <c r="F11" t="s">
        <v>4</v>
      </c>
      <c r="H11" t="s">
        <v>27</v>
      </c>
      <c r="I11" t="s">
        <v>4</v>
      </c>
      <c r="J11" s="8"/>
      <c r="N11" s="37" t="s">
        <v>111</v>
      </c>
      <c r="R11" s="7"/>
      <c r="T11" s="7"/>
      <c r="Y11" s="3"/>
      <c r="Z11" s="1"/>
      <c r="AA11" s="6"/>
    </row>
    <row r="12" spans="1:27">
      <c r="A12" s="6">
        <v>0</v>
      </c>
      <c r="B12">
        <v>81056</v>
      </c>
      <c r="C12">
        <f>B12/B$19</f>
        <v>0.81055999999999995</v>
      </c>
      <c r="E12" s="3">
        <f t="shared" ref="E12:E17" si="0">B$19*(D$7^A12*EXP(-D$7)/FACT(A12))</f>
        <v>80177.280242206733</v>
      </c>
      <c r="F12" s="3">
        <f>(($B12-E12)^2)/E12</f>
        <v>9.630513911218781</v>
      </c>
      <c r="H12" s="3">
        <f>B$19*(EXP(GAMMALN(C$3+A12))/(FACT(A12)*EXP(GAMMALN(C$3)))*(1/(1+C$4))^C$3*(C$4/(1+C$4))^A12)</f>
        <v>81034.295157879606</v>
      </c>
      <c r="I12" s="3">
        <f t="shared" ref="I12:I17" si="1">((B12-H12)^2)/H12</f>
        <v>5.813590042998488E-3</v>
      </c>
      <c r="L12" s="6">
        <v>0</v>
      </c>
      <c r="M12">
        <f t="shared" ref="M12:M17" si="2">B12</f>
        <v>81056</v>
      </c>
      <c r="N12" s="20">
        <f t="shared" ref="N12:N17" si="3">(GAMMALN(D$3+L12+M$3)-GAMMALN(D$3+L12-M$3))/(2*M$3)</f>
        <v>0.49937144575018516</v>
      </c>
      <c r="O12" s="3">
        <f>M12*N12</f>
        <v>40477.051906727007</v>
      </c>
      <c r="S12" s="3"/>
      <c r="T12" s="3"/>
      <c r="U12" s="3"/>
      <c r="V12" s="3"/>
      <c r="Y12" s="3"/>
      <c r="Z12" s="1"/>
      <c r="AA12" s="6"/>
    </row>
    <row r="13" spans="1:27">
      <c r="A13" s="6">
        <v>1</v>
      </c>
      <c r="B13">
        <v>16174</v>
      </c>
      <c r="C13">
        <f t="shared" ref="C13:C17" si="4">B13/B$19</f>
        <v>0.16173999999999999</v>
      </c>
      <c r="E13" s="3">
        <f t="shared" si="0"/>
        <v>17713.566523910733</v>
      </c>
      <c r="F13" s="3">
        <f>((B13-E13)^2)/E13</f>
        <v>133.81071950400644</v>
      </c>
      <c r="H13" s="3">
        <f t="shared" ref="H13:H16" si="5">B$19*(EXP(GAMMALN(C$3+A13))/(FACT(A13)*EXP(GAMMALN(C$3)))*(1/(1+C$4))^C$3*(C$4/(1+C$4))^A13)</f>
        <v>16234.158016944501</v>
      </c>
      <c r="I13" s="3">
        <f t="shared" si="1"/>
        <v>0.22292421934771592</v>
      </c>
      <c r="L13" s="6">
        <v>1</v>
      </c>
      <c r="M13">
        <f t="shared" si="2"/>
        <v>16174</v>
      </c>
      <c r="N13" s="20">
        <f t="shared" si="3"/>
        <v>0.97033929093992544</v>
      </c>
      <c r="O13" s="3">
        <f t="shared" ref="O13:O16" si="6">M13*N13</f>
        <v>15694.267691662353</v>
      </c>
      <c r="S13" s="3"/>
      <c r="T13" s="3"/>
      <c r="U13" s="3"/>
      <c r="V13" s="3"/>
      <c r="Y13" s="3"/>
      <c r="Z13" s="1"/>
      <c r="AA13" s="6"/>
    </row>
    <row r="14" spans="1:27">
      <c r="A14" s="6">
        <v>2</v>
      </c>
      <c r="B14">
        <v>2435</v>
      </c>
      <c r="C14">
        <f t="shared" si="4"/>
        <v>2.435E-2</v>
      </c>
      <c r="E14" s="3">
        <f t="shared" si="0"/>
        <v>1956.7291260637987</v>
      </c>
      <c r="F14" s="3">
        <f>((B14-E14)^2)/E14</f>
        <v>116.9007124230028</v>
      </c>
      <c r="H14" s="3">
        <f>B$19*(EXP(GAMMALN(C$3+A14))/(FACT(A14)*EXP(GAMMALN(C$3)))*(1/(1+C$4))^C$3*(C$4/(1+C$4))^A14)</f>
        <v>2382.7517867023848</v>
      </c>
      <c r="I14" s="3">
        <f t="shared" si="1"/>
        <v>1.1456819833387297</v>
      </c>
      <c r="L14" s="6">
        <v>2</v>
      </c>
      <c r="M14">
        <f t="shared" si="2"/>
        <v>2435</v>
      </c>
      <c r="N14" s="20">
        <f t="shared" si="3"/>
        <v>1.2905147772190873</v>
      </c>
      <c r="O14" s="3">
        <f t="shared" si="6"/>
        <v>3142.4034825284775</v>
      </c>
      <c r="S14" s="3"/>
      <c r="T14" s="3"/>
      <c r="U14" s="3"/>
      <c r="V14" s="3"/>
      <c r="Y14" s="3"/>
      <c r="Z14" s="1"/>
      <c r="AA14" s="6"/>
    </row>
    <row r="15" spans="1:27">
      <c r="A15" s="6">
        <v>3</v>
      </c>
      <c r="B15">
        <v>295</v>
      </c>
      <c r="C15">
        <f t="shared" si="4"/>
        <v>2.9499999999999999E-3</v>
      </c>
      <c r="E15" s="3">
        <f t="shared" si="0"/>
        <v>144.10005527375836</v>
      </c>
      <c r="F15" s="3">
        <f>((B15-E15)^2)/E15</f>
        <v>158.02071189440764</v>
      </c>
      <c r="H15" s="3">
        <f>B$19*(EXP(GAMMALN(C$3+A15))/(FACT(A15)*EXP(GAMMALN(C$3)))*(1/(1+C$4))^C$3*(C$4/(1+C$4))^A15)</f>
        <v>307.18355774212563</v>
      </c>
      <c r="I15" s="3">
        <f t="shared" si="1"/>
        <v>0.48322599147810164</v>
      </c>
      <c r="L15" s="6">
        <v>3</v>
      </c>
      <c r="M15">
        <f t="shared" si="2"/>
        <v>295</v>
      </c>
      <c r="N15" s="20">
        <f t="shared" si="3"/>
        <v>1.5330397215462808</v>
      </c>
      <c r="O15" s="3">
        <f t="shared" si="6"/>
        <v>452.24671785615283</v>
      </c>
      <c r="S15" s="3"/>
      <c r="T15" s="3"/>
      <c r="U15" s="3"/>
      <c r="V15" s="3"/>
      <c r="Y15" s="3"/>
      <c r="Z15" s="1"/>
      <c r="AA15" s="6"/>
    </row>
    <row r="16" spans="1:27">
      <c r="A16" s="6">
        <v>4</v>
      </c>
      <c r="B16">
        <v>36</v>
      </c>
      <c r="C16">
        <f t="shared" si="4"/>
        <v>3.6000000000000002E-4</v>
      </c>
      <c r="E16" s="3">
        <f t="shared" si="0"/>
        <v>7.9590063029078566</v>
      </c>
      <c r="F16" s="3">
        <f>((B16-E16)^2)/E16</f>
        <v>98.793404301374196</v>
      </c>
      <c r="H16" s="3">
        <f t="shared" si="5"/>
        <v>36.859726377266625</v>
      </c>
      <c r="I16" s="3">
        <f t="shared" si="1"/>
        <v>2.0052494047374605E-2</v>
      </c>
      <c r="L16" s="6">
        <v>4</v>
      </c>
      <c r="M16">
        <f t="shared" si="2"/>
        <v>36</v>
      </c>
      <c r="N16" s="20">
        <f t="shared" si="3"/>
        <v>1.7282269049623264</v>
      </c>
      <c r="O16" s="3">
        <f t="shared" si="6"/>
        <v>62.216168578643753</v>
      </c>
      <c r="S16" s="3"/>
      <c r="T16" s="3"/>
      <c r="U16" s="3"/>
      <c r="V16" s="3"/>
      <c r="Y16" s="3"/>
      <c r="Z16" s="1"/>
      <c r="AA16" s="6"/>
    </row>
    <row r="17" spans="1:27">
      <c r="A17" s="59">
        <v>5</v>
      </c>
      <c r="B17">
        <v>4</v>
      </c>
      <c r="C17">
        <f t="shared" si="4"/>
        <v>4.0000000000000003E-5</v>
      </c>
      <c r="E17" s="3">
        <f t="shared" si="0"/>
        <v>0.35167665250028657</v>
      </c>
      <c r="F17" s="3">
        <f>((B17-E17)^2)/E17</f>
        <v>37.848015082265569</v>
      </c>
      <c r="H17" s="3">
        <f>B$19*(EXP(GAMMALN(C$3+A17))/(FACT(A17)*EXP(GAMMALN(C$3)))*(1/(1+C$4))^C$3*(C$4/(1+C$4))^A17)</f>
        <v>4.2254596807627047</v>
      </c>
      <c r="I17" s="3">
        <f t="shared" si="1"/>
        <v>1.2029949754589878E-2</v>
      </c>
      <c r="L17" s="59">
        <v>5</v>
      </c>
      <c r="M17">
        <f t="shared" si="2"/>
        <v>4</v>
      </c>
      <c r="N17" s="20">
        <f t="shared" si="3"/>
        <v>1.8915378792616619</v>
      </c>
      <c r="O17" s="48">
        <f>M17*N17</f>
        <v>7.5661515170466478</v>
      </c>
      <c r="S17" s="3"/>
      <c r="T17" s="3"/>
      <c r="U17" s="3"/>
      <c r="V17" s="3"/>
      <c r="Y17" s="3"/>
      <c r="Z17" s="1"/>
      <c r="AA17" s="6"/>
    </row>
    <row r="18" spans="1:27">
      <c r="A18" s="6"/>
      <c r="E18" s="3"/>
      <c r="F18" s="3"/>
      <c r="H18" s="3"/>
      <c r="I18" s="3"/>
      <c r="N18" s="6" t="s">
        <v>112</v>
      </c>
      <c r="O18" s="47">
        <f>SUM(O12:O17)</f>
        <v>59835.752118869677</v>
      </c>
      <c r="Q18" s="3"/>
      <c r="R18" s="3"/>
      <c r="S18" s="3"/>
      <c r="U18" s="3"/>
      <c r="V18" s="3"/>
      <c r="Y18" s="3"/>
      <c r="Z18" s="1"/>
      <c r="AA18" s="6"/>
    </row>
    <row r="19" spans="1:27">
      <c r="A19" s="6"/>
      <c r="B19">
        <f>SUM(B12:B17)</f>
        <v>100000</v>
      </c>
      <c r="E19" s="3"/>
      <c r="F19" s="3"/>
      <c r="H19" s="3"/>
      <c r="I19" s="3"/>
      <c r="M19" s="6"/>
      <c r="Q19" s="3"/>
      <c r="R19" s="3"/>
      <c r="S19" s="3"/>
      <c r="U19" s="3"/>
      <c r="V19" s="3"/>
      <c r="Y19" s="3"/>
      <c r="Z19" s="1"/>
      <c r="AA19" s="6"/>
    </row>
    <row r="20" spans="1:27">
      <c r="A20" s="6"/>
      <c r="E20" s="3"/>
      <c r="F20" s="3"/>
      <c r="H20" s="3"/>
      <c r="I20" s="3"/>
      <c r="M20" s="6"/>
      <c r="Q20" s="3"/>
      <c r="R20" s="3"/>
      <c r="S20" s="3"/>
      <c r="U20" s="3"/>
      <c r="V20" s="3"/>
      <c r="Y20" s="3"/>
      <c r="Z20" s="1"/>
      <c r="AA20" s="6"/>
    </row>
    <row r="21" spans="1:27">
      <c r="A21" s="6" t="s">
        <v>109</v>
      </c>
      <c r="B21">
        <f>(A$12*B$12+A$13*B$13+A$14*B$14+A$15*B$15+A$16*B$16+A$17*B$17)/B$19</f>
        <v>0.22092999999999999</v>
      </c>
      <c r="E21" s="6">
        <f>SUM(E12:E17)</f>
        <v>99999.986630410422</v>
      </c>
      <c r="F21" s="3">
        <f>SUM(F12:F17)</f>
        <v>555.00407711627531</v>
      </c>
      <c r="G21" s="6"/>
      <c r="H21" s="6">
        <f>SUM(H12:H17)</f>
        <v>99999.473705326644</v>
      </c>
      <c r="I21" s="3">
        <f>SUM(I12:I17)</f>
        <v>1.8897282280095102</v>
      </c>
      <c r="M21" s="6"/>
      <c r="Q21" s="3"/>
      <c r="R21" s="3"/>
      <c r="S21" s="3"/>
      <c r="U21" s="3"/>
      <c r="V21" s="3"/>
      <c r="Y21" s="3"/>
      <c r="Z21" s="1"/>
      <c r="AA21" s="6"/>
    </row>
    <row r="22" spans="1:27">
      <c r="A22" s="6" t="s">
        <v>110</v>
      </c>
      <c r="B22" s="19">
        <f>(A$12^2*B$12+A$13^2*B$13+A$14^2*B$14+A$15^2*B$15+A$16^2*B$16+A$17^2*B$17)/B$19</f>
        <v>0.29244999999999999</v>
      </c>
      <c r="E22" s="3"/>
      <c r="F22" s="3"/>
      <c r="G22" s="3"/>
      <c r="H22" s="3"/>
      <c r="I22" s="3"/>
      <c r="M22" s="6"/>
      <c r="Q22" s="3"/>
      <c r="R22" s="3"/>
      <c r="S22" s="3"/>
      <c r="U22" s="3"/>
      <c r="V22" s="3"/>
      <c r="Y22" s="3"/>
      <c r="Z22" s="1"/>
      <c r="AA22" s="6"/>
    </row>
    <row r="23" spans="1:27">
      <c r="A23" s="6"/>
      <c r="F23" s="9">
        <f>CHIDIST(F21,4)</f>
        <v>8.4571554965496596E-119</v>
      </c>
      <c r="I23" s="9">
        <f>CHIDIST(I21,3)</f>
        <v>0.59560633612559999</v>
      </c>
      <c r="M23" s="6"/>
      <c r="Q23" s="3"/>
      <c r="R23" s="3"/>
      <c r="S23" s="3"/>
      <c r="U23" s="3"/>
      <c r="V23" s="3"/>
      <c r="Y23" s="3"/>
      <c r="Z23" s="1"/>
      <c r="AA23" s="6"/>
    </row>
    <row r="24" spans="1:27">
      <c r="Y24" s="3"/>
      <c r="Z24" s="1"/>
      <c r="AA24" s="6"/>
    </row>
    <row r="25" spans="1:27">
      <c r="B25" s="6"/>
      <c r="H25" s="6"/>
      <c r="I25" s="3"/>
      <c r="J25" s="6"/>
      <c r="Q25" s="3"/>
      <c r="R25" s="3"/>
      <c r="S25" s="3"/>
      <c r="T25" s="6"/>
      <c r="U25" s="6"/>
      <c r="V25" s="3"/>
      <c r="Y25" s="3"/>
      <c r="Z25" s="1"/>
      <c r="AA25" s="6"/>
    </row>
    <row r="26" spans="1:27">
      <c r="Y26" s="3"/>
      <c r="Z26" s="1"/>
      <c r="AA26" s="6"/>
    </row>
    <row r="27" spans="1:27">
      <c r="I27" s="9"/>
      <c r="Q27" s="9"/>
      <c r="V27" s="9"/>
      <c r="Y27" s="3"/>
      <c r="Z27" s="1"/>
      <c r="AA27" s="6"/>
    </row>
    <row r="28" spans="1:27">
      <c r="Y28" s="3"/>
      <c r="Z28" s="1"/>
      <c r="AA28" s="6"/>
    </row>
    <row r="29" spans="1:27">
      <c r="Y29" s="3"/>
      <c r="Z29" s="1"/>
      <c r="AA29" s="6"/>
    </row>
    <row r="30" spans="1:27">
      <c r="Y30" s="3"/>
      <c r="Z30" s="1"/>
      <c r="AA30" s="6"/>
    </row>
    <row r="31" spans="1:27">
      <c r="B31" s="7"/>
      <c r="C31" s="8"/>
      <c r="J31" s="8"/>
      <c r="Y31" s="3"/>
      <c r="Z31" s="1"/>
      <c r="AA31" s="6"/>
    </row>
    <row r="32" spans="1:27">
      <c r="A32" s="6"/>
      <c r="B32" s="6"/>
      <c r="E32" s="3"/>
      <c r="F32" s="3"/>
      <c r="H32" s="3"/>
      <c r="I32" s="3"/>
      <c r="N32" s="7"/>
      <c r="Y32" s="3"/>
      <c r="Z32" s="1"/>
      <c r="AA32" s="6"/>
    </row>
    <row r="33" spans="1:27">
      <c r="A33" s="6"/>
      <c r="B33" s="6"/>
      <c r="E33" s="3"/>
      <c r="F33" s="3"/>
      <c r="H33" s="3"/>
      <c r="I33" s="3"/>
      <c r="N33" s="6"/>
      <c r="P33" s="3"/>
      <c r="Q33" s="3"/>
      <c r="Y33" s="3"/>
      <c r="Z33" s="1"/>
      <c r="AA33" s="6"/>
    </row>
    <row r="34" spans="1:27">
      <c r="A34" s="6"/>
      <c r="B34" s="6"/>
      <c r="E34" s="3"/>
      <c r="F34" s="3"/>
      <c r="H34" s="3"/>
      <c r="I34" s="3"/>
      <c r="M34" s="6"/>
      <c r="N34" s="6"/>
      <c r="P34" s="3"/>
      <c r="Q34" s="3"/>
      <c r="Y34" s="3"/>
      <c r="Z34" s="1"/>
      <c r="AA34" s="6"/>
    </row>
    <row r="35" spans="1:27">
      <c r="A35" s="6"/>
      <c r="B35" s="6"/>
      <c r="E35" s="3"/>
      <c r="F35" s="3"/>
      <c r="H35" s="3"/>
      <c r="I35" s="3"/>
      <c r="M35" s="6"/>
      <c r="N35" s="6"/>
      <c r="P35" s="3"/>
      <c r="Q35" s="3"/>
      <c r="Y35" s="3"/>
      <c r="Z35" s="1"/>
      <c r="AA35" s="6"/>
    </row>
    <row r="36" spans="1:27">
      <c r="A36" s="6"/>
      <c r="B36" s="6"/>
      <c r="E36" s="3"/>
      <c r="F36" s="3"/>
      <c r="H36" s="3"/>
      <c r="I36" s="3"/>
      <c r="M36" s="6"/>
      <c r="N36" s="6"/>
      <c r="P36" s="3"/>
      <c r="Q36" s="3"/>
      <c r="Y36" s="3"/>
      <c r="Z36" s="1"/>
      <c r="AA36" s="6"/>
    </row>
    <row r="37" spans="1:27">
      <c r="A37" s="6"/>
      <c r="B37" s="6"/>
      <c r="E37" s="3"/>
      <c r="F37" s="3"/>
      <c r="H37" s="3"/>
      <c r="I37" s="3"/>
      <c r="M37" s="6"/>
      <c r="N37" s="6"/>
      <c r="P37" s="3"/>
      <c r="Q37" s="3"/>
      <c r="Y37" s="3"/>
      <c r="Z37" s="1"/>
      <c r="AA37" s="6"/>
    </row>
    <row r="38" spans="1:27">
      <c r="A38" s="6"/>
      <c r="B38" s="6"/>
      <c r="E38" s="3"/>
      <c r="F38" s="3"/>
      <c r="H38" s="3"/>
      <c r="I38" s="3"/>
      <c r="M38" s="6"/>
      <c r="N38" s="6"/>
      <c r="P38" s="3"/>
      <c r="Q38" s="3"/>
      <c r="Y38" s="3"/>
      <c r="Z38" s="1"/>
      <c r="AA38" s="6"/>
    </row>
    <row r="39" spans="1:27">
      <c r="A39" s="6"/>
      <c r="B39" s="6"/>
      <c r="E39" s="3"/>
      <c r="F39" s="3"/>
      <c r="H39" s="3"/>
      <c r="I39" s="3"/>
      <c r="M39" s="6"/>
      <c r="N39" s="6"/>
      <c r="P39" s="3"/>
      <c r="Q39" s="3"/>
      <c r="Y39" s="3"/>
      <c r="Z39" s="1"/>
      <c r="AA39" s="6"/>
    </row>
    <row r="40" spans="1:27">
      <c r="A40" s="6"/>
      <c r="B40" s="6"/>
      <c r="E40" s="3"/>
      <c r="F40" s="3"/>
      <c r="H40" s="3"/>
      <c r="I40" s="3"/>
      <c r="M40" s="6"/>
      <c r="P40" s="3"/>
      <c r="Q40" s="3"/>
      <c r="Y40" s="3"/>
      <c r="Z40" s="1"/>
      <c r="AA40" s="6"/>
    </row>
    <row r="41" spans="1:27">
      <c r="A41" s="6"/>
      <c r="B41" s="6"/>
      <c r="E41" s="3"/>
      <c r="F41" s="3"/>
      <c r="H41" s="3"/>
      <c r="I41" s="3"/>
      <c r="Y41" s="3"/>
      <c r="Z41" s="1"/>
      <c r="AA41" s="6"/>
    </row>
    <row r="42" spans="1:27">
      <c r="A42" s="6"/>
      <c r="B42" s="6"/>
      <c r="E42" s="3"/>
      <c r="F42" s="3"/>
      <c r="H42" s="3"/>
      <c r="I42" s="3"/>
      <c r="Y42" s="3"/>
      <c r="Z42" s="1"/>
      <c r="AA42" s="6"/>
    </row>
    <row r="43" spans="1:27">
      <c r="A43" s="6"/>
      <c r="B43" s="6"/>
      <c r="E43" s="3"/>
      <c r="F43" s="3"/>
      <c r="H43" s="3"/>
      <c r="I43" s="3"/>
      <c r="Q43" s="3"/>
      <c r="Y43" s="3"/>
      <c r="Z43" s="1"/>
      <c r="AA43" s="6"/>
    </row>
    <row r="44" spans="1:27">
      <c r="Y44" s="3"/>
      <c r="Z44" s="1"/>
      <c r="AA44" s="6"/>
    </row>
    <row r="45" spans="1:27">
      <c r="C45" s="6"/>
      <c r="E45" s="6"/>
      <c r="F45" s="3"/>
      <c r="H45" s="6"/>
      <c r="I45" s="3"/>
      <c r="J45" s="6"/>
      <c r="Q45" s="9"/>
      <c r="Y45" s="3"/>
      <c r="Z45" s="1"/>
      <c r="AA45" s="6"/>
    </row>
    <row r="46" spans="1:27">
      <c r="Y46" s="3"/>
      <c r="Z46" s="1"/>
      <c r="AA46" s="6"/>
    </row>
    <row r="47" spans="1:27">
      <c r="F47" s="9"/>
      <c r="I47" s="9"/>
      <c r="Y47" s="3"/>
      <c r="Z47" s="1"/>
      <c r="AA47" s="6"/>
    </row>
    <row r="48" spans="1:27">
      <c r="Y48" s="3"/>
      <c r="Z48" s="1"/>
      <c r="AA48" s="6"/>
    </row>
    <row r="49" spans="25:27">
      <c r="Y49" s="3"/>
      <c r="Z49" s="1"/>
      <c r="AA49" s="6"/>
    </row>
    <row r="50" spans="25:27">
      <c r="Y50" s="3"/>
      <c r="Z50" s="1"/>
      <c r="AA50" s="6"/>
    </row>
    <row r="51" spans="25:27">
      <c r="Y51" s="3"/>
      <c r="Z51" s="1"/>
      <c r="AA51" s="6"/>
    </row>
    <row r="52" spans="25:27">
      <c r="Y52" s="3"/>
      <c r="Z52" s="1"/>
      <c r="AA52" s="6"/>
    </row>
    <row r="53" spans="25:27">
      <c r="Y53" s="3"/>
      <c r="Z53" s="1"/>
      <c r="AA53" s="6"/>
    </row>
    <row r="54" spans="25:27">
      <c r="Y54" s="3"/>
      <c r="Z54" s="1"/>
      <c r="AA54" s="6"/>
    </row>
    <row r="55" spans="25:27">
      <c r="Y55" s="3"/>
      <c r="Z55" s="1"/>
      <c r="AA55" s="6"/>
    </row>
    <row r="56" spans="25:27">
      <c r="Y56" s="3"/>
      <c r="Z56" s="1"/>
      <c r="AA56" s="6"/>
    </row>
    <row r="57" spans="25:27">
      <c r="Y57" s="3"/>
      <c r="Z57" s="1"/>
      <c r="AA57" s="6"/>
    </row>
    <row r="58" spans="25:27">
      <c r="Y58" s="3"/>
      <c r="Z58" s="1"/>
      <c r="AA58" s="6"/>
    </row>
    <row r="59" spans="25:27">
      <c r="Y59" s="3"/>
      <c r="Z59" s="1"/>
      <c r="AA59" s="6"/>
    </row>
    <row r="60" spans="25:27">
      <c r="Y60" s="3"/>
      <c r="Z60" s="1"/>
      <c r="AA60" s="6"/>
    </row>
    <row r="61" spans="25:27">
      <c r="Y61" s="3"/>
      <c r="Z61" s="1"/>
      <c r="AA61" s="6"/>
    </row>
    <row r="62" spans="25:27">
      <c r="Y62" s="3"/>
      <c r="Z62" s="1"/>
      <c r="AA62" s="6"/>
    </row>
    <row r="63" spans="25:27">
      <c r="Y63" s="3"/>
      <c r="Z63" s="1"/>
      <c r="AA63" s="6"/>
    </row>
    <row r="64" spans="25:27">
      <c r="Y64" s="3"/>
      <c r="Z64" s="1"/>
      <c r="AA64" s="6"/>
    </row>
    <row r="65" spans="25:27">
      <c r="Y65" s="3"/>
      <c r="Z65" s="1"/>
      <c r="AA65" s="6"/>
    </row>
    <row r="66" spans="25:27">
      <c r="Y66" s="3"/>
      <c r="Z66" s="1"/>
      <c r="AA66" s="6"/>
    </row>
    <row r="67" spans="25:27">
      <c r="Y67" s="3"/>
      <c r="Z67" s="1"/>
      <c r="AA67" s="6"/>
    </row>
    <row r="68" spans="25:27">
      <c r="Y68" s="3"/>
      <c r="Z68" s="1"/>
      <c r="AA68" s="6"/>
    </row>
    <row r="69" spans="25:27">
      <c r="Y69" s="3"/>
      <c r="Z69" s="1"/>
      <c r="AA69" s="6"/>
    </row>
    <row r="70" spans="25:27">
      <c r="Y70" s="3"/>
      <c r="Z70" s="1"/>
      <c r="AA70" s="6"/>
    </row>
    <row r="71" spans="25:27">
      <c r="Y71" s="3"/>
      <c r="Z71" s="1"/>
      <c r="AA71" s="6"/>
    </row>
    <row r="72" spans="25:27">
      <c r="Y72" s="3"/>
      <c r="Z72" s="1"/>
      <c r="AA72" s="6"/>
    </row>
    <row r="73" spans="25:27">
      <c r="Y73" s="3"/>
      <c r="Z73" s="1"/>
      <c r="AA73" s="6"/>
    </row>
    <row r="74" spans="25:27">
      <c r="Y74" s="3"/>
      <c r="Z74" s="1"/>
      <c r="AA74" s="6"/>
    </row>
    <row r="75" spans="25:27">
      <c r="Y75" s="3"/>
      <c r="Z75" s="1"/>
      <c r="AA75" s="6"/>
    </row>
    <row r="76" spans="25:27">
      <c r="Y76" s="3"/>
      <c r="Z76" s="1"/>
      <c r="AA76" s="6"/>
    </row>
    <row r="77" spans="25:27">
      <c r="Y77" s="3"/>
      <c r="Z77" s="1"/>
      <c r="AA77" s="6"/>
    </row>
    <row r="78" spans="25:27">
      <c r="Y78" s="3"/>
      <c r="Z78" s="1"/>
      <c r="AA78" s="6"/>
    </row>
    <row r="79" spans="25:27">
      <c r="Y79" s="3"/>
      <c r="Z79" s="1"/>
      <c r="AA79" s="6"/>
    </row>
    <row r="80" spans="25:27">
      <c r="Y80" s="3"/>
      <c r="Z80" s="1"/>
      <c r="AA80" s="6"/>
    </row>
    <row r="81" spans="25:27">
      <c r="Y81" s="3"/>
      <c r="Z81" s="1"/>
      <c r="AA81" s="6"/>
    </row>
    <row r="82" spans="25:27">
      <c r="Y82" s="3"/>
      <c r="Z82" s="1"/>
      <c r="AA82" s="6"/>
    </row>
    <row r="83" spans="25:27">
      <c r="Y83" s="3"/>
      <c r="Z83" s="1"/>
      <c r="AA83" s="6"/>
    </row>
    <row r="84" spans="25:27">
      <c r="Y84" s="3"/>
      <c r="Z84" s="1"/>
      <c r="AA84" s="6"/>
    </row>
    <row r="85" spans="25:27">
      <c r="Y85" s="3"/>
      <c r="Z85" s="1"/>
      <c r="AA85" s="6"/>
    </row>
    <row r="86" spans="25:27">
      <c r="Y86" s="3"/>
      <c r="Z86" s="1"/>
      <c r="AA86" s="6"/>
    </row>
    <row r="87" spans="25:27">
      <c r="Y87" s="3"/>
      <c r="Z87" s="1"/>
      <c r="AA87" s="6"/>
    </row>
    <row r="88" spans="25:27">
      <c r="Y88" s="3"/>
      <c r="Z88" s="1"/>
      <c r="AA88" s="6"/>
    </row>
    <row r="89" spans="25:27">
      <c r="Y89" s="3"/>
      <c r="Z89" s="1"/>
      <c r="AA89" s="6"/>
    </row>
    <row r="90" spans="25:27">
      <c r="Y90" s="3"/>
      <c r="Z90" s="1"/>
      <c r="AA90" s="6"/>
    </row>
    <row r="91" spans="25:27">
      <c r="Y91" s="3"/>
      <c r="Z91" s="1"/>
      <c r="AA91" s="6"/>
    </row>
    <row r="92" spans="25:27">
      <c r="Y92" s="3"/>
      <c r="Z92" s="1"/>
      <c r="AA92" s="6"/>
    </row>
    <row r="93" spans="25:27">
      <c r="Y93" s="3"/>
      <c r="Z93" s="1"/>
      <c r="AA93" s="6"/>
    </row>
    <row r="94" spans="25:27">
      <c r="Y94" s="3"/>
      <c r="Z94" s="1"/>
      <c r="AA94" s="6"/>
    </row>
    <row r="95" spans="25:27">
      <c r="Y95" s="3"/>
      <c r="Z95" s="1"/>
      <c r="AA95" s="6"/>
    </row>
    <row r="96" spans="25:27">
      <c r="Y96" s="3"/>
      <c r="Z96" s="1"/>
      <c r="AA96" s="6"/>
    </row>
    <row r="97" spans="25:27">
      <c r="Y97" s="3"/>
      <c r="Z97" s="1"/>
      <c r="AA97" s="6"/>
    </row>
    <row r="98" spans="25:27">
      <c r="Y98" s="3"/>
      <c r="Z98" s="1"/>
      <c r="AA98" s="6"/>
    </row>
    <row r="99" spans="25:27">
      <c r="Y99" s="3"/>
      <c r="Z99" s="1"/>
      <c r="AA99" s="6"/>
    </row>
    <row r="100" spans="25:27">
      <c r="Y100" s="3"/>
      <c r="Z100" s="1"/>
      <c r="AA100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 data</vt:lpstr>
      <vt:lpstr>Distributions</vt:lpstr>
      <vt:lpstr>Exponential</vt:lpstr>
      <vt:lpstr>Gamma</vt:lpstr>
      <vt:lpstr>Lognormal</vt:lpstr>
      <vt:lpstr>Weibull</vt:lpstr>
      <vt:lpstr>Pareto</vt:lpstr>
      <vt:lpstr>Negative Binomial</vt:lpstr>
    </vt:vector>
  </TitlesOfParts>
  <Company>ANU College of Business &amp; Economics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Higgins</dc:creator>
  <cp:lastModifiedBy>Tim Higgins</cp:lastModifiedBy>
  <dcterms:created xsi:type="dcterms:W3CDTF">2013-01-19T06:24:04Z</dcterms:created>
  <dcterms:modified xsi:type="dcterms:W3CDTF">2013-03-04T23:59:37Z</dcterms:modified>
</cp:coreProperties>
</file>