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1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5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7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9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0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1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32.xml" ContentType="application/vnd.openxmlformats-officedocument.drawing+xml"/>
  <Override PartName="/xl/charts/chart60.xml" ContentType="application/vnd.openxmlformats-officedocument.drawingml.chart+xml"/>
  <Override PartName="/xl/drawings/drawing33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4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769FD87D-98A9-E442-85AD-55CDC168ECED}" xr6:coauthVersionLast="47" xr6:coauthVersionMax="47" xr10:uidLastSave="{00000000-0000-0000-0000-000000000000}"/>
  <bookViews>
    <workbookView xWindow="0" yWindow="500" windowWidth="28800" windowHeight="15620" xr2:uid="{00000000-000D-0000-FFFF-FFFF00000000}"/>
  </bookViews>
  <sheets>
    <sheet name="TSLA,AAPL" sheetId="40" r:id="rId1"/>
    <sheet name="4 fear plan" sheetId="39" r:id="rId2"/>
    <sheet name="실현손익" sheetId="35" r:id="rId3"/>
    <sheet name="투자기준" sheetId="36" r:id="rId4"/>
    <sheet name="투자" sheetId="37" r:id="rId5"/>
    <sheet name="배당주 요약" sheetId="38" r:id="rId6"/>
    <sheet name="list" sheetId="2" r:id="rId7"/>
    <sheet name="1" sheetId="3" r:id="rId8"/>
    <sheet name="2" sheetId="4" r:id="rId9"/>
    <sheet name="3" sheetId="5" r:id="rId10"/>
    <sheet name="4" sheetId="6" r:id="rId11"/>
    <sheet name="5" sheetId="7" r:id="rId12"/>
    <sheet name="6" sheetId="8" r:id="rId13"/>
    <sheet name="7" sheetId="9" r:id="rId14"/>
    <sheet name="8" sheetId="10" r:id="rId15"/>
    <sheet name="9" sheetId="11" r:id="rId16"/>
    <sheet name="10" sheetId="12" r:id="rId17"/>
    <sheet name="11" sheetId="13" r:id="rId18"/>
    <sheet name="12" sheetId="14" r:id="rId19"/>
    <sheet name="13" sheetId="15" r:id="rId20"/>
    <sheet name="14" sheetId="16" r:id="rId21"/>
    <sheet name="15" sheetId="17" r:id="rId22"/>
    <sheet name="16" sheetId="18" r:id="rId23"/>
    <sheet name="17" sheetId="19" r:id="rId24"/>
    <sheet name="18" sheetId="20" r:id="rId25"/>
    <sheet name="19" sheetId="21" r:id="rId26"/>
    <sheet name="20" sheetId="22" r:id="rId27"/>
    <sheet name="21" sheetId="23" r:id="rId28"/>
    <sheet name="22" sheetId="24" r:id="rId29"/>
    <sheet name="23" sheetId="25" r:id="rId30"/>
    <sheet name="24" sheetId="26" r:id="rId31"/>
    <sheet name="25" sheetId="27" r:id="rId32"/>
    <sheet name="26" sheetId="28" r:id="rId33"/>
    <sheet name="27" sheetId="29" r:id="rId34"/>
    <sheet name="28" sheetId="30" r:id="rId35"/>
    <sheet name="29" sheetId="31" r:id="rId36"/>
    <sheet name="30" sheetId="32" r:id="rId37"/>
    <sheet name="31" sheetId="33" r:id="rId38"/>
    <sheet name="32" sheetId="34" r:id="rId39"/>
  </sheets>
  <externalReferences>
    <externalReference r:id="rId40"/>
  </externalReferences>
  <definedNames>
    <definedName name="_xlnm._FilterDatabase" localSheetId="7" hidden="1">'1'!$A$1:$I$40</definedName>
    <definedName name="_xlnm._FilterDatabase" localSheetId="16" hidden="1">'10'!$A$1:$J$40</definedName>
    <definedName name="_xlnm._FilterDatabase" localSheetId="17" hidden="1">'11'!$A$1:$J$41</definedName>
    <definedName name="_xlnm._FilterDatabase" localSheetId="18" hidden="1">'12'!$A$1:$J$41</definedName>
    <definedName name="_xlnm._FilterDatabase" localSheetId="19" hidden="1">'13'!$A$1:$J$40</definedName>
    <definedName name="_xlnm._FilterDatabase" localSheetId="20" hidden="1">'14'!$A$1:$J$40</definedName>
    <definedName name="_xlnm._FilterDatabase" localSheetId="21" hidden="1">'15'!$A$1:$J$41</definedName>
    <definedName name="_xlnm._FilterDatabase" localSheetId="22" hidden="1">'16'!$A$1:$J$40</definedName>
    <definedName name="_xlnm._FilterDatabase" localSheetId="23" hidden="1">'17'!$A$1:$J$40</definedName>
    <definedName name="_xlnm._FilterDatabase" localSheetId="24" hidden="1">'18'!$A$1:$J$40</definedName>
    <definedName name="_xlnm._FilterDatabase" localSheetId="25" hidden="1">'19'!$A$1:$J$40</definedName>
    <definedName name="_xlnm._FilterDatabase" localSheetId="8" hidden="1">'2'!$A$1:$I$40</definedName>
    <definedName name="_xlnm._FilterDatabase" localSheetId="26" hidden="1">'20'!$A$1:$J$40</definedName>
    <definedName name="_xlnm._FilterDatabase" localSheetId="27" hidden="1">'21'!$A$1:$J$40</definedName>
    <definedName name="_xlnm._FilterDatabase" localSheetId="28" hidden="1">'22'!$A$1:$J$40</definedName>
    <definedName name="_xlnm._FilterDatabase" localSheetId="29" hidden="1">'23'!$A$1:$J$40</definedName>
    <definedName name="_xlnm._FilterDatabase" localSheetId="30" hidden="1">'24'!$A$1:$J$40</definedName>
    <definedName name="_xlnm._FilterDatabase" localSheetId="31" hidden="1">'25'!$A$1:$J$40</definedName>
    <definedName name="_xlnm._FilterDatabase" localSheetId="32" hidden="1">'26'!$A$1:$M$40</definedName>
    <definedName name="_xlnm._FilterDatabase" localSheetId="33" hidden="1">'27'!$A$1:$K$40</definedName>
    <definedName name="_xlnm._FilterDatabase" localSheetId="34" hidden="1">'28'!$A$1:$K$40</definedName>
    <definedName name="_xlnm._FilterDatabase" localSheetId="35" hidden="1">'29'!$A$1:$K$38</definedName>
    <definedName name="_xlnm._FilterDatabase" localSheetId="9" hidden="1">'3'!$A$1:$L$40</definedName>
    <definedName name="_xlnm._FilterDatabase" localSheetId="36" hidden="1">'30'!$A$1:$K$40</definedName>
    <definedName name="_xlnm._FilterDatabase" localSheetId="10" hidden="1">'4'!$A$1:$I$40</definedName>
    <definedName name="_xlnm._FilterDatabase" localSheetId="11" hidden="1">'5'!$A$1:$J$40</definedName>
    <definedName name="_xlnm._FilterDatabase" localSheetId="12" hidden="1">'6'!$A$1:$J$32</definedName>
    <definedName name="_xlnm._FilterDatabase" localSheetId="13" hidden="1">'7'!$A$1:$J$40</definedName>
    <definedName name="_xlnm._FilterDatabase" localSheetId="14" hidden="1">'8'!$A$1:$J$40</definedName>
    <definedName name="_xlnm._FilterDatabase" localSheetId="15" hidden="1">'9'!$A$1:$J$34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40" l="1"/>
  <c r="V31" i="40"/>
  <c r="V32" i="40"/>
  <c r="V29" i="40"/>
  <c r="T25" i="40"/>
  <c r="U25" i="40" s="1"/>
  <c r="V25" i="40" s="1"/>
  <c r="U29" i="40" s="1"/>
  <c r="U30" i="40" s="1"/>
  <c r="U31" i="40" s="1"/>
  <c r="U32" i="40" s="1"/>
  <c r="V45" i="40"/>
  <c r="V44" i="40"/>
  <c r="V43" i="40"/>
  <c r="V42" i="40"/>
  <c r="T38" i="40"/>
  <c r="U38" i="40" s="1"/>
  <c r="V38" i="40" s="1"/>
  <c r="U42" i="40" s="1"/>
  <c r="U43" i="40" s="1"/>
  <c r="U44" i="40" s="1"/>
  <c r="U45" i="40" s="1"/>
  <c r="D170" i="35"/>
  <c r="B170" i="35"/>
  <c r="F361" i="37"/>
  <c r="N53" i="39"/>
  <c r="N54" i="39" s="1"/>
  <c r="N55" i="39" s="1"/>
  <c r="N56" i="39" s="1"/>
  <c r="L62" i="39"/>
  <c r="J62" i="39"/>
  <c r="N52" i="39"/>
  <c r="L52" i="39"/>
  <c r="J52" i="39"/>
  <c r="R50" i="39"/>
  <c r="R60" i="39" s="1"/>
  <c r="Q50" i="39"/>
  <c r="Q60" i="39" s="1"/>
  <c r="P50" i="39"/>
  <c r="P60" i="39" s="1"/>
  <c r="N50" i="39"/>
  <c r="N62" i="39" s="1"/>
  <c r="L50" i="39"/>
  <c r="L60" i="39" s="1"/>
  <c r="J50" i="39"/>
  <c r="J61" i="39" s="1"/>
  <c r="L135" i="39"/>
  <c r="J135" i="39"/>
  <c r="R133" i="39"/>
  <c r="R141" i="39" s="1"/>
  <c r="Q133" i="39"/>
  <c r="Q143" i="39" s="1"/>
  <c r="P133" i="39"/>
  <c r="P141" i="39" s="1"/>
  <c r="O133" i="39"/>
  <c r="O141" i="39" s="1"/>
  <c r="N133" i="39"/>
  <c r="N143" i="39" s="1"/>
  <c r="L133" i="39"/>
  <c r="L143" i="39" s="1"/>
  <c r="J133" i="39"/>
  <c r="J145" i="39" s="1"/>
  <c r="J148" i="39"/>
  <c r="L148" i="39" s="1"/>
  <c r="L136" i="39" s="1"/>
  <c r="L137" i="39" s="1"/>
  <c r="L138" i="39" s="1"/>
  <c r="L139" i="39" s="1"/>
  <c r="J147" i="39"/>
  <c r="L147" i="39" s="1"/>
  <c r="J136" i="39" s="1"/>
  <c r="J137" i="39" s="1"/>
  <c r="J138" i="39" s="1"/>
  <c r="J139" i="39" s="1"/>
  <c r="N148" i="39"/>
  <c r="N147" i="39"/>
  <c r="N65" i="39"/>
  <c r="N66" i="39"/>
  <c r="N64" i="39"/>
  <c r="J66" i="39"/>
  <c r="L66" i="39" s="1"/>
  <c r="J65" i="39"/>
  <c r="L65" i="39" s="1"/>
  <c r="L53" i="39" s="1"/>
  <c r="L54" i="39" s="1"/>
  <c r="L55" i="39" s="1"/>
  <c r="L56" i="39" s="1"/>
  <c r="J64" i="39"/>
  <c r="L64" i="39" s="1"/>
  <c r="J53" i="39" s="1"/>
  <c r="J54" i="39" s="1"/>
  <c r="J55" i="39" s="1"/>
  <c r="J56" i="39" s="1"/>
  <c r="I283" i="37"/>
  <c r="I282" i="37"/>
  <c r="D279" i="37"/>
  <c r="F362" i="37"/>
  <c r="I284" i="37"/>
  <c r="C169" i="35"/>
  <c r="D169" i="35"/>
  <c r="B169" i="35"/>
  <c r="B123" i="35"/>
  <c r="C123" i="35" s="1"/>
  <c r="D123" i="35"/>
  <c r="D168" i="35"/>
  <c r="B168" i="35"/>
  <c r="D167" i="35"/>
  <c r="B167" i="35"/>
  <c r="C166" i="35"/>
  <c r="B166" i="35"/>
  <c r="D166" i="35"/>
  <c r="F360" i="37"/>
  <c r="F405" i="37"/>
  <c r="F404" i="37"/>
  <c r="F380" i="37"/>
  <c r="E170" i="35" l="1"/>
  <c r="E166" i="35"/>
  <c r="E169" i="35"/>
  <c r="N59" i="39"/>
  <c r="P61" i="39"/>
  <c r="J60" i="39"/>
  <c r="L61" i="39"/>
  <c r="N60" i="39"/>
  <c r="R59" i="39"/>
  <c r="J59" i="39"/>
  <c r="L59" i="39"/>
  <c r="Q61" i="39"/>
  <c r="N61" i="39"/>
  <c r="R61" i="39"/>
  <c r="O144" i="39"/>
  <c r="P144" i="39"/>
  <c r="L141" i="39"/>
  <c r="L144" i="39"/>
  <c r="L145" i="39"/>
  <c r="J141" i="39"/>
  <c r="J143" i="39"/>
  <c r="J144" i="39"/>
  <c r="R144" i="39"/>
  <c r="N144" i="39"/>
  <c r="Q144" i="39"/>
  <c r="N141" i="39"/>
  <c r="O143" i="39"/>
  <c r="Q141" i="39"/>
  <c r="R143" i="39"/>
  <c r="P143" i="39"/>
  <c r="F123" i="35"/>
  <c r="E123" i="35"/>
  <c r="E167" i="35"/>
  <c r="E168" i="35"/>
  <c r="F406" i="37"/>
  <c r="G406" i="37" s="1"/>
  <c r="D162" i="35"/>
  <c r="C165" i="35"/>
  <c r="D165" i="35"/>
  <c r="B165" i="35"/>
  <c r="D157" i="35"/>
  <c r="C163" i="35"/>
  <c r="D163" i="35"/>
  <c r="D164" i="35"/>
  <c r="B164" i="35"/>
  <c r="B162" i="35"/>
  <c r="B163" i="35"/>
  <c r="D161" i="35"/>
  <c r="B161" i="35"/>
  <c r="F363" i="37"/>
  <c r="G363" i="37" s="1"/>
  <c r="D160" i="35"/>
  <c r="C160" i="35"/>
  <c r="B160" i="35"/>
  <c r="D261" i="37"/>
  <c r="D155" i="35"/>
  <c r="J132" i="39"/>
  <c r="J131" i="39"/>
  <c r="J49" i="39"/>
  <c r="J48" i="39"/>
  <c r="L48" i="39" s="1"/>
  <c r="L36" i="39" s="1"/>
  <c r="L37" i="39" s="1"/>
  <c r="L38" i="39" s="1"/>
  <c r="L39" i="39" s="1"/>
  <c r="J47" i="39"/>
  <c r="L47" i="39" s="1"/>
  <c r="J36" i="39" s="1"/>
  <c r="J37" i="39" s="1"/>
  <c r="J38" i="39" s="1"/>
  <c r="J39" i="39" s="1"/>
  <c r="C159" i="35"/>
  <c r="D159" i="35"/>
  <c r="B159" i="35"/>
  <c r="D158" i="35"/>
  <c r="B158" i="35"/>
  <c r="D156" i="35"/>
  <c r="B157" i="35"/>
  <c r="B156" i="35"/>
  <c r="R117" i="39"/>
  <c r="R127" i="39" s="1"/>
  <c r="L119" i="39"/>
  <c r="J119" i="39"/>
  <c r="P117" i="39"/>
  <c r="P128" i="39" s="1"/>
  <c r="Q117" i="39"/>
  <c r="Q128" i="39" s="1"/>
  <c r="O117" i="39"/>
  <c r="O127" i="39" s="1"/>
  <c r="N117" i="39"/>
  <c r="N127" i="39" s="1"/>
  <c r="L117" i="39"/>
  <c r="L129" i="39" s="1"/>
  <c r="J117" i="39"/>
  <c r="J128" i="39" s="1"/>
  <c r="R33" i="39"/>
  <c r="R44" i="39" s="1"/>
  <c r="Q33" i="39"/>
  <c r="Q44" i="39" s="1"/>
  <c r="P33" i="39"/>
  <c r="P43" i="39" s="1"/>
  <c r="N33" i="39"/>
  <c r="N45" i="39" s="1"/>
  <c r="L33" i="39"/>
  <c r="L44" i="39" s="1"/>
  <c r="J33" i="39"/>
  <c r="J45" i="39" s="1"/>
  <c r="N35" i="39"/>
  <c r="L35" i="39"/>
  <c r="J35" i="39"/>
  <c r="C155" i="35"/>
  <c r="B155" i="35"/>
  <c r="L185" i="35"/>
  <c r="F402" i="37"/>
  <c r="G402" i="37" s="1"/>
  <c r="F392" i="37"/>
  <c r="G392" i="37" s="1"/>
  <c r="G362" i="37"/>
  <c r="D153" i="35"/>
  <c r="D154" i="35"/>
  <c r="B154" i="35"/>
  <c r="D152" i="35"/>
  <c r="B152" i="35"/>
  <c r="I145" i="37"/>
  <c r="I144" i="37"/>
  <c r="I178" i="37"/>
  <c r="B153" i="35"/>
  <c r="C153" i="35"/>
  <c r="I143" i="37"/>
  <c r="C152" i="35"/>
  <c r="D150" i="35"/>
  <c r="I207" i="37"/>
  <c r="I206" i="37"/>
  <c r="I205" i="37"/>
  <c r="I204" i="37"/>
  <c r="I203" i="37"/>
  <c r="AU202" i="37"/>
  <c r="AT202" i="37"/>
  <c r="AS202" i="37"/>
  <c r="AR202" i="37"/>
  <c r="AQ202" i="37"/>
  <c r="AP202" i="37"/>
  <c r="AO202" i="37"/>
  <c r="AN202" i="37"/>
  <c r="AM202" i="37"/>
  <c r="AL202" i="37"/>
  <c r="AK202" i="37"/>
  <c r="AJ202" i="37"/>
  <c r="AI202" i="37"/>
  <c r="AH202" i="37"/>
  <c r="AG202" i="37"/>
  <c r="AF202" i="37"/>
  <c r="AE202" i="37"/>
  <c r="AD202" i="37"/>
  <c r="AC202" i="37"/>
  <c r="AB202" i="37"/>
  <c r="AA202" i="37"/>
  <c r="Z202" i="37"/>
  <c r="Y202" i="37"/>
  <c r="X202" i="37"/>
  <c r="W202" i="37"/>
  <c r="V202" i="37"/>
  <c r="U202" i="37"/>
  <c r="T202" i="37"/>
  <c r="S202" i="37"/>
  <c r="R202" i="37"/>
  <c r="Q202" i="37"/>
  <c r="P202" i="37"/>
  <c r="O202" i="37"/>
  <c r="N202" i="37"/>
  <c r="M202" i="37"/>
  <c r="L202" i="37"/>
  <c r="K202" i="37"/>
  <c r="F201" i="37"/>
  <c r="I200" i="37"/>
  <c r="I199" i="37"/>
  <c r="I198" i="37"/>
  <c r="I197" i="37"/>
  <c r="AU196" i="37"/>
  <c r="AT196" i="37"/>
  <c r="AS196" i="37"/>
  <c r="AR196" i="37"/>
  <c r="AQ196" i="37"/>
  <c r="AP196" i="37"/>
  <c r="AO196" i="37"/>
  <c r="AN196" i="37"/>
  <c r="AM196" i="37"/>
  <c r="AL196" i="37"/>
  <c r="AK196" i="37"/>
  <c r="AJ196" i="37"/>
  <c r="AI196" i="37"/>
  <c r="AH196" i="37"/>
  <c r="AG196" i="37"/>
  <c r="AF196" i="37"/>
  <c r="AE196" i="37"/>
  <c r="AD196" i="37"/>
  <c r="AC196" i="37"/>
  <c r="AB196" i="37"/>
  <c r="AA196" i="37"/>
  <c r="Z196" i="37"/>
  <c r="Y196" i="37"/>
  <c r="X196" i="37"/>
  <c r="W196" i="37"/>
  <c r="V196" i="37"/>
  <c r="U196" i="37"/>
  <c r="T196" i="37"/>
  <c r="S196" i="37"/>
  <c r="R196" i="37"/>
  <c r="Q196" i="37"/>
  <c r="P196" i="37"/>
  <c r="O196" i="37"/>
  <c r="N196" i="37"/>
  <c r="M196" i="37"/>
  <c r="L196" i="37"/>
  <c r="K196" i="37"/>
  <c r="F195" i="37"/>
  <c r="C151" i="35"/>
  <c r="B150" i="35"/>
  <c r="S18" i="36"/>
  <c r="S16" i="36"/>
  <c r="S17" i="36"/>
  <c r="I213" i="37"/>
  <c r="I212" i="37"/>
  <c r="I211" i="37"/>
  <c r="I210" i="37"/>
  <c r="AU209" i="37"/>
  <c r="AT209" i="37"/>
  <c r="AS209" i="37"/>
  <c r="AR209" i="37"/>
  <c r="AQ209" i="37"/>
  <c r="AP209" i="37"/>
  <c r="AO209" i="37"/>
  <c r="AN209" i="37"/>
  <c r="AM209" i="37"/>
  <c r="AL209" i="37"/>
  <c r="AK209" i="37"/>
  <c r="AJ209" i="37"/>
  <c r="AI209" i="37"/>
  <c r="AH209" i="37"/>
  <c r="AG209" i="37"/>
  <c r="AF209" i="37"/>
  <c r="AE209" i="37"/>
  <c r="AD209" i="37"/>
  <c r="AC209" i="37"/>
  <c r="AB209" i="37"/>
  <c r="AA209" i="37"/>
  <c r="Z209" i="37"/>
  <c r="Y209" i="37"/>
  <c r="X209" i="37"/>
  <c r="W209" i="37"/>
  <c r="V209" i="37"/>
  <c r="U209" i="37"/>
  <c r="T209" i="37"/>
  <c r="S209" i="37"/>
  <c r="R209" i="37"/>
  <c r="Q209" i="37"/>
  <c r="P209" i="37"/>
  <c r="O209" i="37"/>
  <c r="N209" i="37"/>
  <c r="M209" i="37"/>
  <c r="L209" i="37"/>
  <c r="K209" i="37"/>
  <c r="F208" i="37"/>
  <c r="C149" i="35"/>
  <c r="C148" i="35"/>
  <c r="B148" i="35"/>
  <c r="D148" i="35"/>
  <c r="B149" i="35"/>
  <c r="D149" i="35"/>
  <c r="B151" i="35"/>
  <c r="D151" i="35"/>
  <c r="I177" i="37"/>
  <c r="D147" i="35"/>
  <c r="C147" i="35"/>
  <c r="B147" i="35"/>
  <c r="D146" i="35"/>
  <c r="D145" i="35"/>
  <c r="D144" i="35"/>
  <c r="C146" i="35"/>
  <c r="B146" i="35"/>
  <c r="D142" i="35"/>
  <c r="D122" i="35"/>
  <c r="B122" i="35"/>
  <c r="C122" i="35" s="1"/>
  <c r="I168" i="37"/>
  <c r="D143" i="35"/>
  <c r="D121" i="35"/>
  <c r="B121" i="35"/>
  <c r="C121" i="35" s="1"/>
  <c r="D120" i="35"/>
  <c r="B120" i="35"/>
  <c r="C120" i="35" s="1"/>
  <c r="G361" i="37"/>
  <c r="D119" i="35"/>
  <c r="B119" i="35"/>
  <c r="C119" i="35" s="1"/>
  <c r="A358" i="37"/>
  <c r="A357" i="37" s="1"/>
  <c r="G405" i="37"/>
  <c r="G404" i="37"/>
  <c r="F403" i="37"/>
  <c r="G403" i="37" s="1"/>
  <c r="F401" i="37"/>
  <c r="G401" i="37" s="1"/>
  <c r="F400" i="37"/>
  <c r="G400" i="37" s="1"/>
  <c r="F399" i="37"/>
  <c r="G399" i="37" s="1"/>
  <c r="F393" i="37"/>
  <c r="G393" i="37" s="1"/>
  <c r="G380" i="37"/>
  <c r="G360" i="37"/>
  <c r="D118" i="35"/>
  <c r="B118" i="35"/>
  <c r="C118" i="35" s="1"/>
  <c r="D117" i="35"/>
  <c r="B117" i="35"/>
  <c r="C117" i="35" s="1"/>
  <c r="B145" i="35"/>
  <c r="B144" i="35"/>
  <c r="C145" i="35"/>
  <c r="C144" i="35"/>
  <c r="D116" i="35"/>
  <c r="B116" i="35"/>
  <c r="C116" i="35" s="1"/>
  <c r="B143" i="35"/>
  <c r="I142" i="37"/>
  <c r="O66" i="35"/>
  <c r="D115" i="35"/>
  <c r="B115" i="35"/>
  <c r="C115" i="35" s="1"/>
  <c r="I133" i="37"/>
  <c r="D114" i="35"/>
  <c r="B114" i="35"/>
  <c r="C114" i="35" s="1"/>
  <c r="I185" i="37"/>
  <c r="I141" i="37"/>
  <c r="D113" i="35"/>
  <c r="B113" i="35"/>
  <c r="C113" i="35" s="1"/>
  <c r="I132" i="37"/>
  <c r="I140" i="37"/>
  <c r="D112" i="35"/>
  <c r="B112" i="35"/>
  <c r="C112" i="35" s="1"/>
  <c r="E279" i="37"/>
  <c r="I287" i="37"/>
  <c r="I286" i="37"/>
  <c r="I285" i="37"/>
  <c r="I281" i="37"/>
  <c r="AU280" i="37"/>
  <c r="AT280" i="37"/>
  <c r="AS280" i="37"/>
  <c r="AR280" i="37"/>
  <c r="AQ280" i="37"/>
  <c r="AP280" i="37"/>
  <c r="AO280" i="37"/>
  <c r="AN280" i="37"/>
  <c r="AM280" i="37"/>
  <c r="AL280" i="37"/>
  <c r="AK280" i="37"/>
  <c r="AJ280" i="37"/>
  <c r="AI280" i="37"/>
  <c r="AH280" i="37"/>
  <c r="AG280" i="37"/>
  <c r="AF280" i="37"/>
  <c r="AE280" i="37"/>
  <c r="AD280" i="37"/>
  <c r="AC280" i="37"/>
  <c r="AB280" i="37"/>
  <c r="AA280" i="37"/>
  <c r="Z280" i="37"/>
  <c r="Y280" i="37"/>
  <c r="X280" i="37"/>
  <c r="W280" i="37"/>
  <c r="V280" i="37"/>
  <c r="U280" i="37"/>
  <c r="T280" i="37"/>
  <c r="S280" i="37"/>
  <c r="R280" i="37"/>
  <c r="Q280" i="37"/>
  <c r="P280" i="37"/>
  <c r="O280" i="37"/>
  <c r="N280" i="37"/>
  <c r="M280" i="37"/>
  <c r="L280" i="37"/>
  <c r="K280" i="37"/>
  <c r="B73" i="35"/>
  <c r="C73" i="35"/>
  <c r="D73" i="35"/>
  <c r="B74" i="35"/>
  <c r="C74" i="35"/>
  <c r="D74" i="35"/>
  <c r="I295" i="37"/>
  <c r="I294" i="37"/>
  <c r="B111" i="35"/>
  <c r="C111" i="35" s="1"/>
  <c r="D111" i="35"/>
  <c r="D136" i="35"/>
  <c r="D132" i="35"/>
  <c r="C72" i="35"/>
  <c r="D72" i="35"/>
  <c r="B72" i="35"/>
  <c r="I344" i="37"/>
  <c r="D110" i="35"/>
  <c r="B110" i="35"/>
  <c r="C110" i="35" s="1"/>
  <c r="I87" i="37"/>
  <c r="B109" i="35"/>
  <c r="C109" i="35" s="1"/>
  <c r="D109" i="35"/>
  <c r="D108" i="35"/>
  <c r="B108" i="35"/>
  <c r="C108" i="35" s="1"/>
  <c r="I86" i="37"/>
  <c r="I112" i="37"/>
  <c r="O65" i="35"/>
  <c r="D107" i="35"/>
  <c r="B107" i="35"/>
  <c r="C107" i="35" s="1"/>
  <c r="I85" i="37"/>
  <c r="D141" i="35"/>
  <c r="D138" i="35"/>
  <c r="D106" i="35"/>
  <c r="B106" i="35"/>
  <c r="C106" i="35" s="1"/>
  <c r="D105" i="35"/>
  <c r="B105" i="35"/>
  <c r="C105" i="35" s="1"/>
  <c r="I84" i="37"/>
  <c r="E7" i="36"/>
  <c r="F6" i="36"/>
  <c r="G6" i="36" s="1"/>
  <c r="C142" i="35"/>
  <c r="B142" i="35"/>
  <c r="D135" i="35"/>
  <c r="D104" i="35"/>
  <c r="B104" i="35"/>
  <c r="C104" i="35" s="1"/>
  <c r="I83" i="37"/>
  <c r="D103" i="35"/>
  <c r="B103" i="35"/>
  <c r="C103" i="35" s="1"/>
  <c r="I82" i="37"/>
  <c r="D102" i="35"/>
  <c r="B102" i="35"/>
  <c r="C102" i="35" s="1"/>
  <c r="I81" i="37"/>
  <c r="B71" i="35"/>
  <c r="D71" i="35"/>
  <c r="C71" i="35"/>
  <c r="I188" i="37"/>
  <c r="I187" i="37"/>
  <c r="I186" i="37"/>
  <c r="I184" i="37"/>
  <c r="AU183" i="37"/>
  <c r="AT183" i="37"/>
  <c r="AS183" i="37"/>
  <c r="AR183" i="37"/>
  <c r="AQ183" i="37"/>
  <c r="AP183" i="37"/>
  <c r="AO183" i="37"/>
  <c r="AN183" i="37"/>
  <c r="AM183" i="37"/>
  <c r="AL183" i="37"/>
  <c r="AK183" i="37"/>
  <c r="AJ183" i="37"/>
  <c r="AI183" i="37"/>
  <c r="AH183" i="37"/>
  <c r="AG183" i="37"/>
  <c r="AF183" i="37"/>
  <c r="AE183" i="37"/>
  <c r="AD183" i="37"/>
  <c r="AC183" i="37"/>
  <c r="AB183" i="37"/>
  <c r="AA183" i="37"/>
  <c r="Z183" i="37"/>
  <c r="Y183" i="37"/>
  <c r="X183" i="37"/>
  <c r="W183" i="37"/>
  <c r="V183" i="37"/>
  <c r="U183" i="37"/>
  <c r="T183" i="37"/>
  <c r="S183" i="37"/>
  <c r="R183" i="37"/>
  <c r="Q183" i="37"/>
  <c r="P183" i="37"/>
  <c r="O183" i="37"/>
  <c r="N183" i="37"/>
  <c r="M183" i="37"/>
  <c r="L183" i="37"/>
  <c r="K183" i="37"/>
  <c r="F182" i="37"/>
  <c r="I80" i="37"/>
  <c r="D101" i="35"/>
  <c r="B101" i="35"/>
  <c r="C101" i="35" s="1"/>
  <c r="D100" i="35"/>
  <c r="B100" i="35"/>
  <c r="C100" i="35" s="1"/>
  <c r="D99" i="35"/>
  <c r="B99" i="35"/>
  <c r="C99" i="35" s="1"/>
  <c r="O63" i="35"/>
  <c r="C140" i="35"/>
  <c r="C135" i="35"/>
  <c r="C133" i="35"/>
  <c r="C130" i="35"/>
  <c r="D140" i="35"/>
  <c r="B140" i="35"/>
  <c r="B141" i="35"/>
  <c r="B139" i="35"/>
  <c r="D139" i="35"/>
  <c r="B138" i="35"/>
  <c r="D98" i="35"/>
  <c r="B98" i="35"/>
  <c r="C98" i="35" s="1"/>
  <c r="I79" i="37"/>
  <c r="B70" i="35"/>
  <c r="I303" i="37"/>
  <c r="C70" i="35"/>
  <c r="D70" i="35"/>
  <c r="B69" i="35"/>
  <c r="C69" i="35"/>
  <c r="D69" i="35"/>
  <c r="D137" i="35"/>
  <c r="B137" i="35"/>
  <c r="R63" i="36"/>
  <c r="D67" i="35"/>
  <c r="D68" i="35"/>
  <c r="C68" i="35"/>
  <c r="B68" i="35"/>
  <c r="I302" i="37"/>
  <c r="C67" i="35"/>
  <c r="B67" i="35"/>
  <c r="C65" i="35"/>
  <c r="D65" i="35"/>
  <c r="B65" i="35"/>
  <c r="D66" i="35"/>
  <c r="C66" i="35"/>
  <c r="B66" i="35"/>
  <c r="I337" i="37"/>
  <c r="I336" i="37"/>
  <c r="B97" i="35"/>
  <c r="C97" i="35" s="1"/>
  <c r="D97" i="35"/>
  <c r="O62" i="35"/>
  <c r="D96" i="35"/>
  <c r="B96" i="35"/>
  <c r="C96" i="35" s="1"/>
  <c r="I78" i="37"/>
  <c r="D95" i="35"/>
  <c r="B95" i="35"/>
  <c r="C95" i="35" s="1"/>
  <c r="I77" i="37"/>
  <c r="D94" i="35"/>
  <c r="B94" i="35"/>
  <c r="C94" i="35" s="1"/>
  <c r="I76" i="37"/>
  <c r="D93" i="35"/>
  <c r="B93" i="35"/>
  <c r="C93" i="35" s="1"/>
  <c r="I75" i="37"/>
  <c r="D92" i="35"/>
  <c r="B92" i="35"/>
  <c r="C92" i="35" s="1"/>
  <c r="I74" i="37"/>
  <c r="D91" i="35"/>
  <c r="B91" i="35"/>
  <c r="C91" i="35" s="1"/>
  <c r="I73" i="37"/>
  <c r="O61" i="35"/>
  <c r="D90" i="35"/>
  <c r="B90" i="35"/>
  <c r="C90" i="35" s="1"/>
  <c r="I72" i="37"/>
  <c r="I327" i="37"/>
  <c r="B89" i="35"/>
  <c r="C89" i="35" s="1"/>
  <c r="D89" i="35"/>
  <c r="I71" i="37"/>
  <c r="D88" i="35"/>
  <c r="B88" i="35"/>
  <c r="C88" i="35" s="1"/>
  <c r="I131" i="37"/>
  <c r="B64" i="35"/>
  <c r="C64" i="35"/>
  <c r="D64" i="35"/>
  <c r="I194" i="37"/>
  <c r="I193" i="37"/>
  <c r="I192" i="37"/>
  <c r="I191" i="37"/>
  <c r="AU190" i="37"/>
  <c r="AT190" i="37"/>
  <c r="AS190" i="37"/>
  <c r="AR190" i="37"/>
  <c r="AQ190" i="37"/>
  <c r="AP190" i="37"/>
  <c r="AO190" i="37"/>
  <c r="AN190" i="37"/>
  <c r="AM190" i="37"/>
  <c r="AL190" i="37"/>
  <c r="AK190" i="37"/>
  <c r="AJ190" i="37"/>
  <c r="AI190" i="37"/>
  <c r="AH190" i="37"/>
  <c r="AG190" i="37"/>
  <c r="AF190" i="37"/>
  <c r="AE190" i="37"/>
  <c r="AD190" i="37"/>
  <c r="AC190" i="37"/>
  <c r="AB190" i="37"/>
  <c r="AA190" i="37"/>
  <c r="Z190" i="37"/>
  <c r="Y190" i="37"/>
  <c r="X190" i="37"/>
  <c r="W190" i="37"/>
  <c r="V190" i="37"/>
  <c r="U190" i="37"/>
  <c r="T190" i="37"/>
  <c r="S190" i="37"/>
  <c r="R190" i="37"/>
  <c r="Q190" i="37"/>
  <c r="P190" i="37"/>
  <c r="O190" i="37"/>
  <c r="N190" i="37"/>
  <c r="M190" i="37"/>
  <c r="L190" i="37"/>
  <c r="K190" i="37"/>
  <c r="F189" i="37"/>
  <c r="B63" i="35"/>
  <c r="D63" i="35"/>
  <c r="I326" i="37"/>
  <c r="C63" i="35"/>
  <c r="D62" i="35"/>
  <c r="C62" i="35"/>
  <c r="B62" i="35"/>
  <c r="B61" i="35"/>
  <c r="D61" i="35"/>
  <c r="D133" i="35"/>
  <c r="D131" i="35"/>
  <c r="B87" i="35"/>
  <c r="C87" i="35" s="1"/>
  <c r="B86" i="35"/>
  <c r="C86" i="35" s="1"/>
  <c r="B85" i="35"/>
  <c r="C85" i="35" s="1"/>
  <c r="D87" i="35"/>
  <c r="D86" i="35"/>
  <c r="D85" i="35"/>
  <c r="D84" i="35"/>
  <c r="D83" i="35"/>
  <c r="B84" i="35"/>
  <c r="C84" i="35" s="1"/>
  <c r="B83" i="35"/>
  <c r="C83" i="35" s="1"/>
  <c r="I130" i="37"/>
  <c r="I128" i="37"/>
  <c r="I129" i="37"/>
  <c r="D134" i="35"/>
  <c r="B60" i="35"/>
  <c r="D60" i="35"/>
  <c r="D59" i="35"/>
  <c r="B59" i="35"/>
  <c r="B58" i="35"/>
  <c r="D58" i="35"/>
  <c r="I29" i="37"/>
  <c r="I316" i="37"/>
  <c r="I70" i="37"/>
  <c r="E160" i="35" l="1"/>
  <c r="P44" i="39"/>
  <c r="N128" i="39"/>
  <c r="O128" i="39"/>
  <c r="O125" i="39"/>
  <c r="N125" i="39"/>
  <c r="Q43" i="39"/>
  <c r="R42" i="39"/>
  <c r="J44" i="39"/>
  <c r="Q127" i="39"/>
  <c r="J43" i="39"/>
  <c r="R125" i="39"/>
  <c r="N42" i="39"/>
  <c r="N43" i="39"/>
  <c r="R128" i="39"/>
  <c r="J125" i="39"/>
  <c r="P125" i="39"/>
  <c r="J129" i="39"/>
  <c r="P127" i="39"/>
  <c r="J42" i="39"/>
  <c r="J127" i="39"/>
  <c r="L125" i="39"/>
  <c r="Q125" i="39"/>
  <c r="E156" i="35"/>
  <c r="E165" i="35"/>
  <c r="E164" i="35"/>
  <c r="E163" i="35"/>
  <c r="E162" i="35"/>
  <c r="E161" i="35"/>
  <c r="E158" i="35"/>
  <c r="R43" i="39"/>
  <c r="L42" i="39"/>
  <c r="L43" i="39"/>
  <c r="L45" i="39"/>
  <c r="N44" i="39"/>
  <c r="L131" i="39"/>
  <c r="J120" i="39" s="1"/>
  <c r="J121" i="39" s="1"/>
  <c r="J122" i="39" s="1"/>
  <c r="J123" i="39" s="1"/>
  <c r="E157" i="35"/>
  <c r="E159" i="35"/>
  <c r="E154" i="35"/>
  <c r="E155" i="35"/>
  <c r="E153" i="35"/>
  <c r="L127" i="39"/>
  <c r="L128" i="39"/>
  <c r="L132" i="39"/>
  <c r="L120" i="39" s="1"/>
  <c r="L121" i="39" s="1"/>
  <c r="L122" i="39" s="1"/>
  <c r="L123" i="39" s="1"/>
  <c r="L49" i="39"/>
  <c r="N36" i="39" s="1"/>
  <c r="N37" i="39" s="1"/>
  <c r="N38" i="39" s="1"/>
  <c r="N39" i="39" s="1"/>
  <c r="E151" i="35"/>
  <c r="I202" i="37"/>
  <c r="E152" i="35"/>
  <c r="J196" i="37"/>
  <c r="E195" i="37" s="1"/>
  <c r="G195" i="37" s="1"/>
  <c r="H195" i="37" s="1"/>
  <c r="J202" i="37"/>
  <c r="E201" i="37" s="1"/>
  <c r="G201" i="37" s="1"/>
  <c r="H201" i="37" s="1"/>
  <c r="I196" i="37"/>
  <c r="J209" i="37"/>
  <c r="E208" i="37" s="1"/>
  <c r="G208" i="37" s="1"/>
  <c r="H208" i="37" s="1"/>
  <c r="I209" i="37"/>
  <c r="E148" i="35"/>
  <c r="E150" i="35"/>
  <c r="E149" i="35"/>
  <c r="E146" i="35"/>
  <c r="E143" i="35"/>
  <c r="E147" i="35"/>
  <c r="E122" i="35"/>
  <c r="F122" i="35"/>
  <c r="F121" i="35"/>
  <c r="E121" i="35"/>
  <c r="E73" i="35"/>
  <c r="E144" i="35"/>
  <c r="E74" i="35"/>
  <c r="F119" i="35"/>
  <c r="E145" i="35"/>
  <c r="E119" i="35"/>
  <c r="F120" i="35"/>
  <c r="E120" i="35"/>
  <c r="F118" i="35"/>
  <c r="E118" i="35"/>
  <c r="F117" i="35"/>
  <c r="E117" i="35"/>
  <c r="F116" i="35"/>
  <c r="E116" i="35"/>
  <c r="F115" i="35"/>
  <c r="E115" i="35"/>
  <c r="F114" i="35"/>
  <c r="E114" i="35"/>
  <c r="F113" i="35"/>
  <c r="E113" i="35"/>
  <c r="F72" i="35"/>
  <c r="F112" i="35"/>
  <c r="F73" i="35"/>
  <c r="J280" i="37"/>
  <c r="F279" i="37" s="1"/>
  <c r="G279" i="37" s="1"/>
  <c r="H279" i="37" s="1"/>
  <c r="E112" i="35"/>
  <c r="I280" i="37"/>
  <c r="F74" i="35"/>
  <c r="F111" i="35"/>
  <c r="E111" i="35"/>
  <c r="E72" i="35"/>
  <c r="F110" i="35"/>
  <c r="E110" i="35"/>
  <c r="F109" i="35"/>
  <c r="E109" i="35"/>
  <c r="F108" i="35"/>
  <c r="E108" i="35"/>
  <c r="F107" i="35"/>
  <c r="E107" i="35"/>
  <c r="F106" i="35"/>
  <c r="E106" i="35"/>
  <c r="F105" i="35"/>
  <c r="E105" i="35"/>
  <c r="F7" i="36"/>
  <c r="G7" i="36" s="1"/>
  <c r="E5" i="36"/>
  <c r="G5" i="36" s="1"/>
  <c r="E142" i="35"/>
  <c r="F104" i="35"/>
  <c r="E104" i="35"/>
  <c r="F103" i="35"/>
  <c r="E103" i="35"/>
  <c r="E141" i="35"/>
  <c r="F102" i="35"/>
  <c r="E102" i="35"/>
  <c r="J183" i="37"/>
  <c r="E182" i="37" s="1"/>
  <c r="G182" i="37" s="1"/>
  <c r="H182" i="37" s="1"/>
  <c r="F71" i="35"/>
  <c r="E71" i="35"/>
  <c r="I183" i="37"/>
  <c r="F101" i="35"/>
  <c r="E101" i="35"/>
  <c r="F100" i="35"/>
  <c r="E100" i="35"/>
  <c r="F99" i="35"/>
  <c r="E99" i="35"/>
  <c r="E139" i="35"/>
  <c r="E69" i="35"/>
  <c r="F68" i="35"/>
  <c r="E140" i="35"/>
  <c r="E138" i="35"/>
  <c r="F69" i="35"/>
  <c r="F67" i="35"/>
  <c r="F85" i="35"/>
  <c r="F86" i="35"/>
  <c r="E137" i="35"/>
  <c r="F58" i="35"/>
  <c r="E89" i="35"/>
  <c r="E68" i="35"/>
  <c r="F98" i="35"/>
  <c r="E98" i="35"/>
  <c r="F70" i="35"/>
  <c r="E70" i="35"/>
  <c r="F62" i="35"/>
  <c r="E97" i="35"/>
  <c r="F59" i="35"/>
  <c r="F61" i="35"/>
  <c r="F65" i="35"/>
  <c r="E95" i="35"/>
  <c r="F60" i="35"/>
  <c r="F96" i="35"/>
  <c r="F87" i="35"/>
  <c r="E64" i="35"/>
  <c r="F66" i="35"/>
  <c r="E67" i="35"/>
  <c r="E65" i="35"/>
  <c r="E66" i="35"/>
  <c r="F97" i="35"/>
  <c r="E96" i="35"/>
  <c r="F95" i="35"/>
  <c r="E61" i="35"/>
  <c r="E88" i="35"/>
  <c r="E83" i="35"/>
  <c r="E62" i="35"/>
  <c r="F88" i="35"/>
  <c r="E60" i="35"/>
  <c r="E85" i="35"/>
  <c r="F64" i="35"/>
  <c r="E63" i="35"/>
  <c r="F83" i="35"/>
  <c r="E59" i="35"/>
  <c r="E84" i="35"/>
  <c r="F84" i="35"/>
  <c r="E86" i="35"/>
  <c r="E87" i="35"/>
  <c r="F89" i="35"/>
  <c r="E58" i="35"/>
  <c r="F63" i="35"/>
  <c r="F94" i="35"/>
  <c r="E94" i="35"/>
  <c r="F93" i="35"/>
  <c r="E93" i="35"/>
  <c r="F92" i="35"/>
  <c r="E92" i="35"/>
  <c r="F91" i="35"/>
  <c r="E91" i="35"/>
  <c r="F90" i="35"/>
  <c r="E90" i="35"/>
  <c r="J190" i="37"/>
  <c r="E189" i="37" s="1"/>
  <c r="G189" i="37" s="1"/>
  <c r="H189" i="37" s="1"/>
  <c r="I190" i="37"/>
  <c r="B136" i="35"/>
  <c r="B135" i="35"/>
  <c r="O59" i="35"/>
  <c r="O58" i="35"/>
  <c r="I69" i="37"/>
  <c r="B133" i="35"/>
  <c r="B134" i="35"/>
  <c r="E134" i="35" s="1"/>
  <c r="B132" i="35"/>
  <c r="B131" i="35"/>
  <c r="E131" i="35" s="1"/>
  <c r="B130" i="35"/>
  <c r="B129" i="35"/>
  <c r="D130" i="35"/>
  <c r="D129" i="35"/>
  <c r="I223" i="37"/>
  <c r="I222" i="37"/>
  <c r="AU220" i="37"/>
  <c r="AT220" i="37"/>
  <c r="AS220" i="37"/>
  <c r="AR220" i="37"/>
  <c r="AQ220" i="37"/>
  <c r="AP220" i="37"/>
  <c r="AO220" i="37"/>
  <c r="AN220" i="37"/>
  <c r="AM220" i="37"/>
  <c r="AL220" i="37"/>
  <c r="AK220" i="37"/>
  <c r="AJ220" i="37"/>
  <c r="AI220" i="37"/>
  <c r="AH220" i="37"/>
  <c r="AG220" i="37"/>
  <c r="AF220" i="37"/>
  <c r="AE220" i="37"/>
  <c r="AD220" i="37"/>
  <c r="AC220" i="37"/>
  <c r="AB220" i="37"/>
  <c r="AA220" i="37"/>
  <c r="Z220" i="37"/>
  <c r="Y220" i="37"/>
  <c r="X220" i="37"/>
  <c r="W220" i="37"/>
  <c r="V220" i="37"/>
  <c r="U220" i="37"/>
  <c r="T220" i="37"/>
  <c r="S220" i="37"/>
  <c r="R220" i="37"/>
  <c r="Q220" i="37"/>
  <c r="P220" i="37"/>
  <c r="O220" i="37"/>
  <c r="N220" i="37"/>
  <c r="M220" i="37"/>
  <c r="L220" i="37"/>
  <c r="K220" i="37"/>
  <c r="F219" i="37"/>
  <c r="I235" i="37"/>
  <c r="I234" i="37"/>
  <c r="I233" i="37"/>
  <c r="I232" i="37"/>
  <c r="AU231" i="37"/>
  <c r="AT231" i="37"/>
  <c r="AS231" i="37"/>
  <c r="AR231" i="37"/>
  <c r="AQ231" i="37"/>
  <c r="AP231" i="37"/>
  <c r="AO231" i="37"/>
  <c r="AN231" i="37"/>
  <c r="AM231" i="37"/>
  <c r="AL231" i="37"/>
  <c r="AK231" i="37"/>
  <c r="AJ231" i="37"/>
  <c r="AI231" i="37"/>
  <c r="AH231" i="37"/>
  <c r="AG231" i="37"/>
  <c r="AF231" i="37"/>
  <c r="AE231" i="37"/>
  <c r="AD231" i="37"/>
  <c r="AC231" i="37"/>
  <c r="AB231" i="37"/>
  <c r="AA231" i="37"/>
  <c r="Z231" i="37"/>
  <c r="Y231" i="37"/>
  <c r="X231" i="37"/>
  <c r="W231" i="37"/>
  <c r="V231" i="37"/>
  <c r="U231" i="37"/>
  <c r="T231" i="37"/>
  <c r="S231" i="37"/>
  <c r="R231" i="37"/>
  <c r="Q231" i="37"/>
  <c r="P231" i="37"/>
  <c r="O231" i="37"/>
  <c r="N231" i="37"/>
  <c r="M231" i="37"/>
  <c r="L231" i="37"/>
  <c r="K231" i="37"/>
  <c r="F230" i="37"/>
  <c r="I229" i="37"/>
  <c r="I228" i="37"/>
  <c r="I227" i="37"/>
  <c r="I226" i="37"/>
  <c r="AU225" i="37"/>
  <c r="AT225" i="37"/>
  <c r="AS225" i="37"/>
  <c r="AR225" i="37"/>
  <c r="AQ225" i="37"/>
  <c r="AP225" i="37"/>
  <c r="AO225" i="37"/>
  <c r="AN225" i="37"/>
  <c r="AM225" i="37"/>
  <c r="AL225" i="37"/>
  <c r="AK225" i="37"/>
  <c r="AJ225" i="37"/>
  <c r="AI225" i="37"/>
  <c r="AH225" i="37"/>
  <c r="AG225" i="37"/>
  <c r="AF225" i="37"/>
  <c r="AE225" i="37"/>
  <c r="AD225" i="37"/>
  <c r="AC225" i="37"/>
  <c r="AB225" i="37"/>
  <c r="AA225" i="37"/>
  <c r="Z225" i="37"/>
  <c r="Y225" i="37"/>
  <c r="X225" i="37"/>
  <c r="W225" i="37"/>
  <c r="V225" i="37"/>
  <c r="U225" i="37"/>
  <c r="T225" i="37"/>
  <c r="S225" i="37"/>
  <c r="R225" i="37"/>
  <c r="Q225" i="37"/>
  <c r="P225" i="37"/>
  <c r="O225" i="37"/>
  <c r="N225" i="37"/>
  <c r="M225" i="37"/>
  <c r="L225" i="37"/>
  <c r="K225" i="37"/>
  <c r="F224" i="37"/>
  <c r="I293" i="37"/>
  <c r="I21" i="37"/>
  <c r="F57" i="35"/>
  <c r="E57" i="35"/>
  <c r="F56" i="35"/>
  <c r="E56" i="35"/>
  <c r="F55" i="35"/>
  <c r="E55" i="35"/>
  <c r="D81" i="35"/>
  <c r="B81" i="35" s="1"/>
  <c r="D82" i="35"/>
  <c r="B82" i="35" s="1"/>
  <c r="K56" i="35"/>
  <c r="J56" i="35"/>
  <c r="D78" i="35"/>
  <c r="N91" i="35" s="1"/>
  <c r="C78" i="35"/>
  <c r="B78" i="35"/>
  <c r="D80" i="35"/>
  <c r="B80" i="35" s="1"/>
  <c r="E77" i="35"/>
  <c r="F54" i="35"/>
  <c r="E54" i="35"/>
  <c r="I176" i="37"/>
  <c r="I175" i="37"/>
  <c r="E129" i="35" l="1"/>
  <c r="E132" i="35"/>
  <c r="E133" i="35"/>
  <c r="D128" i="35"/>
  <c r="D176" i="35" s="1"/>
  <c r="E136" i="35"/>
  <c r="E135" i="35"/>
  <c r="E130" i="35"/>
  <c r="I220" i="37"/>
  <c r="C175" i="35"/>
  <c r="J220" i="37"/>
  <c r="E219" i="37" s="1"/>
  <c r="G219" i="37" s="1"/>
  <c r="H219" i="37" s="1"/>
  <c r="I231" i="37"/>
  <c r="J231" i="37"/>
  <c r="E230" i="37" s="1"/>
  <c r="G230" i="37" s="1"/>
  <c r="H230" i="37" s="1"/>
  <c r="J225" i="37"/>
  <c r="E224" i="37" s="1"/>
  <c r="G224" i="37" s="1"/>
  <c r="H224" i="37" s="1"/>
  <c r="I225" i="37"/>
  <c r="E78" i="35"/>
  <c r="B128" i="35"/>
  <c r="B176" i="35" s="1"/>
  <c r="F78" i="35"/>
  <c r="I127" i="37"/>
  <c r="I310" i="37"/>
  <c r="I309" i="37"/>
  <c r="I308" i="37"/>
  <c r="I307" i="37"/>
  <c r="AU306" i="37"/>
  <c r="AT306" i="37"/>
  <c r="AS306" i="37"/>
  <c r="AR306" i="37"/>
  <c r="AQ306" i="37"/>
  <c r="AP306" i="37"/>
  <c r="AO306" i="37"/>
  <c r="AN306" i="37"/>
  <c r="AM306" i="37"/>
  <c r="AL306" i="37"/>
  <c r="AK306" i="37"/>
  <c r="AJ306" i="37"/>
  <c r="AI306" i="37"/>
  <c r="AH306" i="37"/>
  <c r="AG306" i="37"/>
  <c r="AF306" i="37"/>
  <c r="AE306" i="37"/>
  <c r="AD306" i="37"/>
  <c r="AC306" i="37"/>
  <c r="AB306" i="37"/>
  <c r="AA306" i="37"/>
  <c r="Z306" i="37"/>
  <c r="Y306" i="37"/>
  <c r="X306" i="37"/>
  <c r="W306" i="37"/>
  <c r="V306" i="37"/>
  <c r="U306" i="37"/>
  <c r="T306" i="37"/>
  <c r="S306" i="37"/>
  <c r="R306" i="37"/>
  <c r="Q306" i="37"/>
  <c r="P306" i="37"/>
  <c r="O306" i="37"/>
  <c r="N306" i="37"/>
  <c r="M306" i="37"/>
  <c r="L306" i="37"/>
  <c r="K306" i="37"/>
  <c r="F305" i="37"/>
  <c r="O56" i="35"/>
  <c r="M3" i="35"/>
  <c r="O5" i="35"/>
  <c r="J3" i="35"/>
  <c r="L34" i="35"/>
  <c r="L29" i="35"/>
  <c r="L32" i="35"/>
  <c r="L30" i="35"/>
  <c r="L27" i="35"/>
  <c r="L25" i="35"/>
  <c r="L23" i="35"/>
  <c r="L22" i="35"/>
  <c r="L21" i="35"/>
  <c r="L19" i="35"/>
  <c r="L12" i="35"/>
  <c r="L17" i="35"/>
  <c r="L15" i="35"/>
  <c r="L13" i="35"/>
  <c r="L10" i="35"/>
  <c r="L8" i="35"/>
  <c r="L5" i="35"/>
  <c r="E272" i="37"/>
  <c r="I277" i="37"/>
  <c r="I276" i="37"/>
  <c r="I275" i="37"/>
  <c r="I274" i="37"/>
  <c r="AU273" i="37"/>
  <c r="AT273" i="37"/>
  <c r="AS273" i="37"/>
  <c r="AR273" i="37"/>
  <c r="AQ273" i="37"/>
  <c r="AP273" i="37"/>
  <c r="AO273" i="37"/>
  <c r="AN273" i="37"/>
  <c r="AM273" i="37"/>
  <c r="AL273" i="37"/>
  <c r="AK273" i="37"/>
  <c r="AJ273" i="37"/>
  <c r="AI273" i="37"/>
  <c r="AH273" i="37"/>
  <c r="AG273" i="37"/>
  <c r="AF273" i="37"/>
  <c r="AE273" i="37"/>
  <c r="AD273" i="37"/>
  <c r="AC273" i="37"/>
  <c r="AB273" i="37"/>
  <c r="AA273" i="37"/>
  <c r="Z273" i="37"/>
  <c r="Y273" i="37"/>
  <c r="X273" i="37"/>
  <c r="W273" i="37"/>
  <c r="V273" i="37"/>
  <c r="U273" i="37"/>
  <c r="T273" i="37"/>
  <c r="S273" i="37"/>
  <c r="R273" i="37"/>
  <c r="Q273" i="37"/>
  <c r="P273" i="37"/>
  <c r="O273" i="37"/>
  <c r="N273" i="37"/>
  <c r="M273" i="37"/>
  <c r="L273" i="37"/>
  <c r="K273" i="37"/>
  <c r="E266" i="37"/>
  <c r="E339" i="37"/>
  <c r="I345" i="37"/>
  <c r="I343" i="37"/>
  <c r="I342" i="37"/>
  <c r="I341" i="37"/>
  <c r="AU340" i="37"/>
  <c r="AT340" i="37"/>
  <c r="AS340" i="37"/>
  <c r="AR340" i="37"/>
  <c r="AQ340" i="37"/>
  <c r="AP340" i="37"/>
  <c r="AO340" i="37"/>
  <c r="AN340" i="37"/>
  <c r="AM340" i="37"/>
  <c r="AL340" i="37"/>
  <c r="AK340" i="37"/>
  <c r="AJ340" i="37"/>
  <c r="AI340" i="37"/>
  <c r="AH340" i="37"/>
  <c r="AG340" i="37"/>
  <c r="AF340" i="37"/>
  <c r="AE340" i="37"/>
  <c r="AD340" i="37"/>
  <c r="AC340" i="37"/>
  <c r="AB340" i="37"/>
  <c r="AA340" i="37"/>
  <c r="Z340" i="37"/>
  <c r="Y340" i="37"/>
  <c r="X340" i="37"/>
  <c r="W340" i="37"/>
  <c r="V340" i="37"/>
  <c r="U340" i="37"/>
  <c r="T340" i="37"/>
  <c r="S340" i="37"/>
  <c r="R340" i="37"/>
  <c r="Q340" i="37"/>
  <c r="P340" i="37"/>
  <c r="O340" i="37"/>
  <c r="N340" i="37"/>
  <c r="M340" i="37"/>
  <c r="L340" i="37"/>
  <c r="K340" i="37"/>
  <c r="I271" i="37"/>
  <c r="I270" i="37"/>
  <c r="I269" i="37"/>
  <c r="I268" i="37"/>
  <c r="AU267" i="37"/>
  <c r="AT267" i="37"/>
  <c r="AS267" i="37"/>
  <c r="AR267" i="37"/>
  <c r="AQ267" i="37"/>
  <c r="AP267" i="37"/>
  <c r="AO267" i="37"/>
  <c r="AN267" i="37"/>
  <c r="AM267" i="37"/>
  <c r="AL267" i="37"/>
  <c r="AK267" i="37"/>
  <c r="AJ267" i="37"/>
  <c r="AI267" i="37"/>
  <c r="AH267" i="37"/>
  <c r="AG267" i="37"/>
  <c r="AF267" i="37"/>
  <c r="AE267" i="37"/>
  <c r="AD267" i="37"/>
  <c r="AC267" i="37"/>
  <c r="AB267" i="37"/>
  <c r="AA267" i="37"/>
  <c r="Z267" i="37"/>
  <c r="Y267" i="37"/>
  <c r="X267" i="37"/>
  <c r="W267" i="37"/>
  <c r="V267" i="37"/>
  <c r="U267" i="37"/>
  <c r="T267" i="37"/>
  <c r="S267" i="37"/>
  <c r="R267" i="37"/>
  <c r="Q267" i="37"/>
  <c r="P267" i="37"/>
  <c r="O267" i="37"/>
  <c r="N267" i="37"/>
  <c r="M267" i="37"/>
  <c r="L267" i="37"/>
  <c r="K267" i="37"/>
  <c r="E258" i="37"/>
  <c r="E265" i="37"/>
  <c r="E264" i="37"/>
  <c r="E263" i="37"/>
  <c r="E262" i="37"/>
  <c r="E250" i="37"/>
  <c r="E243" i="37"/>
  <c r="E242" i="37"/>
  <c r="E248" i="37"/>
  <c r="E255" i="37"/>
  <c r="E260" i="37"/>
  <c r="E241" i="37"/>
  <c r="E245" i="37"/>
  <c r="E259" i="37"/>
  <c r="E254" i="37"/>
  <c r="E256" i="37"/>
  <c r="E240" i="37"/>
  <c r="E246" i="37"/>
  <c r="E253" i="37"/>
  <c r="E252" i="37"/>
  <c r="E249" i="37"/>
  <c r="E257" i="37"/>
  <c r="E251" i="37"/>
  <c r="E247" i="37"/>
  <c r="E244" i="37"/>
  <c r="E239" i="37"/>
  <c r="E261" i="37"/>
  <c r="K289" i="37"/>
  <c r="E288" i="37"/>
  <c r="I296" i="37"/>
  <c r="I292" i="37"/>
  <c r="I291" i="37"/>
  <c r="I290" i="37"/>
  <c r="AU289" i="37"/>
  <c r="AT289" i="37"/>
  <c r="AS289" i="37"/>
  <c r="AR289" i="37"/>
  <c r="AQ289" i="37"/>
  <c r="AP289" i="37"/>
  <c r="AO289" i="37"/>
  <c r="AN289" i="37"/>
  <c r="AM289" i="37"/>
  <c r="AL289" i="37"/>
  <c r="AK289" i="37"/>
  <c r="AJ289" i="37"/>
  <c r="AI289" i="37"/>
  <c r="AH289" i="37"/>
  <c r="AG289" i="37"/>
  <c r="AF289" i="37"/>
  <c r="AE289" i="37"/>
  <c r="AD289" i="37"/>
  <c r="AC289" i="37"/>
  <c r="AB289" i="37"/>
  <c r="AA289" i="37"/>
  <c r="Z289" i="37"/>
  <c r="Y289" i="37"/>
  <c r="X289" i="37"/>
  <c r="W289" i="37"/>
  <c r="V289" i="37"/>
  <c r="U289" i="37"/>
  <c r="T289" i="37"/>
  <c r="S289" i="37"/>
  <c r="R289" i="37"/>
  <c r="Q289" i="37"/>
  <c r="P289" i="37"/>
  <c r="O289" i="37"/>
  <c r="N289" i="37"/>
  <c r="M289" i="37"/>
  <c r="L289" i="37"/>
  <c r="C128" i="35" l="1"/>
  <c r="C176" i="35" s="1"/>
  <c r="J306" i="37"/>
  <c r="E305" i="37" s="1"/>
  <c r="G305" i="37" s="1"/>
  <c r="H305" i="37" s="1"/>
  <c r="K236" i="37"/>
  <c r="J340" i="37"/>
  <c r="F339" i="37" s="1"/>
  <c r="G339" i="37" s="1"/>
  <c r="H339" i="37" s="1"/>
  <c r="J273" i="37"/>
  <c r="F272" i="37" s="1"/>
  <c r="G272" i="37" s="1"/>
  <c r="H272" i="37" s="1"/>
  <c r="I306" i="37"/>
  <c r="L1" i="35"/>
  <c r="I273" i="37"/>
  <c r="J267" i="37"/>
  <c r="F266" i="37" s="1"/>
  <c r="G266" i="37" s="1"/>
  <c r="H266" i="37" s="1"/>
  <c r="I340" i="37"/>
  <c r="I267" i="37"/>
  <c r="J289" i="37"/>
  <c r="F288" i="37" s="1"/>
  <c r="G288" i="37" s="1"/>
  <c r="H288" i="37" s="1"/>
  <c r="I289" i="37"/>
  <c r="I139" i="37"/>
  <c r="I138" i="37"/>
  <c r="I38" i="37"/>
  <c r="I39" i="37"/>
  <c r="AU34" i="37"/>
  <c r="AT34" i="37"/>
  <c r="AS34" i="37"/>
  <c r="AR34" i="37"/>
  <c r="AQ34" i="37"/>
  <c r="AP34" i="37"/>
  <c r="AO34" i="37"/>
  <c r="AN34" i="37"/>
  <c r="AM34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I35" i="37"/>
  <c r="I36" i="37"/>
  <c r="I37" i="37"/>
  <c r="I40" i="37"/>
  <c r="I41" i="37"/>
  <c r="I44" i="37"/>
  <c r="I43" i="37"/>
  <c r="I42" i="37"/>
  <c r="F33" i="37"/>
  <c r="I32" i="37"/>
  <c r="I31" i="37"/>
  <c r="I30" i="37"/>
  <c r="I28" i="37"/>
  <c r="AU27" i="37"/>
  <c r="AT27" i="37"/>
  <c r="AS27" i="37"/>
  <c r="AR27" i="37"/>
  <c r="AQ27" i="37"/>
  <c r="AP27" i="37"/>
  <c r="AO27" i="37"/>
  <c r="AN27" i="37"/>
  <c r="AM27" i="37"/>
  <c r="AL27" i="37"/>
  <c r="AK27" i="37"/>
  <c r="AJ27" i="37"/>
  <c r="AI27" i="37"/>
  <c r="AH27" i="37"/>
  <c r="AG27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F26" i="37"/>
  <c r="I317" i="37"/>
  <c r="I315" i="37"/>
  <c r="I314" i="37"/>
  <c r="I313" i="37"/>
  <c r="AU312" i="37"/>
  <c r="AT312" i="37"/>
  <c r="AS312" i="37"/>
  <c r="AR312" i="37"/>
  <c r="AQ312" i="37"/>
  <c r="AP312" i="37"/>
  <c r="AO312" i="37"/>
  <c r="AN312" i="37"/>
  <c r="AM312" i="37"/>
  <c r="AL312" i="37"/>
  <c r="AK312" i="37"/>
  <c r="AJ312" i="37"/>
  <c r="AI312" i="37"/>
  <c r="AH312" i="37"/>
  <c r="AG312" i="37"/>
  <c r="AF312" i="37"/>
  <c r="AE312" i="37"/>
  <c r="AD312" i="37"/>
  <c r="AC312" i="37"/>
  <c r="AB312" i="37"/>
  <c r="AA312" i="37"/>
  <c r="Z312" i="37"/>
  <c r="Y312" i="37"/>
  <c r="X312" i="37"/>
  <c r="W312" i="37"/>
  <c r="V312" i="37"/>
  <c r="U312" i="37"/>
  <c r="T312" i="37"/>
  <c r="S312" i="37"/>
  <c r="R312" i="37"/>
  <c r="Q312" i="37"/>
  <c r="P312" i="37"/>
  <c r="O312" i="37"/>
  <c r="N312" i="37"/>
  <c r="M312" i="37"/>
  <c r="L312" i="37"/>
  <c r="K312" i="37"/>
  <c r="F311" i="37"/>
  <c r="AU319" i="37"/>
  <c r="AT319" i="37"/>
  <c r="AS319" i="37"/>
  <c r="AR319" i="37"/>
  <c r="AQ319" i="37"/>
  <c r="AP319" i="37"/>
  <c r="AO319" i="37"/>
  <c r="AN319" i="37"/>
  <c r="AM319" i="37"/>
  <c r="AL319" i="37"/>
  <c r="AK319" i="37"/>
  <c r="AJ319" i="37"/>
  <c r="AI319" i="37"/>
  <c r="AH319" i="37"/>
  <c r="AG319" i="37"/>
  <c r="AF319" i="37"/>
  <c r="AE319" i="37"/>
  <c r="AD319" i="37"/>
  <c r="AC319" i="37"/>
  <c r="AB319" i="37"/>
  <c r="AA319" i="37"/>
  <c r="Z319" i="37"/>
  <c r="Y319" i="37"/>
  <c r="X319" i="37"/>
  <c r="W319" i="37"/>
  <c r="V319" i="37"/>
  <c r="U319" i="37"/>
  <c r="T319" i="37"/>
  <c r="S319" i="37"/>
  <c r="R319" i="37"/>
  <c r="Q319" i="37"/>
  <c r="P319" i="37"/>
  <c r="O319" i="37"/>
  <c r="N319" i="37"/>
  <c r="M319" i="37"/>
  <c r="L319" i="37"/>
  <c r="K319" i="37"/>
  <c r="I320" i="37"/>
  <c r="I321" i="37"/>
  <c r="I322" i="37"/>
  <c r="I323" i="37"/>
  <c r="I328" i="37"/>
  <c r="I325" i="37"/>
  <c r="I324" i="37"/>
  <c r="F318" i="37"/>
  <c r="I304" i="37"/>
  <c r="I301" i="37"/>
  <c r="I300" i="37"/>
  <c r="I299" i="37"/>
  <c r="AU298" i="37"/>
  <c r="AT298" i="37"/>
  <c r="AS298" i="37"/>
  <c r="AR298" i="37"/>
  <c r="AQ298" i="37"/>
  <c r="AP298" i="37"/>
  <c r="AO298" i="37"/>
  <c r="AN298" i="37"/>
  <c r="AM298" i="37"/>
  <c r="AL298" i="37"/>
  <c r="AK298" i="37"/>
  <c r="AJ298" i="37"/>
  <c r="AI298" i="37"/>
  <c r="AH298" i="37"/>
  <c r="AG298" i="37"/>
  <c r="AF298" i="37"/>
  <c r="AE298" i="37"/>
  <c r="AD298" i="37"/>
  <c r="AC298" i="37"/>
  <c r="AB298" i="37"/>
  <c r="AA298" i="37"/>
  <c r="Z298" i="37"/>
  <c r="Y298" i="37"/>
  <c r="X298" i="37"/>
  <c r="W298" i="37"/>
  <c r="V298" i="37"/>
  <c r="U298" i="37"/>
  <c r="T298" i="37"/>
  <c r="S298" i="37"/>
  <c r="R298" i="37"/>
  <c r="Q298" i="37"/>
  <c r="P298" i="37"/>
  <c r="O298" i="37"/>
  <c r="N298" i="37"/>
  <c r="M298" i="37"/>
  <c r="L298" i="37"/>
  <c r="K298" i="37"/>
  <c r="F297" i="37"/>
  <c r="I338" i="37"/>
  <c r="I335" i="37"/>
  <c r="I334" i="37"/>
  <c r="I333" i="37"/>
  <c r="I332" i="37"/>
  <c r="I331" i="37"/>
  <c r="AU330" i="37"/>
  <c r="AT330" i="37"/>
  <c r="AS330" i="37"/>
  <c r="AR330" i="37"/>
  <c r="AQ330" i="37"/>
  <c r="AP330" i="37"/>
  <c r="AO330" i="37"/>
  <c r="AN330" i="37"/>
  <c r="AM330" i="37"/>
  <c r="AL330" i="37"/>
  <c r="AK330" i="37"/>
  <c r="AJ330" i="37"/>
  <c r="AI330" i="37"/>
  <c r="AH330" i="37"/>
  <c r="AG330" i="37"/>
  <c r="AF330" i="37"/>
  <c r="AE330" i="37"/>
  <c r="AD330" i="37"/>
  <c r="AC330" i="37"/>
  <c r="AB330" i="37"/>
  <c r="AA330" i="37"/>
  <c r="Z330" i="37"/>
  <c r="Y330" i="37"/>
  <c r="X330" i="37"/>
  <c r="W330" i="37"/>
  <c r="V330" i="37"/>
  <c r="U330" i="37"/>
  <c r="T330" i="37"/>
  <c r="S330" i="37"/>
  <c r="R330" i="37"/>
  <c r="Q330" i="37"/>
  <c r="P330" i="37"/>
  <c r="O330" i="37"/>
  <c r="N330" i="37"/>
  <c r="M330" i="37"/>
  <c r="L330" i="37"/>
  <c r="K330" i="37"/>
  <c r="F329" i="37"/>
  <c r="I19" i="37"/>
  <c r="I18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AU47" i="37"/>
  <c r="AT47" i="37"/>
  <c r="AS47" i="37"/>
  <c r="AR47" i="37"/>
  <c r="AQ47" i="37"/>
  <c r="AP47" i="37"/>
  <c r="AO47" i="37"/>
  <c r="AN47" i="37"/>
  <c r="AM47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AU58" i="37"/>
  <c r="AT58" i="37"/>
  <c r="AS58" i="37"/>
  <c r="AR58" i="37"/>
  <c r="AQ58" i="37"/>
  <c r="AP58" i="37"/>
  <c r="AO58" i="37"/>
  <c r="AN58" i="37"/>
  <c r="AM58" i="37"/>
  <c r="AL58" i="37"/>
  <c r="AK58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AU90" i="37"/>
  <c r="AT90" i="37"/>
  <c r="AS90" i="37"/>
  <c r="AR90" i="37"/>
  <c r="AQ90" i="37"/>
  <c r="AP90" i="37"/>
  <c r="AO90" i="37"/>
  <c r="AN90" i="37"/>
  <c r="AM90" i="37"/>
  <c r="AL90" i="37"/>
  <c r="AK90" i="37"/>
  <c r="AJ90" i="37"/>
  <c r="AI90" i="37"/>
  <c r="AH90" i="37"/>
  <c r="AG90" i="37"/>
  <c r="AF90" i="37"/>
  <c r="AE90" i="37"/>
  <c r="AD90" i="37"/>
  <c r="AC90" i="37"/>
  <c r="AB90" i="37"/>
  <c r="AA90" i="37"/>
  <c r="Z90" i="37"/>
  <c r="Y90" i="37"/>
  <c r="X90" i="37"/>
  <c r="W90" i="37"/>
  <c r="V90" i="37"/>
  <c r="U90" i="37"/>
  <c r="T90" i="37"/>
  <c r="S90" i="37"/>
  <c r="R90" i="37"/>
  <c r="Q90" i="37"/>
  <c r="P90" i="37"/>
  <c r="O90" i="37"/>
  <c r="N90" i="37"/>
  <c r="M90" i="37"/>
  <c r="L90" i="37"/>
  <c r="AU107" i="37"/>
  <c r="AT107" i="37"/>
  <c r="AS107" i="37"/>
  <c r="AR107" i="37"/>
  <c r="AQ107" i="37"/>
  <c r="AP107" i="37"/>
  <c r="AO107" i="37"/>
  <c r="AN107" i="37"/>
  <c r="AM107" i="37"/>
  <c r="AL107" i="37"/>
  <c r="AK107" i="37"/>
  <c r="AJ107" i="37"/>
  <c r="AI107" i="37"/>
  <c r="AH107" i="37"/>
  <c r="AG107" i="37"/>
  <c r="AF107" i="37"/>
  <c r="AE107" i="37"/>
  <c r="AD107" i="37"/>
  <c r="AC107" i="37"/>
  <c r="AB107" i="37"/>
  <c r="AA107" i="37"/>
  <c r="Z107" i="37"/>
  <c r="Y107" i="37"/>
  <c r="X107" i="37"/>
  <c r="W107" i="37"/>
  <c r="V107" i="37"/>
  <c r="U107" i="37"/>
  <c r="T107" i="37"/>
  <c r="S107" i="37"/>
  <c r="R107" i="37"/>
  <c r="Q107" i="37"/>
  <c r="P107" i="37"/>
  <c r="O107" i="37"/>
  <c r="N107" i="37"/>
  <c r="M107" i="37"/>
  <c r="L107" i="37"/>
  <c r="N117" i="37"/>
  <c r="AU215" i="37"/>
  <c r="AT215" i="37"/>
  <c r="AS215" i="37"/>
  <c r="AR215" i="37"/>
  <c r="AQ215" i="37"/>
  <c r="AP215" i="37"/>
  <c r="AO215" i="37"/>
  <c r="AN215" i="37"/>
  <c r="AM215" i="37"/>
  <c r="AL215" i="37"/>
  <c r="AK215" i="37"/>
  <c r="AJ215" i="37"/>
  <c r="AI215" i="37"/>
  <c r="AH215" i="37"/>
  <c r="AG215" i="37"/>
  <c r="AF215" i="37"/>
  <c r="AE215" i="37"/>
  <c r="AD215" i="37"/>
  <c r="AC215" i="37"/>
  <c r="AB215" i="37"/>
  <c r="AA215" i="37"/>
  <c r="Z215" i="37"/>
  <c r="Y215" i="37"/>
  <c r="X215" i="37"/>
  <c r="W215" i="37"/>
  <c r="V215" i="37"/>
  <c r="U215" i="37"/>
  <c r="T215" i="37"/>
  <c r="S215" i="37"/>
  <c r="R215" i="37"/>
  <c r="Q215" i="37"/>
  <c r="P215" i="37"/>
  <c r="O215" i="37"/>
  <c r="N215" i="37"/>
  <c r="M215" i="37"/>
  <c r="L215" i="37"/>
  <c r="K215" i="37"/>
  <c r="AU117" i="37"/>
  <c r="AT117" i="37"/>
  <c r="AS117" i="37"/>
  <c r="AR117" i="37"/>
  <c r="AQ117" i="37"/>
  <c r="AP117" i="37"/>
  <c r="AO117" i="37"/>
  <c r="AN117" i="37"/>
  <c r="AM117" i="37"/>
  <c r="AL117" i="37"/>
  <c r="AK117" i="37"/>
  <c r="AJ117" i="37"/>
  <c r="AI117" i="37"/>
  <c r="AH117" i="37"/>
  <c r="AG117" i="37"/>
  <c r="AF117" i="37"/>
  <c r="AE117" i="37"/>
  <c r="AD117" i="37"/>
  <c r="AC117" i="37"/>
  <c r="AB117" i="37"/>
  <c r="AA117" i="37"/>
  <c r="Z117" i="37"/>
  <c r="Y117" i="37"/>
  <c r="X117" i="37"/>
  <c r="W117" i="37"/>
  <c r="V117" i="37"/>
  <c r="U117" i="37"/>
  <c r="T117" i="37"/>
  <c r="S117" i="37"/>
  <c r="R117" i="37"/>
  <c r="Q117" i="37"/>
  <c r="P117" i="37"/>
  <c r="O117" i="37"/>
  <c r="M117" i="37"/>
  <c r="L117" i="37"/>
  <c r="AU136" i="37"/>
  <c r="AT136" i="37"/>
  <c r="AS136" i="37"/>
  <c r="AR136" i="37"/>
  <c r="AQ136" i="37"/>
  <c r="AP136" i="37"/>
  <c r="AO136" i="37"/>
  <c r="AN136" i="37"/>
  <c r="AM136" i="37"/>
  <c r="AL136" i="37"/>
  <c r="AK136" i="37"/>
  <c r="AJ136" i="37"/>
  <c r="AI136" i="37"/>
  <c r="AH136" i="37"/>
  <c r="AG136" i="37"/>
  <c r="AF136" i="37"/>
  <c r="AE136" i="37"/>
  <c r="AD136" i="37"/>
  <c r="AC136" i="37"/>
  <c r="AB136" i="37"/>
  <c r="AA136" i="37"/>
  <c r="Z136" i="37"/>
  <c r="Y136" i="37"/>
  <c r="X136" i="37"/>
  <c r="W136" i="37"/>
  <c r="V136" i="37"/>
  <c r="U136" i="37"/>
  <c r="T136" i="37"/>
  <c r="S136" i="37"/>
  <c r="R136" i="37"/>
  <c r="Q136" i="37"/>
  <c r="P136" i="37"/>
  <c r="O136" i="37"/>
  <c r="M136" i="37"/>
  <c r="L136" i="37"/>
  <c r="AU150" i="37"/>
  <c r="AT150" i="37"/>
  <c r="AS150" i="37"/>
  <c r="AR150" i="37"/>
  <c r="AQ150" i="37"/>
  <c r="AP150" i="37"/>
  <c r="AO150" i="37"/>
  <c r="AN150" i="37"/>
  <c r="AM150" i="37"/>
  <c r="AL150" i="37"/>
  <c r="AK150" i="37"/>
  <c r="AJ150" i="37"/>
  <c r="AI150" i="37"/>
  <c r="AH150" i="37"/>
  <c r="AG150" i="37"/>
  <c r="AF150" i="37"/>
  <c r="AE150" i="37"/>
  <c r="AD150" i="37"/>
  <c r="AC150" i="37"/>
  <c r="AB150" i="37"/>
  <c r="AA150" i="37"/>
  <c r="Z150" i="37"/>
  <c r="Y150" i="37"/>
  <c r="X150" i="37"/>
  <c r="W150" i="37"/>
  <c r="V150" i="37"/>
  <c r="U150" i="37"/>
  <c r="T150" i="37"/>
  <c r="S150" i="37"/>
  <c r="R150" i="37"/>
  <c r="Q150" i="37"/>
  <c r="P150" i="37"/>
  <c r="O150" i="37"/>
  <c r="N150" i="37"/>
  <c r="M150" i="37"/>
  <c r="L150" i="37"/>
  <c r="AU347" i="37"/>
  <c r="AT347" i="37"/>
  <c r="AS347" i="37"/>
  <c r="AR347" i="37"/>
  <c r="AQ347" i="37"/>
  <c r="AP347" i="37"/>
  <c r="AO347" i="37"/>
  <c r="AN347" i="37"/>
  <c r="AM347" i="37"/>
  <c r="AL347" i="37"/>
  <c r="AK347" i="37"/>
  <c r="AJ347" i="37"/>
  <c r="AI347" i="37"/>
  <c r="AH347" i="37"/>
  <c r="AG347" i="37"/>
  <c r="AF347" i="37"/>
  <c r="AE347" i="37"/>
  <c r="AD347" i="37"/>
  <c r="AC347" i="37"/>
  <c r="AB347" i="37"/>
  <c r="AA347" i="37"/>
  <c r="Z347" i="37"/>
  <c r="Y347" i="37"/>
  <c r="X347" i="37"/>
  <c r="W347" i="37"/>
  <c r="V347" i="37"/>
  <c r="U347" i="37"/>
  <c r="T347" i="37"/>
  <c r="S347" i="37"/>
  <c r="R347" i="37"/>
  <c r="Q347" i="37"/>
  <c r="P347" i="37"/>
  <c r="O347" i="37"/>
  <c r="N347" i="37"/>
  <c r="M347" i="37"/>
  <c r="L347" i="37"/>
  <c r="K347" i="37"/>
  <c r="K150" i="37"/>
  <c r="K136" i="37"/>
  <c r="K117" i="37"/>
  <c r="K107" i="37"/>
  <c r="K90" i="37"/>
  <c r="AU171" i="37"/>
  <c r="AT171" i="37"/>
  <c r="AS171" i="37"/>
  <c r="AR171" i="37"/>
  <c r="AQ171" i="37"/>
  <c r="AP171" i="37"/>
  <c r="AO171" i="37"/>
  <c r="AN171" i="37"/>
  <c r="AM171" i="37"/>
  <c r="AL171" i="37"/>
  <c r="AK171" i="37"/>
  <c r="AJ171" i="37"/>
  <c r="AI171" i="37"/>
  <c r="AH171" i="37"/>
  <c r="AG171" i="37"/>
  <c r="AF171" i="37"/>
  <c r="AE171" i="37"/>
  <c r="AD171" i="37"/>
  <c r="AC171" i="37"/>
  <c r="AB171" i="37"/>
  <c r="AA171" i="37"/>
  <c r="Z171" i="37"/>
  <c r="Y171" i="37"/>
  <c r="X171" i="37"/>
  <c r="W171" i="37"/>
  <c r="V171" i="37"/>
  <c r="U171" i="37"/>
  <c r="T171" i="37"/>
  <c r="S171" i="37"/>
  <c r="R171" i="37"/>
  <c r="Q171" i="37"/>
  <c r="P171" i="37"/>
  <c r="O171" i="37"/>
  <c r="N171" i="37"/>
  <c r="M171" i="37"/>
  <c r="L171" i="37"/>
  <c r="I23" i="37"/>
  <c r="I12" i="37"/>
  <c r="I11" i="37"/>
  <c r="I10" i="37"/>
  <c r="I9" i="37"/>
  <c r="I8" i="37"/>
  <c r="I7" i="37"/>
  <c r="I20" i="37"/>
  <c r="I17" i="37"/>
  <c r="I16" i="37"/>
  <c r="I15" i="37"/>
  <c r="I14" i="37"/>
  <c r="I13" i="37"/>
  <c r="I25" i="37"/>
  <c r="I24" i="37"/>
  <c r="I22" i="37"/>
  <c r="F5" i="37"/>
  <c r="I174" i="37"/>
  <c r="I173" i="37"/>
  <c r="I161" i="37"/>
  <c r="I160" i="37"/>
  <c r="I159" i="37"/>
  <c r="I158" i="37"/>
  <c r="I157" i="37"/>
  <c r="I156" i="37"/>
  <c r="I154" i="37"/>
  <c r="I155" i="37"/>
  <c r="I162" i="37"/>
  <c r="I163" i="37"/>
  <c r="I164" i="37"/>
  <c r="I165" i="37"/>
  <c r="I218" i="37"/>
  <c r="I217" i="37"/>
  <c r="F214" i="37"/>
  <c r="I123" i="37"/>
  <c r="I121" i="37"/>
  <c r="I110" i="37"/>
  <c r="I114" i="37"/>
  <c r="I92" i="37"/>
  <c r="I101" i="37"/>
  <c r="I102" i="37"/>
  <c r="I103" i="37"/>
  <c r="I104" i="37"/>
  <c r="I97" i="37"/>
  <c r="I98" i="37"/>
  <c r="I99" i="37"/>
  <c r="I67" i="37"/>
  <c r="I68" i="37"/>
  <c r="I105" i="37"/>
  <c r="I100" i="37"/>
  <c r="I96" i="37"/>
  <c r="I95" i="37"/>
  <c r="I94" i="37"/>
  <c r="I93" i="37"/>
  <c r="I91" i="37"/>
  <c r="F89" i="37"/>
  <c r="I115" i="37"/>
  <c r="I113" i="37"/>
  <c r="I111" i="37"/>
  <c r="I109" i="37"/>
  <c r="I108" i="37"/>
  <c r="F106" i="37"/>
  <c r="I134" i="37"/>
  <c r="I126" i="37"/>
  <c r="I125" i="37"/>
  <c r="I124" i="37"/>
  <c r="I122" i="37"/>
  <c r="I120" i="37"/>
  <c r="I119" i="37"/>
  <c r="I118" i="37"/>
  <c r="F116" i="37"/>
  <c r="I148" i="37"/>
  <c r="I147" i="37"/>
  <c r="I146" i="37"/>
  <c r="F135" i="37"/>
  <c r="I169" i="37"/>
  <c r="I167" i="37"/>
  <c r="I166" i="37"/>
  <c r="I153" i="37"/>
  <c r="I152" i="37"/>
  <c r="I151" i="37"/>
  <c r="F149" i="37"/>
  <c r="I355" i="37"/>
  <c r="I354" i="37"/>
  <c r="I353" i="37"/>
  <c r="I352" i="37"/>
  <c r="I351" i="37"/>
  <c r="I350" i="37"/>
  <c r="I349" i="37"/>
  <c r="I348" i="37"/>
  <c r="F346" i="37"/>
  <c r="I181" i="37"/>
  <c r="I180" i="37"/>
  <c r="I179" i="37"/>
  <c r="I172" i="37"/>
  <c r="K171" i="37"/>
  <c r="F170" i="37"/>
  <c r="I88" i="37"/>
  <c r="I66" i="37"/>
  <c r="I65" i="37"/>
  <c r="I64" i="37"/>
  <c r="I63" i="37"/>
  <c r="I62" i="37"/>
  <c r="I61" i="37"/>
  <c r="I60" i="37"/>
  <c r="I59" i="37"/>
  <c r="K58" i="37"/>
  <c r="F57" i="37"/>
  <c r="I56" i="37"/>
  <c r="I55" i="37"/>
  <c r="I54" i="37"/>
  <c r="I53" i="37"/>
  <c r="I52" i="37"/>
  <c r="I51" i="37"/>
  <c r="I50" i="37"/>
  <c r="I49" i="37"/>
  <c r="I48" i="37"/>
  <c r="K47" i="37"/>
  <c r="F46" i="37"/>
  <c r="F14" i="35"/>
  <c r="E14" i="35"/>
  <c r="F15" i="35"/>
  <c r="E15" i="35"/>
  <c r="F16" i="35"/>
  <c r="E16" i="35"/>
  <c r="F17" i="35"/>
  <c r="E17" i="35"/>
  <c r="F18" i="35"/>
  <c r="E18" i="35"/>
  <c r="F10" i="35"/>
  <c r="E10" i="35"/>
  <c r="F11" i="35"/>
  <c r="E11" i="35"/>
  <c r="F12" i="35"/>
  <c r="E12" i="35"/>
  <c r="F13" i="35"/>
  <c r="E13" i="35"/>
  <c r="D38" i="35"/>
  <c r="B38" i="35" s="1"/>
  <c r="D39" i="35"/>
  <c r="B39" i="35" s="1"/>
  <c r="D36" i="35"/>
  <c r="B36" i="35" s="1"/>
  <c r="D37" i="35"/>
  <c r="B37" i="35" s="1"/>
  <c r="D31" i="35"/>
  <c r="B31" i="35" s="1"/>
  <c r="D32" i="35"/>
  <c r="B32" i="35" s="1"/>
  <c r="D33" i="35"/>
  <c r="B33" i="35" s="1"/>
  <c r="D34" i="35"/>
  <c r="B34" i="35" s="1"/>
  <c r="D35" i="35"/>
  <c r="B35" i="35" s="1"/>
  <c r="D30" i="35"/>
  <c r="B30" i="35" s="1"/>
  <c r="B47" i="35"/>
  <c r="D47" i="35"/>
  <c r="D42" i="35"/>
  <c r="B42" i="35" s="1"/>
  <c r="F42" i="35" s="1"/>
  <c r="B43" i="35"/>
  <c r="F43" i="35" s="1"/>
  <c r="B44" i="35"/>
  <c r="F44" i="35" s="1"/>
  <c r="B45" i="35"/>
  <c r="F45" i="35" s="1"/>
  <c r="B46" i="35"/>
  <c r="F46" i="35" s="1"/>
  <c r="B48" i="35"/>
  <c r="F48" i="35" s="1"/>
  <c r="B49" i="35"/>
  <c r="F49" i="35" s="1"/>
  <c r="B41" i="35"/>
  <c r="E19" i="35"/>
  <c r="D20" i="35"/>
  <c r="D21" i="35" s="1"/>
  <c r="C20" i="35"/>
  <c r="C21" i="35" s="1"/>
  <c r="B20" i="35"/>
  <c r="B21" i="35" s="1"/>
  <c r="D24" i="35"/>
  <c r="B24" i="35" s="1"/>
  <c r="D23" i="35"/>
  <c r="B23" i="35" s="1"/>
  <c r="D22" i="35"/>
  <c r="B22" i="35" s="1"/>
  <c r="D26" i="35"/>
  <c r="B26" i="35" s="1"/>
  <c r="D27" i="35"/>
  <c r="B27" i="35" s="1"/>
  <c r="D28" i="35"/>
  <c r="B28" i="35" s="1"/>
  <c r="D29" i="35"/>
  <c r="B29" i="35" s="1"/>
  <c r="D25" i="35"/>
  <c r="B25" i="35" s="1"/>
  <c r="F3" i="35"/>
  <c r="E4" i="35"/>
  <c r="E5" i="35"/>
  <c r="E6" i="35"/>
  <c r="E7" i="35"/>
  <c r="E8" i="35"/>
  <c r="E9" i="35"/>
  <c r="E3" i="35"/>
  <c r="F6" i="35"/>
  <c r="F7" i="35"/>
  <c r="F8" i="35"/>
  <c r="F9" i="35"/>
  <c r="F4" i="35"/>
  <c r="F5" i="35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L39" i="32"/>
  <c r="L38" i="32"/>
  <c r="L37" i="32"/>
  <c r="L36" i="32"/>
  <c r="L35" i="32"/>
  <c r="L34" i="32"/>
  <c r="L33" i="32"/>
  <c r="L32" i="32"/>
  <c r="L31" i="32"/>
  <c r="L30" i="32"/>
  <c r="L29" i="32"/>
  <c r="L28" i="32"/>
  <c r="L27" i="32"/>
  <c r="L26" i="32"/>
  <c r="L25" i="32"/>
  <c r="L24" i="32"/>
  <c r="L23" i="32"/>
  <c r="L22" i="32"/>
  <c r="L21" i="32"/>
  <c r="L20" i="32"/>
  <c r="L19" i="32"/>
  <c r="L18" i="32"/>
  <c r="L17" i="32"/>
  <c r="L16" i="32"/>
  <c r="L15" i="32"/>
  <c r="L14" i="32"/>
  <c r="L13" i="32"/>
  <c r="L12" i="32"/>
  <c r="L11" i="32"/>
  <c r="L10" i="32"/>
  <c r="L9" i="32"/>
  <c r="L8" i="32"/>
  <c r="L7" i="32"/>
  <c r="L6" i="32"/>
  <c r="L5" i="32"/>
  <c r="L4" i="32"/>
  <c r="L3" i="32"/>
  <c r="L2" i="32"/>
  <c r="L37" i="31"/>
  <c r="L36" i="31"/>
  <c r="L35" i="31"/>
  <c r="L34" i="31"/>
  <c r="L33" i="31"/>
  <c r="L32" i="31"/>
  <c r="L31" i="31"/>
  <c r="L30" i="31"/>
  <c r="L29" i="31"/>
  <c r="L28" i="31"/>
  <c r="L27" i="31"/>
  <c r="L26" i="31"/>
  <c r="L25" i="31"/>
  <c r="L24" i="31"/>
  <c r="L23" i="31"/>
  <c r="L22" i="31"/>
  <c r="L21" i="31"/>
  <c r="L20" i="31"/>
  <c r="L19" i="31"/>
  <c r="L18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L2" i="30"/>
  <c r="L39" i="29"/>
  <c r="L38" i="29"/>
  <c r="L37" i="29"/>
  <c r="L36" i="29"/>
  <c r="L35" i="29"/>
  <c r="L34" i="29"/>
  <c r="L33" i="29"/>
  <c r="L32" i="29"/>
  <c r="L31" i="29"/>
  <c r="L30" i="29"/>
  <c r="L29" i="29"/>
  <c r="L28" i="29"/>
  <c r="L27" i="29"/>
  <c r="L26" i="29"/>
  <c r="L25" i="29"/>
  <c r="L24" i="29"/>
  <c r="L23" i="29"/>
  <c r="L22" i="29"/>
  <c r="L21" i="29"/>
  <c r="L20" i="29"/>
  <c r="L19" i="29"/>
  <c r="L18" i="29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2" i="29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N2" i="28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39" i="26"/>
  <c r="K38" i="26"/>
  <c r="K37" i="26"/>
  <c r="K36" i="26"/>
  <c r="K35" i="26"/>
  <c r="K34" i="26"/>
  <c r="K33" i="26"/>
  <c r="K32" i="26"/>
  <c r="K31" i="26"/>
  <c r="K30" i="26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K2" i="26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K2" i="25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K3" i="24"/>
  <c r="K2" i="24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5" i="23"/>
  <c r="K4" i="23"/>
  <c r="K3" i="23"/>
  <c r="K2" i="23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K2" i="19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39" i="15"/>
  <c r="K38" i="15"/>
  <c r="K37" i="15"/>
  <c r="K36" i="15"/>
  <c r="K35" i="15"/>
  <c r="K34" i="15"/>
  <c r="K33" i="15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F128" i="35" l="1"/>
  <c r="E128" i="35"/>
  <c r="F176" i="35"/>
  <c r="E176" i="35"/>
  <c r="B40" i="35"/>
  <c r="J34" i="37"/>
  <c r="E33" i="37" s="1"/>
  <c r="G33" i="37" s="1"/>
  <c r="H33" i="37" s="1"/>
  <c r="I34" i="37"/>
  <c r="J27" i="37"/>
  <c r="E26" i="37" s="1"/>
  <c r="G26" i="37" s="1"/>
  <c r="H26" i="37" s="1"/>
  <c r="I312" i="37"/>
  <c r="I27" i="37"/>
  <c r="J312" i="37"/>
  <c r="E311" i="37" s="1"/>
  <c r="G311" i="37" s="1"/>
  <c r="H311" i="37" s="1"/>
  <c r="I6" i="37"/>
  <c r="I298" i="37"/>
  <c r="I330" i="37"/>
  <c r="J319" i="37"/>
  <c r="E318" i="37" s="1"/>
  <c r="G318" i="37" s="1"/>
  <c r="H318" i="37" s="1"/>
  <c r="I319" i="37"/>
  <c r="J298" i="37"/>
  <c r="E297" i="37" s="1"/>
  <c r="G297" i="37" s="1"/>
  <c r="H297" i="37" s="1"/>
  <c r="J330" i="37"/>
  <c r="E329" i="37" s="1"/>
  <c r="G329" i="37" s="1"/>
  <c r="H329" i="37" s="1"/>
  <c r="J347" i="37"/>
  <c r="E346" i="37" s="1"/>
  <c r="G346" i="37" s="1"/>
  <c r="H346" i="37" s="1"/>
  <c r="J107" i="37"/>
  <c r="E106" i="37" s="1"/>
  <c r="G106" i="37" s="1"/>
  <c r="H106" i="37" s="1"/>
  <c r="J90" i="37"/>
  <c r="E89" i="37" s="1"/>
  <c r="G89" i="37" s="1"/>
  <c r="H89" i="37" s="1"/>
  <c r="J58" i="37"/>
  <c r="E57" i="37" s="1"/>
  <c r="G57" i="37" s="1"/>
  <c r="H57" i="37" s="1"/>
  <c r="J47" i="37"/>
  <c r="E46" i="37" s="1"/>
  <c r="G46" i="37" s="1"/>
  <c r="H46" i="37" s="1"/>
  <c r="J117" i="37"/>
  <c r="E116" i="37" s="1"/>
  <c r="G116" i="37" s="1"/>
  <c r="H116" i="37" s="1"/>
  <c r="J215" i="37"/>
  <c r="E214" i="37" s="1"/>
  <c r="G214" i="37" s="1"/>
  <c r="H214" i="37" s="1"/>
  <c r="J6" i="37"/>
  <c r="E5" i="37" s="1"/>
  <c r="G5" i="37" s="1"/>
  <c r="H5" i="37" s="1"/>
  <c r="J171" i="37"/>
  <c r="E170" i="37" s="1"/>
  <c r="G170" i="37" s="1"/>
  <c r="H170" i="37" s="1"/>
  <c r="J150" i="37"/>
  <c r="E149" i="37" s="1"/>
  <c r="G149" i="37" s="1"/>
  <c r="H149" i="37" s="1"/>
  <c r="I215" i="37"/>
  <c r="I90" i="37"/>
  <c r="I117" i="37"/>
  <c r="I107" i="37"/>
  <c r="I150" i="37"/>
  <c r="I347" i="37"/>
  <c r="I171" i="37"/>
  <c r="I58" i="37"/>
  <c r="I47" i="37"/>
  <c r="D40" i="35"/>
  <c r="D50" i="35" s="1"/>
  <c r="E47" i="35"/>
  <c r="E20" i="35"/>
  <c r="C51" i="35"/>
  <c r="F20" i="35"/>
  <c r="E40" i="35" l="1"/>
  <c r="E50" i="35" s="1"/>
  <c r="F47" i="35"/>
  <c r="F21" i="35"/>
  <c r="E21" i="35"/>
  <c r="F40" i="35" l="1"/>
  <c r="B50" i="35"/>
  <c r="B51" i="35" s="1"/>
  <c r="D51" i="35"/>
  <c r="F41" i="35"/>
  <c r="E51" i="35"/>
  <c r="F51" i="35" l="1"/>
  <c r="F50" i="35"/>
  <c r="N136" i="37" l="1"/>
  <c r="I137" i="37"/>
  <c r="J136" i="37" s="1"/>
  <c r="E135" i="37" s="1"/>
  <c r="G135" i="37" s="1"/>
  <c r="H135" i="37" l="1"/>
  <c r="I136" i="37"/>
  <c r="J54" i="35"/>
  <c r="C79" i="35" l="1"/>
  <c r="C177" i="35" s="1"/>
  <c r="O91" i="35"/>
  <c r="M91" i="35" s="1"/>
  <c r="M54" i="35" s="1"/>
  <c r="D79" i="35" s="1"/>
  <c r="D177" i="35" s="1"/>
  <c r="B79" i="35"/>
  <c r="L52" i="35" l="1"/>
  <c r="F79" i="35"/>
  <c r="B177" i="35"/>
  <c r="F177" i="35" s="1"/>
  <c r="E79" i="35"/>
  <c r="E177" i="35" s="1"/>
</calcChain>
</file>

<file path=xl/sharedStrings.xml><?xml version="1.0" encoding="utf-8"?>
<sst xmlns="http://schemas.openxmlformats.org/spreadsheetml/2006/main" count="4539" uniqueCount="1481">
  <si>
    <t>IBM</t>
  </si>
  <si>
    <t>아메리칸 타워</t>
  </si>
  <si>
    <t>MO</t>
  </si>
  <si>
    <t>생활필수품</t>
  </si>
  <si>
    <t>건강,위생용품</t>
  </si>
  <si>
    <t>MSFT</t>
  </si>
  <si>
    <t>MDT</t>
  </si>
  <si>
    <t>J.M. Smuker</t>
  </si>
  <si>
    <t>DOW</t>
  </si>
  <si>
    <t>2008/04/01</t>
  </si>
  <si>
    <t>금융</t>
  </si>
  <si>
    <t>Interpublic</t>
  </si>
  <si>
    <t>2017/10/02</t>
  </si>
  <si>
    <t>U.S. 뱅코프</t>
  </si>
  <si>
    <t>2014/06/02</t>
  </si>
  <si>
    <t>Lumen Technologies</t>
  </si>
  <si>
    <t>2016/10/03</t>
  </si>
  <si>
    <t>2008/07/01</t>
  </si>
  <si>
    <t>2019/03/01</t>
  </si>
  <si>
    <t>2013/03/01</t>
  </si>
  <si>
    <t>웰스파고</t>
  </si>
  <si>
    <t>엑슨 모빌</t>
  </si>
  <si>
    <t>General Mills</t>
  </si>
  <si>
    <t>Kimberly-Clark</t>
  </si>
  <si>
    <t>2016/12/01</t>
  </si>
  <si>
    <t>2014/07/01</t>
  </si>
  <si>
    <t>QCOM</t>
  </si>
  <si>
    <t>순이익</t>
  </si>
  <si>
    <t>2020/09/01</t>
  </si>
  <si>
    <t>KO</t>
  </si>
  <si>
    <t>AT&amp;T</t>
  </si>
  <si>
    <t>존슨앤드존슨</t>
  </si>
  <si>
    <t>2011/03/01</t>
  </si>
  <si>
    <t>2009/01/02</t>
  </si>
  <si>
    <t>2017/09/01</t>
  </si>
  <si>
    <t>서던 컴퍼니</t>
  </si>
  <si>
    <t>2015/03/02</t>
  </si>
  <si>
    <t>WPC</t>
  </si>
  <si>
    <t>XOM</t>
  </si>
  <si>
    <t>공익</t>
  </si>
  <si>
    <t>JPM</t>
  </si>
  <si>
    <t>DUK</t>
  </si>
  <si>
    <t>에머슨 일렉트릭</t>
  </si>
  <si>
    <t>WELL</t>
  </si>
  <si>
    <t>P&amp;G</t>
  </si>
  <si>
    <t>2019/10/01</t>
  </si>
  <si>
    <t>아이언 마운틴</t>
  </si>
  <si>
    <t>T.로우 프라이스</t>
  </si>
  <si>
    <t>BEN</t>
  </si>
  <si>
    <t>2011/07/01</t>
  </si>
  <si>
    <t>CAT</t>
  </si>
  <si>
    <t>2008/01/02</t>
  </si>
  <si>
    <t>2018/09/04</t>
  </si>
  <si>
    <t>유넘그룹</t>
  </si>
  <si>
    <t>코라콜라</t>
  </si>
  <si>
    <t>2017/03/01</t>
  </si>
  <si>
    <t>2011/04/01</t>
  </si>
  <si>
    <t>CL</t>
  </si>
  <si>
    <t>카디널 헬스</t>
  </si>
  <si>
    <t>2014/01/02</t>
  </si>
  <si>
    <t>2019/04/01</t>
  </si>
  <si>
    <t>2012/10/01</t>
  </si>
  <si>
    <t>O</t>
  </si>
  <si>
    <t>2014/03/03</t>
  </si>
  <si>
    <t>2012/06/01</t>
  </si>
  <si>
    <t>JNJ</t>
  </si>
  <si>
    <t>통신</t>
  </si>
  <si>
    <t>배당금성장률</t>
  </si>
  <si>
    <t>퀄컴</t>
  </si>
  <si>
    <t>시가</t>
  </si>
  <si>
    <t>KR</t>
  </si>
  <si>
    <t>WBA</t>
  </si>
  <si>
    <t>WRK</t>
  </si>
  <si>
    <t>캐터필러</t>
  </si>
  <si>
    <t>배당성장률</t>
  </si>
  <si>
    <t>LUMN</t>
  </si>
  <si>
    <t>프로로지스</t>
  </si>
  <si>
    <t>영업이익률</t>
  </si>
  <si>
    <t>애브비</t>
  </si>
  <si>
    <t>2011/06/01</t>
  </si>
  <si>
    <t>2007/10/01</t>
  </si>
  <si>
    <t>2011/10/03</t>
  </si>
  <si>
    <t>2012/04/02</t>
  </si>
  <si>
    <t>IP</t>
  </si>
  <si>
    <t>AVGO</t>
  </si>
  <si>
    <t>Edison International</t>
  </si>
  <si>
    <t>제이피모간체이스</t>
  </si>
  <si>
    <t>2015/07/01</t>
  </si>
  <si>
    <t>2016/09/01</t>
  </si>
  <si>
    <t>2016/03/01</t>
  </si>
  <si>
    <t>에너지</t>
  </si>
  <si>
    <t>EMR</t>
  </si>
  <si>
    <t>코스트코 홀세일</t>
  </si>
  <si>
    <t xml:space="preserve">2-2. 2번 이상 -3%가 안 뜬 달이 있는 경우 (공황종료)
</t>
  </si>
  <si>
    <t>Omnicom</t>
  </si>
  <si>
    <t>WFC</t>
  </si>
  <si>
    <t>2013/01/02</t>
  </si>
  <si>
    <t>MCD</t>
  </si>
  <si>
    <t>ED</t>
  </si>
  <si>
    <t>2011/01/03</t>
  </si>
  <si>
    <t>KHC</t>
  </si>
  <si>
    <t>Pinnacle West Capital</t>
  </si>
  <si>
    <t>프린스플 파이낸셜 그룹</t>
  </si>
  <si>
    <t>애플</t>
  </si>
  <si>
    <t>2-1. 한 달에 '나스닥'지수가 -3% 이상이 4번 떴을 경우 (공황시작)</t>
  </si>
  <si>
    <t>저가</t>
  </si>
  <si>
    <t>넥스트메라 에너지</t>
  </si>
  <si>
    <t>2018/12/03</t>
  </si>
  <si>
    <t>DIS</t>
  </si>
  <si>
    <t>ORCL</t>
  </si>
  <si>
    <t>2018/06/01</t>
  </si>
  <si>
    <t>Juniper Newworks</t>
  </si>
  <si>
    <t>리얼티 인컴</t>
  </si>
  <si>
    <t>2018/10/01</t>
  </si>
  <si>
    <t>씨리얼</t>
  </si>
  <si>
    <t>PFG</t>
  </si>
  <si>
    <t>CSCO</t>
  </si>
  <si>
    <t>월 체크사항</t>
  </si>
  <si>
    <t>D</t>
  </si>
  <si>
    <t>AWK</t>
  </si>
  <si>
    <t>Hanesbrands</t>
  </si>
  <si>
    <t>EIX</t>
  </si>
  <si>
    <t>2009/10/01</t>
  </si>
  <si>
    <t>메드트로닉</t>
  </si>
  <si>
    <t>INTC</t>
  </si>
  <si>
    <t>SO</t>
  </si>
  <si>
    <t>2020/03/02</t>
  </si>
  <si>
    <t>2016/06/01</t>
  </si>
  <si>
    <t>배당성향</t>
  </si>
  <si>
    <t>CVX</t>
  </si>
  <si>
    <t>Dow</t>
  </si>
  <si>
    <t>AMGN</t>
  </si>
  <si>
    <t>2015/01/02</t>
  </si>
  <si>
    <t>2014/12/01</t>
  </si>
  <si>
    <t>ABT</t>
  </si>
  <si>
    <t>V</t>
  </si>
  <si>
    <t>2020/07/01</t>
  </si>
  <si>
    <t>SJM</t>
  </si>
  <si>
    <t>NUE</t>
  </si>
  <si>
    <t>스타벅스</t>
  </si>
  <si>
    <t>전력판매</t>
  </si>
  <si>
    <t>MAR</t>
  </si>
  <si>
    <t>2019/01/02</t>
  </si>
  <si>
    <t>SUN LIFE FINANCIAL INC</t>
  </si>
  <si>
    <t>맥도날드</t>
  </si>
  <si>
    <t>AAPL</t>
  </si>
  <si>
    <t>Evergy</t>
  </si>
  <si>
    <t>2009/07/01</t>
  </si>
  <si>
    <t>홈디포</t>
  </si>
  <si>
    <t>2020/04/01</t>
  </si>
  <si>
    <t>2007/07/02</t>
  </si>
  <si>
    <t>2010/01/04</t>
  </si>
  <si>
    <t>뉴코</t>
  </si>
  <si>
    <t>2021/01/04</t>
  </si>
  <si>
    <t>2006/10/02</t>
  </si>
  <si>
    <t>IT</t>
  </si>
  <si>
    <t>WMT</t>
  </si>
  <si>
    <t>크로커</t>
  </si>
  <si>
    <t>부동산</t>
  </si>
  <si>
    <t>PFE</t>
  </si>
  <si>
    <t>2013/09/03</t>
  </si>
  <si>
    <t>2020/06/01</t>
  </si>
  <si>
    <t>2012/03/01</t>
  </si>
  <si>
    <t>Altria</t>
  </si>
  <si>
    <t>2018/01/02</t>
  </si>
  <si>
    <t>록히드 마틴</t>
  </si>
  <si>
    <t>치료제 개발</t>
  </si>
  <si>
    <t>GIS</t>
  </si>
  <si>
    <t>2013/12/02</t>
  </si>
  <si>
    <t>아메리칸 워터 웍스</t>
  </si>
  <si>
    <t>2019/09/03</t>
  </si>
  <si>
    <t>포장 소비자 제품 제조, 판매</t>
  </si>
  <si>
    <t>2017/01/03</t>
  </si>
  <si>
    <t>2017/12/01</t>
  </si>
  <si>
    <t>IRM</t>
  </si>
  <si>
    <t>CAH</t>
  </si>
  <si>
    <t>2013/04/01</t>
  </si>
  <si>
    <t>화이자</t>
  </si>
  <si>
    <t>산업재</t>
  </si>
  <si>
    <t>Kellogg</t>
  </si>
  <si>
    <t>2012/07/02</t>
  </si>
  <si>
    <t>2011/09/01</t>
  </si>
  <si>
    <t>방산</t>
  </si>
  <si>
    <t>2017/06/01</t>
  </si>
  <si>
    <t>시스코 시스템즈</t>
  </si>
  <si>
    <t>마이크로소프트</t>
  </si>
  <si>
    <t>2020/01/02</t>
  </si>
  <si>
    <t>Broadcom</t>
  </si>
  <si>
    <t>KMB</t>
  </si>
  <si>
    <t>몬델리즈 인터네셔널</t>
  </si>
  <si>
    <t>2015/06/01</t>
  </si>
  <si>
    <t>암젠</t>
  </si>
  <si>
    <t>2013/06/03</t>
  </si>
  <si>
    <t>2006/07/03</t>
  </si>
  <si>
    <t>월트 디즈니</t>
  </si>
  <si>
    <t>First Energy</t>
  </si>
  <si>
    <t>CNA FINANCIAL CORP</t>
  </si>
  <si>
    <t>Walgreens Boots</t>
  </si>
  <si>
    <t>필립 모리스 인터네셔널</t>
  </si>
  <si>
    <t>2017/07/03</t>
  </si>
  <si>
    <t>보험</t>
  </si>
  <si>
    <t>고가</t>
  </si>
  <si>
    <t>Duke Energy</t>
  </si>
  <si>
    <t>2015/12/01</t>
  </si>
  <si>
    <t>배당금 성장률</t>
  </si>
  <si>
    <t>Genuine Parts</t>
  </si>
  <si>
    <t>COST</t>
  </si>
  <si>
    <t>2009/04/01</t>
  </si>
  <si>
    <t>오라클</t>
  </si>
  <si>
    <t>유니온 퍼시픽</t>
  </si>
  <si>
    <t>2017/04/03</t>
  </si>
  <si>
    <t>UNM</t>
  </si>
  <si>
    <t>2020/12/01</t>
  </si>
  <si>
    <t>2014/04/01</t>
  </si>
  <si>
    <t>NASDAQ</t>
  </si>
  <si>
    <t>PEP</t>
  </si>
  <si>
    <t>애보트 래버러토리</t>
  </si>
  <si>
    <t>2011/12/01</t>
  </si>
  <si>
    <t>2016/01/04</t>
  </si>
  <si>
    <t>NEE</t>
  </si>
  <si>
    <t>AMT</t>
  </si>
  <si>
    <t>2013/10/01</t>
  </si>
  <si>
    <t>2019/06/03</t>
  </si>
  <si>
    <t>주당배당금</t>
  </si>
  <si>
    <t>NYSE</t>
  </si>
  <si>
    <t>HD</t>
  </si>
  <si>
    <t>2012/09/04</t>
  </si>
  <si>
    <t>기본재</t>
  </si>
  <si>
    <t>PM</t>
  </si>
  <si>
    <t>2015/04/01</t>
  </si>
  <si>
    <t>2007/01/03</t>
  </si>
  <si>
    <t>UNP</t>
  </si>
  <si>
    <t>LMT</t>
  </si>
  <si>
    <t>2012/01/03</t>
  </si>
  <si>
    <t>Western Union</t>
  </si>
  <si>
    <t>Kinder Morgan</t>
  </si>
  <si>
    <t>Franklin Resources</t>
  </si>
  <si>
    <t>콜게이트-팜올리브</t>
  </si>
  <si>
    <t>콘솔리데이티드 에디슨</t>
  </si>
  <si>
    <t>쓰리엠</t>
  </si>
  <si>
    <t/>
  </si>
  <si>
    <t>쉐브론</t>
  </si>
  <si>
    <t>MMM</t>
  </si>
  <si>
    <t>CNA</t>
  </si>
  <si>
    <t>2013/07/01</t>
  </si>
  <si>
    <t>K</t>
  </si>
  <si>
    <t>CF Industries</t>
  </si>
  <si>
    <t>2012/12/03</t>
  </si>
  <si>
    <t>크래프트 하인즈</t>
  </si>
  <si>
    <t>소비재</t>
  </si>
  <si>
    <t>2019/12/02</t>
  </si>
  <si>
    <t>Entergy</t>
  </si>
  <si>
    <t>ABBV</t>
  </si>
  <si>
    <t>2010/10/01</t>
  </si>
  <si>
    <t>Amcor</t>
  </si>
  <si>
    <t>웨스트록</t>
  </si>
  <si>
    <t>2015/09/01</t>
  </si>
  <si>
    <t>월마트</t>
  </si>
  <si>
    <t>영업이익</t>
  </si>
  <si>
    <t>총매출(총수익)</t>
  </si>
  <si>
    <t>International Paper</t>
  </si>
  <si>
    <t>인텔</t>
  </si>
  <si>
    <t>종가</t>
  </si>
  <si>
    <t>SBUX</t>
  </si>
  <si>
    <t>2014/10/01</t>
  </si>
  <si>
    <t>2010/04/01</t>
  </si>
  <si>
    <t>PLD</t>
  </si>
  <si>
    <t>비자</t>
  </si>
  <si>
    <t>2007/04/02</t>
  </si>
  <si>
    <t>2016/07/01</t>
  </si>
  <si>
    <t>약국,건강제품 판매</t>
  </si>
  <si>
    <t>2008/10/01</t>
  </si>
  <si>
    <t>필수소비재</t>
  </si>
  <si>
    <t>날짜</t>
  </si>
  <si>
    <t>PPL</t>
  </si>
  <si>
    <t>2016/04/01</t>
  </si>
  <si>
    <t>2019/07/01</t>
  </si>
  <si>
    <t>MDLZ</t>
  </si>
  <si>
    <t>순이익률</t>
  </si>
  <si>
    <t>2018/04/02</t>
  </si>
  <si>
    <t>웰타워</t>
  </si>
  <si>
    <t>헬스케어</t>
  </si>
  <si>
    <t>2018/03/01</t>
  </si>
  <si>
    <t>펩시코</t>
  </si>
  <si>
    <t>TROW</t>
  </si>
  <si>
    <t>리츠</t>
  </si>
  <si>
    <t>2018/07/02</t>
  </si>
  <si>
    <t>PG</t>
  </si>
  <si>
    <t>2014/09/02</t>
  </si>
  <si>
    <t>WP CAREY INC</t>
  </si>
  <si>
    <t>2020/10/01</t>
  </si>
  <si>
    <t>GILD</t>
  </si>
  <si>
    <t>통신 및 유틸리티</t>
  </si>
  <si>
    <t>1. 미국 2년 국채 수익률 vs 10년 국채 수익률</t>
  </si>
  <si>
    <t>USB</t>
  </si>
  <si>
    <t>데이터 저장/관리 사업</t>
  </si>
  <si>
    <t>2015/10/01</t>
  </si>
  <si>
    <t>2010/07/01</t>
  </si>
  <si>
    <t>HP</t>
  </si>
  <si>
    <t>Gilead Sciences</t>
  </si>
  <si>
    <t>버라이존 커뮤니케이션스</t>
  </si>
  <si>
    <t>T</t>
  </si>
  <si>
    <t>VZ</t>
  </si>
  <si>
    <t>Newell Brands Inc</t>
  </si>
  <si>
    <t>메리어트 인터내셔널/매릴랜드</t>
  </si>
  <si>
    <t>인터내셔널 비즈니스 머신스</t>
  </si>
  <si>
    <t>Dominion Energy</t>
  </si>
  <si>
    <t>SLF</t>
  </si>
  <si>
    <t>영업활동순현금흐름</t>
  </si>
  <si>
    <t>수수료</t>
    <phoneticPr fontId="22" type="noConversion"/>
  </si>
  <si>
    <t>매도</t>
    <phoneticPr fontId="22" type="noConversion"/>
  </si>
  <si>
    <t>통화/종목별 수익률</t>
    <phoneticPr fontId="22" type="noConversion"/>
  </si>
  <si>
    <t>AT&amp;T</t>
    <phoneticPr fontId="22" type="noConversion"/>
  </si>
  <si>
    <t>QQQ</t>
    <phoneticPr fontId="22" type="noConversion"/>
  </si>
  <si>
    <r>
      <rPr>
        <sz val="11"/>
        <color rgb="FF000000"/>
        <rFont val="돋움"/>
        <family val="3"/>
        <charset val="129"/>
      </rPr>
      <t>재팬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공항터미널</t>
    </r>
    <phoneticPr fontId="22" type="noConversion"/>
  </si>
  <si>
    <t>피바디</t>
    <phoneticPr fontId="22" type="noConversion"/>
  </si>
  <si>
    <t>리얼티</t>
    <phoneticPr fontId="22" type="noConversion"/>
  </si>
  <si>
    <t>유니티</t>
    <phoneticPr fontId="22" type="noConversion"/>
  </si>
  <si>
    <t>WP</t>
    <phoneticPr fontId="22" type="noConversion"/>
  </si>
  <si>
    <t>레네솔라</t>
    <phoneticPr fontId="22" type="noConversion"/>
  </si>
  <si>
    <t>수익</t>
    <phoneticPr fontId="22" type="noConversion"/>
  </si>
  <si>
    <t>환차익</t>
    <phoneticPr fontId="22" type="noConversion"/>
  </si>
  <si>
    <t>계산제외</t>
    <phoneticPr fontId="22" type="noConversion"/>
  </si>
  <si>
    <t>배당금</t>
    <phoneticPr fontId="22" type="noConversion"/>
  </si>
  <si>
    <t>하나투어</t>
    <phoneticPr fontId="22" type="noConversion"/>
  </si>
  <si>
    <t>구리</t>
    <phoneticPr fontId="22" type="noConversion"/>
  </si>
  <si>
    <t>계</t>
    <phoneticPr fontId="22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</si>
  <si>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2" type="noConversion"/>
  </si>
  <si>
    <r>
      <t>2021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2" type="noConversion"/>
  </si>
  <si>
    <r>
      <rPr>
        <b/>
        <sz val="11"/>
        <color rgb="FF000000"/>
        <rFont val="돋움"/>
        <family val="3"/>
        <charset val="129"/>
      </rPr>
      <t>최종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2" type="noConversion"/>
  </si>
  <si>
    <t>아이티엠반도체</t>
    <phoneticPr fontId="22" type="noConversion"/>
  </si>
  <si>
    <t>대한항공</t>
    <phoneticPr fontId="22" type="noConversion"/>
  </si>
  <si>
    <r>
      <rPr>
        <sz val="11"/>
        <color rgb="FF000000"/>
        <rFont val="돋움"/>
        <family val="3"/>
        <charset val="129"/>
      </rPr>
      <t>원유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선물</t>
    </r>
    <phoneticPr fontId="22" type="noConversion"/>
  </si>
  <si>
    <t>공모주</t>
    <phoneticPr fontId="22" type="noConversion"/>
  </si>
  <si>
    <t>매수</t>
    <phoneticPr fontId="22" type="noConversion"/>
  </si>
  <si>
    <t>한국투자증권</t>
    <phoneticPr fontId="22" type="noConversion"/>
  </si>
  <si>
    <t>미래에셋증권</t>
    <phoneticPr fontId="22" type="noConversion"/>
  </si>
  <si>
    <t>대신증권</t>
    <phoneticPr fontId="22" type="noConversion"/>
  </si>
  <si>
    <t>KB증권</t>
    <phoneticPr fontId="22" type="noConversion"/>
  </si>
  <si>
    <t>삼성증권</t>
    <phoneticPr fontId="22" type="noConversion"/>
  </si>
  <si>
    <t>하나금융투자</t>
    <phoneticPr fontId="22" type="noConversion"/>
  </si>
  <si>
    <t>NH투자증권</t>
    <phoneticPr fontId="22" type="noConversion"/>
  </si>
  <si>
    <t>SK증권</t>
    <phoneticPr fontId="22" type="noConversion"/>
  </si>
  <si>
    <t>IBK투자증권</t>
    <phoneticPr fontId="22" type="noConversion"/>
  </si>
  <si>
    <t>합계</t>
    <phoneticPr fontId="22" type="noConversion"/>
  </si>
  <si>
    <t>삼성전자</t>
    <phoneticPr fontId="22" type="noConversion"/>
  </si>
  <si>
    <t>농심</t>
    <phoneticPr fontId="22" type="noConversion"/>
  </si>
  <si>
    <t>SUN LIFE</t>
    <phoneticPr fontId="22" type="noConversion"/>
  </si>
  <si>
    <t>이리튬</t>
    <phoneticPr fontId="22" type="noConversion"/>
  </si>
  <si>
    <t>보잉</t>
    <phoneticPr fontId="22" type="noConversion"/>
  </si>
  <si>
    <t>에브비</t>
    <phoneticPr fontId="22" type="noConversion"/>
  </si>
  <si>
    <t>콘솔리데이티드</t>
    <phoneticPr fontId="22" type="noConversion"/>
  </si>
  <si>
    <t>버진겔럭틱</t>
    <phoneticPr fontId="22" type="noConversion"/>
  </si>
  <si>
    <t>투자 정리</t>
  </si>
  <si>
    <t>1. 뉴스, 소식 등으로 오를 것으로 상상되는 산업, 종목을 얻는다 (반드시 매도 시점까지 같이 얻는다)</t>
  </si>
  <si>
    <t>3. 재무제표에서 살펴 볼 점</t>
  </si>
  <si>
    <t>- 정부 규제 심한 종목</t>
  </si>
  <si>
    <t>- 믿을 수 없는 대주주/경영진(중국기업, 잦은 대주주 교체</t>
  </si>
  <si>
    <t>- 매출비율(기업모델)</t>
  </si>
  <si>
    <t>- 대주주 주식보유비율(30%보다 높아야 좋음)</t>
  </si>
  <si>
    <t>- 3년 매출/영업이익/당기순이익(꾸준한 증가)</t>
  </si>
  <si>
    <t>- 부채비율(100%이상 위험, 200%이상 매우위험, 업종평균치 참고할 것)</t>
  </si>
  <si>
    <t>※ 3년간 영업손실이 나면 경고</t>
  </si>
  <si>
    <t>4. 이후 개인 설정 기준에 따른 투자</t>
  </si>
  <si>
    <t>PER : 주가가 연간 버는 이익의 몇 배인가?(몇 년 후 본전인가)</t>
    <phoneticPr fontId="27" type="noConversion"/>
  </si>
  <si>
    <t>PBR : 당장 처분하면 청산가치의 몇 배인가?</t>
    <phoneticPr fontId="27" type="noConversion"/>
  </si>
  <si>
    <t>21년3분기</t>
    <phoneticPr fontId="27" type="noConversion"/>
  </si>
  <si>
    <t>매출</t>
    <phoneticPr fontId="27" type="noConversion"/>
  </si>
  <si>
    <t>영업이익</t>
    <phoneticPr fontId="27" type="noConversion"/>
  </si>
  <si>
    <t>당기순이익</t>
    <phoneticPr fontId="27" type="noConversion"/>
  </si>
  <si>
    <t>2. 네이버(분기)</t>
    <phoneticPr fontId="27" type="noConversion"/>
  </si>
  <si>
    <t>2. 네이버(연)</t>
    <phoneticPr fontId="27" type="noConversion"/>
  </si>
  <si>
    <t>현대해상</t>
    <phoneticPr fontId="27" type="noConversion"/>
  </si>
  <si>
    <t>코메론</t>
    <phoneticPr fontId="27" type="noConversion"/>
  </si>
  <si>
    <t>보험료:81%, 기타(이자 등):19%</t>
    <phoneticPr fontId="27" type="noConversion"/>
  </si>
  <si>
    <t>대한해운</t>
    <phoneticPr fontId="27" type="noConversion"/>
  </si>
  <si>
    <t>해운업:76%</t>
    <phoneticPr fontId="27" type="noConversion"/>
  </si>
  <si>
    <t>목표수익률 : 11%</t>
    <phoneticPr fontId="22" type="noConversion"/>
  </si>
  <si>
    <t>애플</t>
    <phoneticPr fontId="22" type="noConversion"/>
  </si>
  <si>
    <t>이리듐</t>
    <phoneticPr fontId="22" type="noConversion"/>
  </si>
  <si>
    <t>5. 추가 매수/매도 타이밍</t>
    <phoneticPr fontId="27" type="noConversion"/>
  </si>
  <si>
    <t>줄자:78%, 기타(압연,자동차부품,톱 등):22%</t>
    <phoneticPr fontId="27" type="noConversion"/>
  </si>
  <si>
    <t>- 자본-부채&gt;시총</t>
    <phoneticPr fontId="27" type="noConversion"/>
  </si>
  <si>
    <t>- 미래(10년) 지속/성장 가능성</t>
    <phoneticPr fontId="27" type="noConversion"/>
  </si>
  <si>
    <t>매수</t>
    <phoneticPr fontId="27" type="noConversion"/>
  </si>
  <si>
    <t>매도</t>
    <phoneticPr fontId="27" type="noConversion"/>
  </si>
  <si>
    <t>대한항공</t>
    <phoneticPr fontId="27" type="noConversion"/>
  </si>
  <si>
    <t>매입가</t>
    <phoneticPr fontId="27" type="noConversion"/>
  </si>
  <si>
    <t>구분</t>
    <phoneticPr fontId="27" type="noConversion"/>
  </si>
  <si>
    <t>현재가</t>
    <phoneticPr fontId="27" type="noConversion"/>
  </si>
  <si>
    <t>목표 매매</t>
    <phoneticPr fontId="27" type="noConversion"/>
  </si>
  <si>
    <t>주변사람 여행 시작</t>
    <phoneticPr fontId="27" type="noConversion"/>
  </si>
  <si>
    <t>매도(+)
매수(-)</t>
    <phoneticPr fontId="27" type="noConversion"/>
  </si>
  <si>
    <t>TIGER 구리실물</t>
    <phoneticPr fontId="27" type="noConversion"/>
  </si>
  <si>
    <t>???</t>
    <phoneticPr fontId="27" type="noConversion"/>
  </si>
  <si>
    <t>삼성전자</t>
    <phoneticPr fontId="27" type="noConversion"/>
  </si>
  <si>
    <t>없음</t>
    <phoneticPr fontId="27" type="noConversion"/>
  </si>
  <si>
    <t>SK</t>
    <phoneticPr fontId="27" type="noConversion"/>
  </si>
  <si>
    <t>참좋은여행</t>
    <phoneticPr fontId="27" type="noConversion"/>
  </si>
  <si>
    <t>LG생활건강</t>
    <phoneticPr fontId="27" type="noConversion"/>
  </si>
  <si>
    <t>셀트리온</t>
    <phoneticPr fontId="27" type="noConversion"/>
  </si>
  <si>
    <t>미니보험 판매 기사화/실적호조</t>
    <phoneticPr fontId="27" type="noConversion"/>
  </si>
  <si>
    <t>버진갤럭틱 홀딩스</t>
    <phoneticPr fontId="27" type="noConversion"/>
  </si>
  <si>
    <t>한국 (KRW)</t>
    <phoneticPr fontId="27" type="noConversion"/>
  </si>
  <si>
    <t>미국 (USD)</t>
    <phoneticPr fontId="27" type="noConversion"/>
  </si>
  <si>
    <t>유니티소프트웨어</t>
    <phoneticPr fontId="27" type="noConversion"/>
  </si>
  <si>
    <t>이리듐 커뮤니케이션</t>
    <phoneticPr fontId="27" type="noConversion"/>
  </si>
  <si>
    <t>보잉</t>
    <phoneticPr fontId="27" type="noConversion"/>
  </si>
  <si>
    <t>애플</t>
    <phoneticPr fontId="27" type="noConversion"/>
  </si>
  <si>
    <t>메타</t>
    <phoneticPr fontId="27" type="noConversion"/>
  </si>
  <si>
    <t>와이마이홀로그램</t>
    <phoneticPr fontId="27" type="noConversion"/>
  </si>
  <si>
    <t>    - 회복 국면 : IT주, 금융주</t>
  </si>
  <si>
    <t>    - 호황 국면 : 자본재주, 일반소비재, 서비스주, 소재주</t>
  </si>
  <si>
    <t>    - 후퇴 국면 : 에너지주</t>
  </si>
  <si>
    <t>    - 불황 국면 : 생활필수품주, 헬스케어주, 통신주, 공익주</t>
  </si>
  <si>
    <r>
      <t>AT&amp;T</t>
    </r>
    <r>
      <rPr>
        <sz val="11"/>
        <color rgb="FF000000"/>
        <rFont val="Calibri"/>
        <family val="2"/>
      </rPr>
      <t>(T)</t>
    </r>
    <phoneticPr fontId="27" type="noConversion"/>
  </si>
  <si>
    <t>매입
배당률</t>
    <phoneticPr fontId="27" type="noConversion"/>
  </si>
  <si>
    <t>현재
배당률</t>
    <phoneticPr fontId="27" type="noConversion"/>
  </si>
  <si>
    <t>T.로우 프라이스(TROW)</t>
  </si>
  <si>
    <t>스타벅스(SBUX)</t>
  </si>
  <si>
    <t>쓰리엠(MMM)</t>
  </si>
  <si>
    <t>펩시코(PEP)</t>
  </si>
  <si>
    <t>애브비(ABBV)</t>
  </si>
  <si>
    <t>콘솔리데이티드 에디슨(ED)</t>
  </si>
  <si>
    <t>버라이존 커뮤니케이션스(VZ)</t>
  </si>
  <si>
    <t>콜게이트-팜올리브(CL)</t>
  </si>
  <si>
    <t>코스트코 홀세일(COST)</t>
  </si>
  <si>
    <t>홈디포(HD)</t>
  </si>
  <si>
    <t>인텔(INTC)</t>
  </si>
  <si>
    <t>존슨앤드존슨(JNJ)</t>
  </si>
  <si>
    <t>크로커(KR)</t>
  </si>
  <si>
    <t>록히드 마틴(LMT)</t>
  </si>
  <si>
    <t>맥도날드(MCD)</t>
  </si>
  <si>
    <t>마이크로소프트(MSFT)</t>
  </si>
  <si>
    <t>넥스트메라 에너지(NEE)</t>
  </si>
  <si>
    <t>P&amp;G(PG)</t>
  </si>
  <si>
    <t>유니온 퍼시픽(UNP)</t>
  </si>
  <si>
    <t>비자(V)</t>
  </si>
  <si>
    <t>시스코 시스템즈(CSCO)</t>
  </si>
  <si>
    <t>리얼티 인컴(O)</t>
  </si>
  <si>
    <t>서던 컴퍼니(SO)</t>
  </si>
  <si>
    <t>WP CAREY INC(WPC)</t>
  </si>
  <si>
    <t>CNA FINANCIAL CORP(CNA)</t>
  </si>
  <si>
    <t>유넘그룹(UNM)</t>
  </si>
  <si>
    <t>프린스플 파이낸셜 그룹(PFG)</t>
  </si>
  <si>
    <t>SUN LIFE FINANCIAL INC(SLF)</t>
  </si>
  <si>
    <t>아이언 마운틴(IRM)</t>
  </si>
  <si>
    <t>ATRION CORP(ATRI)</t>
  </si>
  <si>
    <r>
      <rPr>
        <sz val="11"/>
        <color rgb="FF000000"/>
        <rFont val="돋움"/>
        <family val="3"/>
        <charset val="129"/>
      </rPr>
      <t>금융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투자회사</t>
    </r>
    <r>
      <rPr>
        <sz val="11"/>
        <color rgb="FF000000"/>
        <rFont val="Calibri"/>
        <family val="2"/>
      </rPr>
      <t>)</t>
    </r>
    <phoneticPr fontId="27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</si>
  <si>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전기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가스배달</t>
    </r>
    <r>
      <rPr>
        <sz val="11"/>
        <color rgb="FF000000"/>
        <rFont val="Calibri"/>
        <family val="2"/>
      </rPr>
      <t>)</t>
    </r>
    <phoneticPr fontId="27" type="noConversion"/>
  </si>
  <si>
    <t>리츠</t>
    <phoneticPr fontId="27" type="noConversion"/>
  </si>
  <si>
    <r>
      <rPr>
        <sz val="11"/>
        <color rgb="FF000000"/>
        <rFont val="돋움"/>
        <family val="3"/>
        <charset val="129"/>
      </rPr>
      <t>유틸리티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전력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공급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판매</t>
    </r>
    <r>
      <rPr>
        <sz val="11"/>
        <color rgb="FF000000"/>
        <rFont val="Calibri"/>
        <family val="2"/>
      </rPr>
      <t>)</t>
    </r>
    <phoneticPr fontId="27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</si>
  <si>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)</t>
    </r>
    <phoneticPr fontId="27" type="noConversion"/>
  </si>
  <si>
    <r>
      <rPr>
        <sz val="11"/>
        <color rgb="FF000000"/>
        <rFont val="돋움"/>
        <family val="3"/>
        <charset val="129"/>
      </rPr>
      <t>보험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캐나다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미국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동남아</t>
    </r>
    <r>
      <rPr>
        <sz val="11"/>
        <color rgb="FF000000"/>
        <rFont val="Calibri"/>
        <family val="2"/>
      </rPr>
      <t>)</t>
    </r>
    <phoneticPr fontId="27" type="noConversion"/>
  </si>
  <si>
    <r>
      <rPr>
        <sz val="11"/>
        <color rgb="FF000000"/>
        <rFont val="돋움"/>
        <family val="3"/>
        <charset val="129"/>
      </rPr>
      <t>헬스케어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장비</t>
    </r>
    <r>
      <rPr>
        <sz val="11"/>
        <color rgb="FF000000"/>
        <rFont val="Calibri"/>
        <family val="2"/>
      </rPr>
      <t>)</t>
    </r>
    <phoneticPr fontId="27" type="noConversion"/>
  </si>
  <si>
    <t>분기
배당금</t>
    <phoneticPr fontId="27" type="noConversion"/>
  </si>
  <si>
    <t>구분</t>
    <phoneticPr fontId="27" type="noConversion"/>
  </si>
  <si>
    <t>목표 매매</t>
    <phoneticPr fontId="27" type="noConversion"/>
  </si>
  <si>
    <t>현재가</t>
    <phoneticPr fontId="27" type="noConversion"/>
  </si>
  <si>
    <t>30일 평균</t>
    <phoneticPr fontId="27" type="noConversion"/>
  </si>
  <si>
    <t>손익</t>
    <phoneticPr fontId="27" type="noConversion"/>
  </si>
  <si>
    <t>상승/하락</t>
    <phoneticPr fontId="27" type="noConversion"/>
  </si>
  <si>
    <t>매도(+)
매수(-)</t>
    <phoneticPr fontId="27" type="noConversion"/>
  </si>
  <si>
    <t>수량</t>
    <phoneticPr fontId="27" type="noConversion"/>
  </si>
  <si>
    <t>보유비중</t>
    <phoneticPr fontId="27" type="noConversion"/>
  </si>
  <si>
    <t>매입가</t>
    <phoneticPr fontId="27" type="noConversion"/>
  </si>
  <si>
    <t>~21.12</t>
    <phoneticPr fontId="27" type="noConversion"/>
  </si>
  <si>
    <t>수량</t>
    <phoneticPr fontId="27" type="noConversion"/>
  </si>
  <si>
    <t>보유비중</t>
    <phoneticPr fontId="27" type="noConversion"/>
  </si>
  <si>
    <t>~21.12</t>
    <phoneticPr fontId="27" type="noConversion"/>
  </si>
  <si>
    <t>매입환율</t>
    <phoneticPr fontId="22" type="noConversion"/>
  </si>
  <si>
    <t>매도환율</t>
    <phoneticPr fontId="22" type="noConversion"/>
  </si>
  <si>
    <r>
      <t>2021</t>
    </r>
    <r>
      <rPr>
        <sz val="11"/>
        <color rgb="FF000000"/>
        <rFont val="Malgun Gothic"/>
        <family val="2"/>
        <charset val="129"/>
      </rPr>
      <t>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Malgun Gothic"/>
        <family val="2"/>
        <charset val="129"/>
      </rPr>
      <t>평균값</t>
    </r>
    <phoneticPr fontId="22" type="noConversion"/>
  </si>
  <si>
    <t>구분</t>
    <phoneticPr fontId="22" type="noConversion"/>
  </si>
  <si>
    <t>입력값</t>
    <phoneticPr fontId="22" type="noConversion"/>
  </si>
  <si>
    <r>
      <t>&lt;</t>
    </r>
    <r>
      <rPr>
        <sz val="11"/>
        <color rgb="FF000000"/>
        <rFont val="Malgun Gothic"/>
        <family val="2"/>
        <charset val="129"/>
      </rPr>
      <t>환전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외화내역 - 외화매수</t>
    </r>
    <r>
      <rPr>
        <sz val="11"/>
        <color rgb="FF000000"/>
        <rFont val="Calibri"/>
        <family val="2"/>
      </rPr>
      <t>&gt;</t>
    </r>
    <phoneticPr fontId="22" type="noConversion"/>
  </si>
  <si>
    <t>외화금액</t>
    <phoneticPr fontId="22" type="noConversion"/>
  </si>
  <si>
    <t>원화금액</t>
    <phoneticPr fontId="22" type="noConversion"/>
  </si>
  <si>
    <t>외화매수</t>
    <phoneticPr fontId="22" type="noConversion"/>
  </si>
  <si>
    <t>환전정산입금</t>
    <phoneticPr fontId="22" type="noConversion"/>
  </si>
  <si>
    <t>2022년 평균값</t>
    <phoneticPr fontId="22" type="noConversion"/>
  </si>
  <si>
    <t>VANGUARD S&amp;P 500 ETF</t>
    <phoneticPr fontId="27" type="noConversion"/>
  </si>
  <si>
    <r>
      <t>2022</t>
    </r>
    <r>
      <rPr>
        <b/>
        <sz val="11"/>
        <color rgb="FF000000"/>
        <rFont val="돋움"/>
        <family val="3"/>
        <charset val="129"/>
      </rPr>
      <t>년</t>
    </r>
    <r>
      <rPr>
        <b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돋움"/>
        <family val="3"/>
        <charset val="129"/>
      </rPr>
      <t>실현손익</t>
    </r>
    <r>
      <rPr>
        <b/>
        <sz val="11"/>
        <color rgb="FF000000"/>
        <rFont val="Calibri"/>
        <family val="2"/>
      </rPr>
      <t>(</t>
    </r>
    <r>
      <rPr>
        <b/>
        <sz val="11"/>
        <color rgb="FF000000"/>
        <rFont val="돋움"/>
        <family val="3"/>
        <charset val="129"/>
      </rPr>
      <t>원화</t>
    </r>
    <r>
      <rPr>
        <b/>
        <sz val="11"/>
        <color rgb="FF000000"/>
        <rFont val="Calibri"/>
        <family val="2"/>
      </rPr>
      <t>)</t>
    </r>
    <phoneticPr fontId="22" type="noConversion"/>
  </si>
  <si>
    <t>참좋은여행</t>
    <phoneticPr fontId="22" type="noConversion"/>
  </si>
  <si>
    <t>한화시스템</t>
    <phoneticPr fontId="22" type="noConversion"/>
  </si>
  <si>
    <t>아이언마운틴</t>
    <phoneticPr fontId="22" type="noConversion"/>
  </si>
  <si>
    <t>서던</t>
    <phoneticPr fontId="22" type="noConversion"/>
  </si>
  <si>
    <t>VOO</t>
    <phoneticPr fontId="22" type="noConversion"/>
  </si>
  <si>
    <t>신영증권</t>
    <phoneticPr fontId="22" type="noConversion"/>
  </si>
  <si>
    <t>오토앤(나)</t>
    <phoneticPr fontId="22" type="noConversion"/>
  </si>
  <si>
    <t>오토앤(유늬)</t>
    <phoneticPr fontId="22" type="noConversion"/>
  </si>
  <si>
    <t>케이옥션(나)</t>
    <phoneticPr fontId="22" type="noConversion"/>
  </si>
  <si>
    <t>케이옥션(유늬)</t>
    <phoneticPr fontId="22" type="noConversion"/>
  </si>
  <si>
    <t>LG엔솔(나)</t>
  </si>
  <si>
    <t>LG엔솔(유늬)</t>
  </si>
  <si>
    <t>미래에셋</t>
    <phoneticPr fontId="22" type="noConversion"/>
  </si>
  <si>
    <t>인선이엔티</t>
    <phoneticPr fontId="27" type="noConversion"/>
  </si>
  <si>
    <t>폐기물 처리(폐 배터리 증가 확인)</t>
    <phoneticPr fontId="27" type="noConversion"/>
  </si>
  <si>
    <t>TS인베스트먼트</t>
    <phoneticPr fontId="27" type="noConversion"/>
  </si>
  <si>
    <t>농심</t>
    <phoneticPr fontId="27" type="noConversion"/>
  </si>
  <si>
    <t>수수료 통합</t>
    <phoneticPr fontId="22" type="noConversion"/>
  </si>
  <si>
    <t>스코넥(나)</t>
    <phoneticPr fontId="22" type="noConversion"/>
  </si>
  <si>
    <t>스코넥(유늬)</t>
    <phoneticPr fontId="22" type="noConversion"/>
  </si>
  <si>
    <t>외화매도</t>
    <phoneticPr fontId="22" type="noConversion"/>
  </si>
  <si>
    <t xml:space="preserve"> : -7%</t>
    <phoneticPr fontId="27" type="noConversion"/>
  </si>
  <si>
    <r>
      <rPr>
        <sz val="11"/>
        <rFont val="Malgun Gothic"/>
        <family val="2"/>
        <charset val="129"/>
      </rPr>
      <t>우주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통신위성</t>
    </r>
    <r>
      <rPr>
        <sz val="11"/>
        <rFont val="Calibri"/>
        <family val="2"/>
      </rPr>
      <t xml:space="preserve"> : -15%</t>
    </r>
    <phoneticPr fontId="27" type="noConversion"/>
  </si>
  <si>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투자</t>
    </r>
    <r>
      <rPr>
        <sz val="11"/>
        <rFont val="Calibri"/>
        <family val="2"/>
      </rPr>
      <t>(</t>
    </r>
    <r>
      <rPr>
        <sz val="11"/>
        <rFont val="Malgun Gothic"/>
        <family val="2"/>
        <charset val="129"/>
      </rPr>
      <t>벤처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붐</t>
    </r>
    <r>
      <rPr>
        <sz val="11"/>
        <rFont val="Calibri"/>
        <family val="2"/>
      </rPr>
      <t>?)</t>
    </r>
    <r>
      <rPr>
        <sz val="11"/>
        <rFont val="Calibri"/>
        <family val="2"/>
        <charset val="129"/>
      </rPr>
      <t xml:space="preserve"> : -12%</t>
    </r>
    <phoneticPr fontId="27" type="noConversion"/>
  </si>
  <si>
    <r>
      <rPr>
        <sz val="11"/>
        <color rgb="FF000000"/>
        <rFont val="Malgun Gothic"/>
        <family val="2"/>
        <charset val="129"/>
      </rPr>
      <t>통신</t>
    </r>
    <r>
      <rPr>
        <sz val="11"/>
        <color rgb="FF000000"/>
        <rFont val="Calibri"/>
        <family val="2"/>
      </rPr>
      <t xml:space="preserve"> : -10%</t>
    </r>
    <phoneticPr fontId="27" type="noConversion"/>
  </si>
  <si>
    <t>통신 : -10%</t>
    <phoneticPr fontId="27" type="noConversion"/>
  </si>
  <si>
    <r>
      <rPr>
        <sz val="11"/>
        <rFont val="Malgun Gothic"/>
        <family val="2"/>
        <charset val="129"/>
      </rPr>
      <t>없음</t>
    </r>
    <r>
      <rPr>
        <sz val="11"/>
        <rFont val="Calibri"/>
        <family val="2"/>
      </rPr>
      <t xml:space="preserve"> : -15%</t>
    </r>
    <phoneticPr fontId="27" type="noConversion"/>
  </si>
  <si>
    <t>: -14%</t>
    <phoneticPr fontId="27" type="noConversion"/>
  </si>
  <si>
    <r>
      <rPr>
        <sz val="11"/>
        <rFont val="Malgun Gothic"/>
        <family val="2"/>
        <charset val="129"/>
      </rPr>
      <t>물류</t>
    </r>
    <r>
      <rPr>
        <sz val="11"/>
        <rFont val="Calibri"/>
        <family val="2"/>
      </rPr>
      <t>/</t>
    </r>
    <r>
      <rPr>
        <sz val="11"/>
        <rFont val="Malgun Gothic"/>
        <family val="2"/>
        <charset val="129"/>
      </rPr>
      <t>운송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정상화까지</t>
    </r>
    <r>
      <rPr>
        <sz val="11"/>
        <rFont val="Calibri"/>
        <family val="2"/>
      </rPr>
      <t xml:space="preserve"> : -17%</t>
    </r>
    <phoneticPr fontId="27" type="noConversion"/>
  </si>
  <si>
    <t>: -20%</t>
    <phoneticPr fontId="27" type="noConversion"/>
  </si>
  <si>
    <r>
      <rPr>
        <sz val="11"/>
        <rFont val="Malgun Gothic"/>
        <family val="2"/>
        <charset val="129"/>
      </rPr>
      <t>우주여행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상업화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활성화</t>
    </r>
    <r>
      <rPr>
        <sz val="11"/>
        <rFont val="Calibri"/>
        <family val="2"/>
      </rPr>
      <t xml:space="preserve"> : -37%</t>
    </r>
    <phoneticPr fontId="27" type="noConversion"/>
  </si>
  <si>
    <r>
      <rPr>
        <sz val="11"/>
        <rFont val="Malgun Gothic"/>
        <family val="2"/>
        <charset val="129"/>
      </rPr>
      <t>메타버스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플랫폼</t>
    </r>
    <r>
      <rPr>
        <sz val="11"/>
        <rFont val="Calibri"/>
        <family val="2"/>
      </rPr>
      <t xml:space="preserve"> : -29%</t>
    </r>
    <phoneticPr fontId="27" type="noConversion"/>
  </si>
  <si>
    <t>유넘그룹</t>
    <phoneticPr fontId="22" type="noConversion"/>
  </si>
  <si>
    <t>TIGER 구리실물</t>
  </si>
  <si>
    <t>유니드</t>
    <phoneticPr fontId="27" type="noConversion"/>
  </si>
  <si>
    <t>현대해상</t>
    <phoneticPr fontId="22" type="noConversion"/>
  </si>
  <si>
    <t>VIX가 15 이하일 때</t>
    <phoneticPr fontId="27" type="noConversion"/>
  </si>
  <si>
    <t>1등 주식 메뉴얼</t>
    <phoneticPr fontId="27" type="noConversion"/>
  </si>
  <si>
    <t>1) 1, 2등 주식(시가총액 기준)의 순위가 바뀔 때 1등의 반을 팔아 1, 2등을 1:1로 보유</t>
    <phoneticPr fontId="27" type="noConversion"/>
  </si>
  <si>
    <t>2) 1, 2등 차이가 시가총액에서 10% 이상 났을 때는 2등을 팔고 1등만을 갖고간다</t>
    <phoneticPr fontId="27" type="noConversion"/>
  </si>
  <si>
    <t>3) 1, 2등 차이가 시가총액에서 10% 이내일 때는 1, 2등을 동시에 갖고 같다</t>
    <phoneticPr fontId="27" type="noConversion"/>
  </si>
  <si>
    <t>4) 2등이 많이 쫒아와서 1, 2등 차이가 10% 이내가 될 때에는 1, 2등이 바뀌지 않는다면 1등 주식만 가져간다(굳이 2등을 살 필요 없음)</t>
    <phoneticPr fontId="27" type="noConversion"/>
  </si>
  <si>
    <t>VIX</t>
    <phoneticPr fontId="27" type="noConversion"/>
  </si>
  <si>
    <t>1등</t>
    <phoneticPr fontId="27" type="noConversion"/>
  </si>
  <si>
    <t>2등</t>
    <phoneticPr fontId="27" type="noConversion"/>
  </si>
  <si>
    <t>마소</t>
    <phoneticPr fontId="27" type="noConversion"/>
  </si>
  <si>
    <t>$2,752,111 (3,301조 1,566억원)</t>
    <phoneticPr fontId="27" type="noConversion"/>
  </si>
  <si>
    <t>$2,211,875 (2,653조 1,446억원)</t>
    <phoneticPr fontId="27" type="noConversion"/>
  </si>
  <si>
    <t>한국10호</t>
    <phoneticPr fontId="22" type="noConversion"/>
  </si>
  <si>
    <t>버라이존</t>
    <phoneticPr fontId="22" type="noConversion"/>
  </si>
  <si>
    <t>유안타증권</t>
    <phoneticPr fontId="22" type="noConversion"/>
  </si>
  <si>
    <t>퓨런티어(나)</t>
    <phoneticPr fontId="22" type="noConversion"/>
  </si>
  <si>
    <t>퓨런티어(유늬)</t>
    <phoneticPr fontId="22" type="noConversion"/>
  </si>
  <si>
    <r>
      <rPr>
        <sz val="11"/>
        <color rgb="FF000000"/>
        <rFont val="돋움"/>
        <family val="3"/>
        <charset val="129"/>
      </rPr>
      <t>리츠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저장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관리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서비스</t>
    </r>
    <r>
      <rPr>
        <sz val="11"/>
        <color rgb="FF000000"/>
        <rFont val="Calibri"/>
        <family val="2"/>
      </rPr>
      <t>) : -9.60%</t>
    </r>
    <phoneticPr fontId="27" type="noConversion"/>
  </si>
  <si>
    <t>하나21호</t>
    <phoneticPr fontId="22" type="noConversion"/>
  </si>
  <si>
    <t>풍원정밀</t>
    <phoneticPr fontId="22" type="noConversion"/>
  </si>
  <si>
    <t>탄소포집 : -12%</t>
    <phoneticPr fontId="27" type="noConversion"/>
  </si>
  <si>
    <t>ROE(%) : 돈을 버는 속도(당기순이익 / 자기자본)*100</t>
    <phoneticPr fontId="27" type="noConversion"/>
  </si>
  <si>
    <t>현대차</t>
    <phoneticPr fontId="27" type="noConversion"/>
  </si>
  <si>
    <t>코람코더원리츠</t>
    <phoneticPr fontId="22" type="noConversion"/>
  </si>
  <si>
    <t>대원칙</t>
    <phoneticPr fontId="27" type="noConversion"/>
  </si>
  <si>
    <t>1. 총 주식 투자금 : 자기자본금 내에서만 한다</t>
    <phoneticPr fontId="27" type="noConversion"/>
  </si>
  <si>
    <t>2. 투자금이 적더라도 시장(한국/미국)을 떠나지 않는다.</t>
    <phoneticPr fontId="27" type="noConversion"/>
  </si>
  <si>
    <t>배당주</t>
    <phoneticPr fontId="27" type="noConversion"/>
  </si>
  <si>
    <t>성장주</t>
    <phoneticPr fontId="27" type="noConversion"/>
  </si>
  <si>
    <t>3. 아래 비중을 꼭 지킨다</t>
    <phoneticPr fontId="27" type="noConversion"/>
  </si>
  <si>
    <t>미국</t>
    <phoneticPr fontId="27" type="noConversion"/>
  </si>
  <si>
    <t>한국</t>
    <phoneticPr fontId="27" type="noConversion"/>
  </si>
  <si>
    <t>합계</t>
    <phoneticPr fontId="27" type="noConversion"/>
  </si>
  <si>
    <t>1등기업(우량주)</t>
    <phoneticPr fontId="27" type="noConversion"/>
  </si>
  <si>
    <t>- 월 차트에서 30평균선보다 낮은가?</t>
    <phoneticPr fontId="27" type="noConversion"/>
  </si>
  <si>
    <t>대한해운</t>
    <phoneticPr fontId="22" type="noConversion"/>
  </si>
  <si>
    <t>신라면 새우깡(-8%)</t>
    <phoneticPr fontId="27" type="noConversion"/>
  </si>
  <si>
    <t>유니드</t>
    <phoneticPr fontId="22" type="noConversion"/>
  </si>
  <si>
    <r>
      <t xml:space="preserve">- </t>
    </r>
    <r>
      <rPr>
        <sz val="14"/>
        <color rgb="FFFF0000"/>
        <rFont val="Apple SD 산돌고딕 Neo"/>
        <family val="2"/>
        <charset val="129"/>
      </rPr>
      <t>하락폭(현재가/30일평균)</t>
    </r>
    <r>
      <rPr>
        <sz val="14"/>
        <color rgb="FF000000"/>
        <rFont val="Apple SD 산돌고딕 Neo"/>
        <family val="2"/>
        <charset val="129"/>
      </rPr>
      <t>과 기준점</t>
    </r>
    <r>
      <rPr>
        <sz val="14"/>
        <color rgb="FFFF0000"/>
        <rFont val="Apple SD 산돌고딕 Neo"/>
        <family val="2"/>
        <charset val="129"/>
      </rPr>
      <t>(현재가 / 평단가)</t>
    </r>
    <r>
      <rPr>
        <sz val="14"/>
        <color rgb="FF000000"/>
        <rFont val="Apple SD 산돌고딕 Neo"/>
        <family val="2"/>
        <charset val="129"/>
      </rPr>
      <t xml:space="preserve"> 의 합이</t>
    </r>
    <r>
      <rPr>
        <sz val="14"/>
        <color rgb="FFFF0000"/>
        <rFont val="Apple SD 산돌고딕 Neo"/>
        <family val="2"/>
        <charset val="129"/>
      </rPr>
      <t xml:space="preserve"> +-20%</t>
    </r>
    <r>
      <rPr>
        <sz val="14"/>
        <color rgb="FF000000"/>
        <rFont val="Apple SD 산돌고딕 Neo"/>
        <family val="2"/>
        <charset val="129"/>
      </rPr>
      <t xml:space="preserve">이상이면 매수/매도 판단 </t>
    </r>
    <r>
      <rPr>
        <sz val="14"/>
        <color rgb="FF0000FF"/>
        <rFont val="Apple SD 산돌고딕 Neo"/>
        <family val="2"/>
        <charset val="129"/>
      </rPr>
      <t>(보유수 * 변동률)</t>
    </r>
    <phoneticPr fontId="27" type="noConversion"/>
  </si>
  <si>
    <t>- 매수 : 30월 평균 보다 아래(최초) / 매수 평단가 보다 아래(추가)</t>
    <phoneticPr fontId="27" type="noConversion"/>
  </si>
  <si>
    <t>- 매도 : 이익률 15% 이상</t>
    <phoneticPr fontId="27" type="noConversion"/>
  </si>
  <si>
    <t>1. UAE 정유플랜트 현장 : 공무 2년
 - 공사비 실행예산 및 원가 관리, 분기별 전망
 - 협력업체 기성서류 검토, 집행, 정산
 - 협력업체 계약 검토, 발주, 변경 계약 관리
2. 본사 : 프로젝트 관리 1년
 - 프로젝트별 원가 현황 모니터링
 - 예산대비 전망 금액 검토
 - ERP 시스템 적용에 따른 유관부서 조율 및 프로젝트 적용 관리
3._x0008_알제리 정유플랜트 현장 : 공무 2년
 - 상기 공무 업무와 동일
4. 본사 : 프로젝트 관리 1년
 - 상기 프로젝트 관리 업무와 동일
5. 우즈벡 비료플랜트 현장 : 공무 1.5년
 - 상기 공무 업무와 동일
6. 본사 : 공사관리 1년
 - 각 현장 데이터 집계 및 생산성 분석
 - 시공 현황 모니터링
7. 사우디 발전플랜트 현장 : 건축시공 1년
 - PC, RC 빌딩 건축 시공 관리
 - 설계 및 시공 BM검토 및 물량 관리
 - 발주처 협의를 통한 승인 및 시공 관리
 - 건축 협력업체 기술 검토 및 계약</t>
    <phoneticPr fontId="22" type="noConversion"/>
  </si>
  <si>
    <t>마이닝</t>
    <phoneticPr fontId="27" type="noConversion"/>
  </si>
  <si>
    <t>리오 틴토(ADR)</t>
    <phoneticPr fontId="27" type="noConversion"/>
  </si>
  <si>
    <t>* ROE 10%이상 = PER 10이하 = PBR 1이하</t>
    <phoneticPr fontId="27" type="noConversion"/>
  </si>
  <si>
    <t>* 피터린치 : ROE / PER = 2이상이면 좋은 종목, 3 이상이면 매우 좋은 종목</t>
    <phoneticPr fontId="27" type="noConversion"/>
  </si>
  <si>
    <t>* ROE 20%이상 = PER 20이하 = PBR 2이하</t>
    <phoneticPr fontId="27" type="noConversion"/>
  </si>
  <si>
    <t>신한금융투자</t>
    <phoneticPr fontId="22" type="noConversion"/>
  </si>
  <si>
    <t>세아메카닉스</t>
    <phoneticPr fontId="22" type="noConversion"/>
  </si>
  <si>
    <t>지투파워(나)</t>
    <phoneticPr fontId="22" type="noConversion"/>
  </si>
  <si>
    <t>지투파워(유늬)</t>
    <phoneticPr fontId="22" type="noConversion"/>
  </si>
  <si>
    <t>ESR켄달스퀘어리츠</t>
    <phoneticPr fontId="27" type="noConversion"/>
  </si>
  <si>
    <t>롯데리츠</t>
    <phoneticPr fontId="27" type="noConversion"/>
  </si>
  <si>
    <t>SK리츠</t>
    <phoneticPr fontId="27" type="noConversion"/>
  </si>
  <si>
    <t>제이알글로벌리츠</t>
    <phoneticPr fontId="27" type="noConversion"/>
  </si>
  <si>
    <t>코람코에너지리츠</t>
    <phoneticPr fontId="27" type="noConversion"/>
  </si>
  <si>
    <t>신한알파리츠</t>
    <phoneticPr fontId="27" type="noConversion"/>
  </si>
  <si>
    <t>이리츠코크렙</t>
    <phoneticPr fontId="27" type="noConversion"/>
  </si>
  <si>
    <t>신한서부티엔디리츠</t>
    <phoneticPr fontId="27" type="noConversion"/>
  </si>
  <si>
    <t>NH올원리츠</t>
    <phoneticPr fontId="27" type="noConversion"/>
  </si>
  <si>
    <t>미래에셋글로벌리츠</t>
    <phoneticPr fontId="27" type="noConversion"/>
  </si>
  <si>
    <t>이지스레지던스리츠</t>
    <phoneticPr fontId="27" type="noConversion"/>
  </si>
  <si>
    <t>미래에셋맵스리츠</t>
    <phoneticPr fontId="27" type="noConversion"/>
  </si>
  <si>
    <t>NH프라임리츠</t>
    <phoneticPr fontId="27" type="noConversion"/>
  </si>
  <si>
    <t>코람코더원리츠</t>
    <phoneticPr fontId="27" type="noConversion"/>
  </si>
  <si>
    <t>기준일</t>
    <phoneticPr fontId="27" type="noConversion"/>
  </si>
  <si>
    <t>지급일</t>
    <phoneticPr fontId="27" type="noConversion"/>
  </si>
  <si>
    <t>연 배당금</t>
    <phoneticPr fontId="27" type="noConversion"/>
  </si>
  <si>
    <t>5, 11</t>
    <phoneticPr fontId="27" type="noConversion"/>
  </si>
  <si>
    <t>6, 12</t>
    <phoneticPr fontId="27" type="noConversion"/>
  </si>
  <si>
    <t>3, 6, 9, 12</t>
    <phoneticPr fontId="27" type="noConversion"/>
  </si>
  <si>
    <t>3, 9</t>
    <phoneticPr fontId="27" type="noConversion"/>
  </si>
  <si>
    <t>2, 8</t>
    <phoneticPr fontId="27" type="noConversion"/>
  </si>
  <si>
    <t>4, 10</t>
    <phoneticPr fontId="27" type="noConversion"/>
  </si>
  <si>
    <t>1, 7</t>
    <phoneticPr fontId="27" type="noConversion"/>
  </si>
  <si>
    <t>1, 4, 7, 10</t>
    <phoneticPr fontId="27" type="noConversion"/>
  </si>
  <si>
    <t>이지스밸류리츠</t>
    <phoneticPr fontId="27" type="noConversion"/>
  </si>
  <si>
    <r>
      <t>5</t>
    </r>
    <r>
      <rPr>
        <sz val="11"/>
        <color rgb="FF000000"/>
        <rFont val="Batang"/>
        <family val="1"/>
        <charset val="129"/>
      </rPr>
      <t>년동안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연</t>
    </r>
    <r>
      <rPr>
        <sz val="11"/>
        <color rgb="FF000000"/>
        <rFont val="Calibri"/>
        <family val="2"/>
      </rPr>
      <t xml:space="preserve"> 6%</t>
    </r>
    <r>
      <rPr>
        <sz val="11"/>
        <color rgb="FF000000"/>
        <rFont val="Batang"/>
        <family val="1"/>
        <charset val="129"/>
      </rPr>
      <t>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Batang"/>
        <family val="1"/>
        <charset val="129"/>
      </rPr>
      <t>계속받으면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Batang"/>
        <family val="1"/>
        <charset val="129"/>
      </rPr>
      <t>천만원</t>
    </r>
    <r>
      <rPr>
        <sz val="11"/>
        <color rgb="FF000000"/>
        <rFont val="Calibri"/>
        <family val="2"/>
      </rPr>
      <t>(건보료관련)</t>
    </r>
    <phoneticPr fontId="27" type="noConversion"/>
  </si>
  <si>
    <t>배당률</t>
    <phoneticPr fontId="27" type="noConversion"/>
  </si>
  <si>
    <t>코메론</t>
    <phoneticPr fontId="22" type="noConversion"/>
  </si>
  <si>
    <t>목표수익률 : 10%</t>
  </si>
  <si>
    <t>리츠 : 120 (리츠는 EPS기준이 아닌 AFFO 기준 주당 조정이익으로 배당성향 판단 필요) 에너지 : 73 헬스케어 : 69 유틸리티 : 68 필수소비재 : 62 IT : 45 산업재 : 45 원자재 : 39 통신서비스 : 37 자유소비재 : 36 금융 : 34</t>
  </si>
  <si>
    <t>손익분기</t>
  </si>
  <si>
    <t>월 배당금</t>
  </si>
  <si>
    <t>  165 </t>
  </si>
  <si>
    <t>15년간 배당을 꾸준히 늘렸는가 (1회라도 배당을 줄인 기업은 Pass)</t>
  </si>
  <si>
    <t>매출액이 우상향인가(10년)</t>
  </si>
  <si>
    <t>영업이익/순이익이 우상향인가(10년)</t>
  </si>
  <si>
    <t>영업이익률/순이익률이 우하향이 아닌가(10년)</t>
  </si>
  <si>
    <t>배당성향이 60% 내외(업종별 평균치 이상) 인가</t>
  </si>
  <si>
    <t>영업활동 현금흐름이 우상향인가</t>
  </si>
  <si>
    <t>영업활동 현금흐름/총매출이 15% 이상인가</t>
  </si>
  <si>
    <t>배당금 성장률이 우상향인가(10년)</t>
  </si>
  <si>
    <t>배당 지급 날짜가 고정인가</t>
  </si>
  <si>
    <t>변동률 +0.1%p 이상</t>
  </si>
  <si>
    <t>이익률 1.0% 이상</t>
  </si>
  <si>
    <t>No</t>
  </si>
  <si>
    <t>종목명</t>
  </si>
  <si>
    <t>코드</t>
  </si>
  <si>
    <t>거래소</t>
  </si>
  <si>
    <t>Sector</t>
  </si>
  <si>
    <t>배분</t>
  </si>
  <si>
    <t>설명</t>
  </si>
  <si>
    <t>조건 1</t>
  </si>
  <si>
    <t>조건 2</t>
  </si>
  <si>
    <t>조건 3</t>
  </si>
  <si>
    <t>조건 4</t>
  </si>
  <si>
    <t>조건 5</t>
  </si>
  <si>
    <t>조건 6</t>
  </si>
  <si>
    <t>조건 7</t>
  </si>
  <si>
    <t>조건 8</t>
  </si>
  <si>
    <t>조건 9</t>
  </si>
  <si>
    <t>배당락 월</t>
  </si>
  <si>
    <t>주당 배당금</t>
  </si>
  <si>
    <t>평균 매입가</t>
  </si>
  <si>
    <t>보유수</t>
  </si>
  <si>
    <t>보유비중</t>
  </si>
  <si>
    <t>현재가</t>
  </si>
  <si>
    <t>변동률</t>
  </si>
  <si>
    <t>21.1Q</t>
  </si>
  <si>
    <t>21.2Q</t>
  </si>
  <si>
    <t>21.3Q</t>
  </si>
  <si>
    <t>21.4Q</t>
  </si>
  <si>
    <t>0.9%이하, 3년치 배당금 이상</t>
  </si>
  <si>
    <t>Update 주기</t>
  </si>
  <si>
    <t>월</t>
  </si>
  <si>
    <t>년</t>
  </si>
  <si>
    <t>거래시</t>
  </si>
  <si>
    <t>-</t>
  </si>
  <si>
    <t>일</t>
  </si>
  <si>
    <t>투자회사</t>
  </si>
  <si>
    <t>△</t>
  </si>
  <si>
    <t>3 6 9 12</t>
  </si>
  <si>
    <t>  1.08 </t>
  </si>
  <si>
    <t>  216.88 </t>
  </si>
  <si>
    <t>레져스비스 및 제품</t>
  </si>
  <si>
    <t>X</t>
  </si>
  <si>
    <t>2 5 8 11</t>
  </si>
  <si>
    <t>  0.49 </t>
  </si>
  <si>
    <t>  106.07 </t>
  </si>
  <si>
    <t>1 4 7 10</t>
  </si>
  <si>
    <t>  0.52 </t>
  </si>
  <si>
    <t>  27.53 </t>
  </si>
  <si>
    <t>  12,111 </t>
  </si>
  <si>
    <t>  25.26 </t>
  </si>
  <si>
    <t>  229 </t>
  </si>
  <si>
    <t>매수가</t>
  </si>
  <si>
    <t>매도가</t>
  </si>
  <si>
    <t>  1.48 </t>
  </si>
  <si>
    <t>  178.68 </t>
  </si>
  <si>
    <t>  - </t>
  </si>
  <si>
    <t>  161.60 </t>
  </si>
  <si>
    <t>  1.30 </t>
  </si>
  <si>
    <t>  105.88 </t>
  </si>
  <si>
    <t>  2,118 </t>
  </si>
  <si>
    <t>  114.67 </t>
  </si>
  <si>
    <t>  26 </t>
  </si>
  <si>
    <t>유틸리티</t>
  </si>
  <si>
    <t>미국 전기,가스 배달</t>
  </si>
  <si>
    <t>  0.78 </t>
  </si>
  <si>
    <t>  72.26 </t>
  </si>
  <si>
    <t>  2,890 </t>
  </si>
  <si>
    <t>  75.40 </t>
  </si>
  <si>
    <t>  31 </t>
  </si>
  <si>
    <t>  0.63 </t>
  </si>
  <si>
    <t>  57.26 </t>
  </si>
  <si>
    <t>  5,726 </t>
  </si>
  <si>
    <t>  52.99 </t>
  </si>
  <si>
    <t>  63 </t>
  </si>
  <si>
    <t>  0.22 </t>
  </si>
  <si>
    <t>  149.80 </t>
  </si>
  <si>
    <t>  0.45 </t>
  </si>
  <si>
    <t>  76.19 </t>
  </si>
  <si>
    <t>  0.79 </t>
  </si>
  <si>
    <t>  491.54 </t>
  </si>
  <si>
    <t>  1.65 </t>
  </si>
  <si>
    <t>  371.74 </t>
  </si>
  <si>
    <t>  0.35 </t>
  </si>
  <si>
    <t>  49.00 </t>
  </si>
  <si>
    <t>  1.06 </t>
  </si>
  <si>
    <t>  162.88 </t>
  </si>
  <si>
    <t>  0.21 </t>
  </si>
  <si>
    <t>  40.02 </t>
  </si>
  <si>
    <t>  2.80 </t>
  </si>
  <si>
    <t>  332.32 </t>
  </si>
  <si>
    <t>  1.38 </t>
  </si>
  <si>
    <t>  245.55 </t>
  </si>
  <si>
    <t>  0.62 </t>
  </si>
  <si>
    <t>  331.62 </t>
  </si>
  <si>
    <t>  0.39 </t>
  </si>
  <si>
    <t>  85.33 </t>
  </si>
  <si>
    <t>  0.87 </t>
  </si>
  <si>
    <t>  142.99 </t>
  </si>
  <si>
    <t>  1.07 </t>
  </si>
  <si>
    <t>  241.40 </t>
  </si>
  <si>
    <t>  0.32 </t>
  </si>
  <si>
    <t>  211.77 </t>
  </si>
  <si>
    <t>  0.37 </t>
  </si>
  <si>
    <t>  55.97 </t>
  </si>
  <si>
    <t>  0.71 </t>
  </si>
  <si>
    <t>  71.43 </t>
  </si>
  <si>
    <t>미국 전력 공급, 판매</t>
  </si>
  <si>
    <t>  0.66 </t>
  </si>
  <si>
    <t>  61.21 </t>
  </si>
  <si>
    <t>  1,836 </t>
  </si>
  <si>
    <t>  62.32 </t>
  </si>
  <si>
    <t>  20 </t>
  </si>
  <si>
    <t>  1.05 </t>
  </si>
  <si>
    <t>  77.11 </t>
  </si>
  <si>
    <t>미국</t>
  </si>
  <si>
    <t>  0.38 </t>
  </si>
  <si>
    <t>  44.86 </t>
  </si>
  <si>
    <t>  0.30 </t>
  </si>
  <si>
    <t>  26.08 </t>
  </si>
  <si>
    <t>  2,869 </t>
  </si>
  <si>
    <t>  25.47 </t>
  </si>
  <si>
    <t>  33 </t>
  </si>
  <si>
    <t>  67.09 </t>
  </si>
  <si>
    <t>캐나다,미국+동남아</t>
  </si>
  <si>
    <t>  0.55 </t>
  </si>
  <si>
    <t>  51.41 </t>
  </si>
  <si>
    <t>  3,085 </t>
  </si>
  <si>
    <t>  56.97 </t>
  </si>
  <si>
    <t>저장 및 정보 관리 서비스를 </t>
  </si>
  <si>
    <t>  43.89 </t>
  </si>
  <si>
    <t>  10,534 </t>
  </si>
  <si>
    <t>  45.64 </t>
  </si>
  <si>
    <t>  148 </t>
  </si>
  <si>
    <t>ATRION CORP</t>
  </si>
  <si>
    <t>ATRI</t>
  </si>
  <si>
    <t>헬스케어 장비</t>
  </si>
  <si>
    <t>  1.95 </t>
  </si>
  <si>
    <t>  728.00 </t>
  </si>
  <si>
    <t>키움증권</t>
    <phoneticPr fontId="22" type="noConversion"/>
  </si>
  <si>
    <t>키움6호</t>
    <phoneticPr fontId="22" type="noConversion"/>
  </si>
  <si>
    <t>미래에셋비전1호</t>
    <phoneticPr fontId="22" type="noConversion"/>
  </si>
  <si>
    <t>신영스팩 7호</t>
    <phoneticPr fontId="22" type="noConversion"/>
  </si>
  <si>
    <t>신한스팩 9호</t>
    <phoneticPr fontId="22" type="noConversion"/>
  </si>
  <si>
    <t>포바이포</t>
    <phoneticPr fontId="22" type="noConversion"/>
  </si>
  <si>
    <t>상상인스팩 3호</t>
    <phoneticPr fontId="22" type="noConversion"/>
  </si>
  <si>
    <t>상상인증권</t>
    <phoneticPr fontId="22" type="noConversion"/>
  </si>
  <si>
    <t>KODEX 헬스케어</t>
    <phoneticPr fontId="27" type="noConversion"/>
  </si>
  <si>
    <t>SM</t>
    <phoneticPr fontId="27" type="noConversion"/>
  </si>
  <si>
    <t>KODEX 레버리지</t>
    <phoneticPr fontId="27" type="noConversion"/>
  </si>
  <si>
    <t>SK디앤디</t>
    <phoneticPr fontId="27" type="noConversion"/>
  </si>
  <si>
    <t>대명에너지</t>
    <phoneticPr fontId="22" type="noConversion"/>
  </si>
  <si>
    <t xml:space="preserve"> : -27%</t>
    <phoneticPr fontId="27" type="noConversion"/>
  </si>
  <si>
    <t>마스턴프리미어리츠1호</t>
    <phoneticPr fontId="22" type="noConversion"/>
  </si>
  <si>
    <t>6%이상에 매수(10주), 0.1%p상승시마다 추가 매수(10주)</t>
    <phoneticPr fontId="27" type="noConversion"/>
  </si>
  <si>
    <t>??? : -21%</t>
    <phoneticPr fontId="27" type="noConversion"/>
  </si>
  <si>
    <t>하나22호</t>
    <phoneticPr fontId="22" type="noConversion"/>
  </si>
  <si>
    <t>범한퓨얼셀</t>
    <phoneticPr fontId="22" type="noConversion"/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</si>
  <si>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</si>
  <si>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</si>
  <si>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</si>
  <si>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</si>
  <si>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</si>
  <si>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</si>
  <si>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</si>
  <si>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</si>
  <si>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</si>
  <si>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</si>
  <si>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</si>
  <si>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</si>
  <si>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</si>
  <si>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</si>
  <si>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</si>
  <si>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</si>
  <si>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</si>
  <si>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</si>
  <si>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</si>
  <si>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</si>
  <si>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</si>
  <si>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</si>
  <si>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</si>
  <si>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</si>
  <si>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</si>
  <si>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</si>
  <si>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</si>
  <si>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</si>
  <si>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</si>
  <si>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</si>
  <si>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</si>
  <si>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</si>
  <si>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</si>
  <si>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</si>
  <si>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</si>
  <si>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</si>
  <si>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</si>
  <si>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</si>
  <si>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</si>
  <si>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</si>
  <si>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</si>
  <si>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</si>
  <si>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</si>
  <si>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</si>
  <si>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</si>
  <si>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</si>
  <si>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</si>
  <si>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</si>
  <si>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</si>
  <si>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</si>
  <si>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</si>
  <si>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</si>
  <si>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</si>
  <si>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</si>
  <si>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</si>
  <si>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</si>
  <si>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</si>
  <si>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</si>
  <si>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</si>
  <si>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</si>
  <si>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</si>
  <si>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</si>
  <si>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</si>
  <si>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</si>
  <si>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</si>
  <si>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</si>
  <si>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</si>
  <si>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</si>
  <si>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</si>
  <si>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</si>
  <si>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</si>
  <si>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</si>
  <si>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</si>
  <si>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</si>
  <si>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</si>
  <si>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</si>
  <si>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</si>
  <si>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</si>
  <si>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</si>
  <si>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</si>
  <si>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</si>
  <si>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</si>
  <si>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</si>
  <si>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</si>
  <si>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</si>
  <si>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</si>
  <si>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</si>
  <si>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</si>
  <si>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</si>
  <si>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</si>
  <si>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</si>
  <si>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</si>
  <si>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</si>
  <si>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</si>
  <si>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</si>
  <si>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</si>
  <si>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</si>
  <si>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</si>
  <si>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</si>
  <si>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</si>
  <si>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</si>
  <si>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</si>
  <si>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</si>
  <si>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</si>
  <si>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</si>
  <si>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</si>
  <si>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</si>
  <si>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</si>
  <si>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</si>
  <si>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</si>
  <si>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</si>
  <si>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</si>
  <si>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</si>
  <si>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</si>
  <si>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</si>
  <si>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</si>
  <si>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</si>
  <si>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</si>
  <si>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</si>
  <si>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</si>
  <si>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</si>
  <si>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</si>
  <si>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</si>
  <si>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</si>
  <si>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</si>
  <si>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</si>
  <si>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</si>
  <si>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</si>
  <si>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</si>
  <si>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</si>
  <si>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</si>
  <si>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</si>
  <si>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</si>
  <si>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</si>
  <si>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</si>
  <si>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</si>
  <si>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</si>
  <si>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</si>
  <si>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</si>
  <si>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</si>
  <si>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</si>
  <si>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</si>
  <si>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</si>
  <si>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</si>
  <si>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</si>
  <si>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</si>
  <si>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</si>
  <si>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</si>
  <si>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</si>
  <si>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</si>
  <si>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</si>
  <si>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</si>
  <si>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</si>
  <si>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</si>
  <si>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</si>
  <si>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</si>
  <si>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</si>
  <si>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</si>
  <si>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</si>
  <si>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</si>
  <si>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</si>
  <si>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</si>
  <si>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</si>
  <si>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</si>
  <si>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</si>
  <si>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</si>
  <si>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</si>
  <si>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</si>
  <si>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</si>
  <si>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</si>
  <si>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</si>
  <si>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</si>
  <si>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</si>
  <si>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</si>
  <si>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</si>
  <si>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</si>
  <si>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</si>
  <si>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</si>
  <si>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</si>
  <si>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</si>
  <si>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</si>
  <si>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</si>
  <si>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</si>
  <si>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</si>
  <si>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</si>
  <si>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</si>
  <si>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</si>
  <si>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</si>
  <si>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</si>
  <si>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</si>
  <si>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</si>
  <si>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</si>
  <si>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</si>
  <si>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</si>
  <si>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</si>
  <si>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</si>
  <si>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</si>
  <si>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</si>
  <si>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</si>
  <si>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</si>
  <si>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</si>
  <si>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</si>
  <si>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</si>
  <si>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</si>
  <si>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</si>
  <si>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</si>
  <si>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</si>
  <si>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</si>
  <si>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1999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</si>
  <si>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</si>
  <si>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</si>
  <si>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</si>
  <si>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</si>
  <si>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</si>
  <si>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</si>
  <si>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</si>
  <si>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</si>
  <si>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</si>
  <si>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</si>
  <si>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</si>
  <si>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</si>
  <si>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</si>
  <si>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</si>
  <si>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</si>
  <si>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</si>
  <si>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</si>
  <si>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</si>
  <si>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</si>
  <si>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</si>
  <si>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</si>
  <si>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</si>
  <si>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</si>
  <si>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</si>
  <si>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</si>
  <si>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</si>
  <si>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</si>
  <si>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</si>
  <si>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</si>
  <si>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</si>
  <si>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</si>
  <si>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</si>
  <si>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</si>
  <si>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</si>
  <si>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</si>
  <si>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</si>
  <si>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</si>
  <si>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</si>
  <si>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</si>
  <si>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</si>
  <si>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</si>
  <si>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</si>
  <si>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</si>
  <si>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</si>
  <si>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</si>
  <si>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</si>
  <si>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</si>
  <si>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</si>
  <si>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</si>
  <si>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</si>
  <si>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</si>
  <si>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</si>
  <si>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</si>
  <si>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</si>
  <si>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</si>
  <si>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</si>
  <si>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</si>
  <si>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</si>
  <si>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</si>
  <si>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</si>
  <si>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</si>
  <si>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</si>
  <si>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</si>
  <si>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</si>
  <si>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</si>
  <si>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</si>
  <si>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</si>
  <si>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</si>
  <si>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</si>
  <si>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</si>
  <si>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</si>
  <si>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</si>
  <si>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</si>
  <si>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</si>
  <si>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</si>
  <si>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</si>
  <si>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</si>
  <si>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</si>
  <si>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</si>
  <si>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</si>
  <si>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</si>
  <si>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</si>
  <si>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</si>
  <si>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</si>
  <si>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</si>
  <si>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</si>
  <si>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</si>
  <si>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</si>
  <si>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</si>
  <si>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</si>
  <si>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</si>
  <si>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</si>
  <si>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</si>
  <si>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</si>
  <si>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</si>
  <si>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</si>
  <si>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</si>
  <si>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</si>
  <si>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</si>
  <si>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</si>
  <si>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</si>
  <si>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</si>
  <si>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</si>
  <si>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</si>
  <si>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</si>
  <si>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</si>
  <si>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</si>
  <si>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</si>
  <si>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</si>
  <si>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</si>
  <si>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</si>
  <si>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</si>
  <si>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</si>
  <si>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</si>
  <si>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</si>
  <si>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</si>
  <si>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</si>
  <si>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</si>
  <si>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</si>
  <si>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2009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</si>
  <si>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</si>
  <si>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</si>
  <si>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</si>
  <si>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</si>
  <si>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</si>
  <si>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</si>
  <si>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</si>
  <si>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</si>
  <si>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</si>
  <si>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</si>
  <si>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</si>
  <si>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</si>
  <si>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</si>
  <si>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</si>
  <si>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</si>
  <si>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</si>
  <si>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</si>
  <si>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</si>
  <si>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</si>
  <si>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</si>
  <si>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</si>
  <si>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</si>
  <si>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</si>
  <si>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</si>
  <si>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</si>
  <si>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</si>
  <si>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</si>
  <si>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</si>
  <si>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</si>
  <si>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</si>
  <si>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</si>
  <si>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</si>
  <si>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</si>
  <si>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</si>
  <si>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</si>
  <si>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</si>
  <si>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</si>
  <si>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</si>
  <si>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</si>
  <si>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</si>
  <si>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</si>
  <si>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</si>
  <si>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</si>
  <si>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</si>
  <si>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</si>
  <si>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</si>
  <si>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</si>
  <si>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</si>
  <si>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</si>
  <si>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</si>
  <si>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</si>
  <si>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</si>
  <si>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</si>
  <si>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</si>
  <si>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</si>
  <si>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</si>
  <si>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</si>
  <si>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</si>
  <si>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</si>
  <si>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</si>
  <si>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</si>
  <si>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</si>
  <si>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</si>
  <si>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</si>
  <si>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</si>
  <si>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</si>
  <si>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</si>
  <si>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</si>
  <si>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</si>
  <si>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</si>
  <si>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</si>
  <si>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</si>
  <si>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</si>
  <si>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</si>
  <si>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</si>
  <si>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</si>
  <si>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</si>
  <si>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</si>
  <si>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</si>
  <si>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</si>
  <si>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</si>
  <si>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</si>
  <si>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</si>
  <si>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</si>
  <si>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</si>
  <si>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</si>
  <si>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</si>
  <si>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</si>
  <si>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</si>
  <si>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</si>
  <si>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</si>
  <si>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</si>
  <si>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</si>
  <si>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</si>
  <si>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</si>
  <si>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</si>
  <si>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</si>
  <si>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</si>
  <si>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</si>
  <si>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</si>
  <si>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</si>
  <si>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</si>
  <si>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</si>
  <si>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</si>
  <si>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</si>
  <si>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</si>
  <si>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</si>
  <si>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</si>
  <si>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</si>
  <si>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</si>
  <si>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</si>
  <si>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</si>
  <si>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</si>
  <si>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</si>
  <si>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</si>
  <si>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</si>
  <si>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</si>
  <si>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</si>
  <si>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</si>
  <si>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2019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</si>
  <si>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</si>
  <si>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</si>
  <si>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</si>
  <si>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</si>
  <si>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</si>
  <si>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</si>
  <si>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</si>
  <si>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</si>
  <si>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</si>
  <si>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</si>
  <si>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</si>
  <si>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</si>
  <si>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</si>
  <si>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</si>
  <si>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</si>
  <si>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</si>
  <si>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</si>
  <si>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</si>
  <si>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</si>
  <si>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</si>
  <si>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</si>
  <si>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</si>
  <si>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</si>
  <si>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2021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</si>
  <si>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</si>
  <si>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</si>
  <si>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</si>
  <si>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</si>
  <si>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</si>
  <si>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2022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</si>
  <si>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</si>
  <si>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</si>
  <si>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</si>
  <si>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</si>
  <si>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</si>
  <si>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</si>
  <si>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</si>
  <si>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</si>
  <si>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</si>
  <si>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</si>
  <si>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</si>
  <si>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</si>
  <si>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</si>
  <si>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</si>
  <si>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</si>
  <si>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</si>
  <si>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</si>
  <si>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</si>
  <si>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</si>
  <si>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</si>
  <si>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</si>
  <si>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</si>
  <si>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</si>
  <si>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</si>
  <si>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</si>
  <si>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</si>
  <si>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</si>
  <si>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</si>
  <si>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</si>
  <si>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</si>
  <si>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1980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</si>
  <si>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</si>
  <si>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</si>
  <si>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</si>
  <si>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</si>
  <si>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</si>
  <si>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</si>
  <si>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</si>
  <si>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</si>
  <si>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</si>
  <si>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</si>
  <si>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</si>
  <si>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1979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</si>
  <si>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</si>
  <si>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</si>
  <si>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</si>
  <si>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</si>
  <si>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</si>
  <si>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</si>
  <si>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</si>
  <si>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</si>
  <si>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</si>
  <si>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</si>
  <si>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</si>
  <si>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1978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</si>
  <si>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</si>
  <si>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</si>
  <si>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</si>
  <si>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</si>
  <si>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</si>
  <si>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</si>
  <si>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</si>
  <si>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</si>
  <si>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</si>
  <si>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</si>
  <si>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</si>
  <si>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1977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</si>
  <si>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</si>
  <si>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</si>
  <si>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</si>
  <si>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</si>
  <si>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</si>
  <si>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</si>
  <si>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</si>
  <si>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</si>
  <si>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</si>
  <si>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</si>
  <si>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</si>
  <si>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1976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</si>
  <si>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</si>
  <si>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</si>
  <si>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</si>
  <si>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</si>
  <si>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</si>
  <si>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</si>
  <si>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</si>
  <si>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</si>
  <si>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</si>
  <si>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</si>
  <si>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</si>
  <si>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1975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</si>
  <si>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</si>
  <si>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</si>
  <si>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</si>
  <si>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</si>
  <si>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</si>
  <si>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</si>
  <si>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</si>
  <si>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</si>
  <si>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</si>
  <si>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</si>
  <si>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</si>
  <si>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1974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</si>
  <si>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</si>
  <si>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</si>
  <si>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</si>
  <si>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</si>
  <si>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</si>
  <si>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</si>
  <si>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</si>
  <si>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</si>
  <si>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</si>
  <si>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</si>
  <si>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</si>
  <si>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1973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</si>
  <si>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</si>
  <si>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</si>
  <si>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</si>
  <si>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</si>
  <si>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</si>
  <si>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</si>
  <si>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</si>
  <si>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</si>
  <si>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</si>
  <si>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</si>
  <si>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</si>
  <si>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1972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</si>
  <si>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</si>
  <si>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</si>
  <si>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</si>
  <si>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</si>
  <si>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</si>
  <si>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</si>
  <si>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</si>
  <si>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</si>
  <si>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</si>
  <si>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</si>
  <si>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</si>
  <si>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r>
      <t>1971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</si>
  <si>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12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</si>
  <si>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11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</si>
  <si>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10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</si>
  <si>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9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</si>
  <si>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8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</si>
  <si>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7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</si>
  <si>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6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</si>
  <si>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5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</si>
  <si>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</si>
  <si>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3</t>
    </r>
    <r>
      <rPr>
        <b/>
        <sz val="10"/>
        <color rgb="FF000000"/>
        <rFont val="Apple SD Gothic Neo"/>
        <family val="2"/>
        <charset val="129"/>
      </rPr>
      <t>월</t>
    </r>
  </si>
  <si>
    <r>
      <t>1970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2</t>
    </r>
    <r>
      <rPr>
        <b/>
        <sz val="10"/>
        <color rgb="FF000000"/>
        <rFont val="Apple SD Gothic Neo"/>
        <family val="2"/>
        <charset val="129"/>
      </rPr>
      <t>월</t>
    </r>
  </si>
  <si>
    <t>다우존스</t>
    <phoneticPr fontId="27" type="noConversion"/>
  </si>
  <si>
    <t>S&amp;P 500</t>
    <phoneticPr fontId="27" type="noConversion"/>
  </si>
  <si>
    <t>1 fear</t>
    <phoneticPr fontId="27" type="noConversion"/>
  </si>
  <si>
    <t>2 fear</t>
    <phoneticPr fontId="27" type="noConversion"/>
  </si>
  <si>
    <t>3 fear</t>
    <phoneticPr fontId="27" type="noConversion"/>
  </si>
  <si>
    <t>4구간</t>
    <phoneticPr fontId="27" type="noConversion"/>
  </si>
  <si>
    <t>4 fear</t>
    <phoneticPr fontId="27" type="noConversion"/>
  </si>
  <si>
    <t>2배</t>
    <phoneticPr fontId="27" type="noConversion"/>
  </si>
  <si>
    <t>3배</t>
    <phoneticPr fontId="27" type="noConversion"/>
  </si>
  <si>
    <t>1배</t>
    <phoneticPr fontId="27" type="noConversion"/>
  </si>
  <si>
    <t>QLD</t>
    <phoneticPr fontId="27" type="noConversion"/>
  </si>
  <si>
    <t>TQQQ</t>
    <phoneticPr fontId="27" type="noConversion"/>
  </si>
  <si>
    <t>QQQ</t>
    <phoneticPr fontId="27" type="noConversion"/>
  </si>
  <si>
    <t>DIA</t>
    <phoneticPr fontId="27" type="noConversion"/>
  </si>
  <si>
    <t>DDM</t>
    <phoneticPr fontId="27" type="noConversion"/>
  </si>
  <si>
    <t>UDOW</t>
    <phoneticPr fontId="27" type="noConversion"/>
  </si>
  <si>
    <t>SSO</t>
    <phoneticPr fontId="27" type="noConversion"/>
  </si>
  <si>
    <t>SPXL</t>
    <phoneticPr fontId="27" type="noConversion"/>
  </si>
  <si>
    <t>VOO</t>
    <phoneticPr fontId="27" type="noConversion"/>
  </si>
  <si>
    <t>테슬라</t>
    <phoneticPr fontId="27" type="noConversion"/>
  </si>
  <si>
    <t>코스피</t>
    <phoneticPr fontId="27" type="noConversion"/>
  </si>
  <si>
    <t>코스닥</t>
    <phoneticPr fontId="27" type="noConversion"/>
  </si>
  <si>
    <t>추세선 값</t>
    <phoneticPr fontId="27" type="noConversion"/>
  </si>
  <si>
    <t>LG엔솔</t>
    <phoneticPr fontId="27" type="noConversion"/>
  </si>
  <si>
    <t>KODEX 200</t>
    <phoneticPr fontId="27" type="noConversion"/>
  </si>
  <si>
    <t>KODEX 코스닥150</t>
    <phoneticPr fontId="27" type="noConversion"/>
  </si>
  <si>
    <t>KODEX 코스닥150 레버리지</t>
    <phoneticPr fontId="27" type="noConversion"/>
  </si>
  <si>
    <t>220주</t>
    <phoneticPr fontId="27" type="noConversion"/>
  </si>
  <si>
    <t>55주</t>
    <phoneticPr fontId="27" type="noConversion"/>
  </si>
  <si>
    <t>7주</t>
    <phoneticPr fontId="27" type="noConversion"/>
  </si>
  <si>
    <t>레이저쎌</t>
    <phoneticPr fontId="22" type="noConversion"/>
  </si>
  <si>
    <t>보로노이</t>
    <phoneticPr fontId="22" type="noConversion"/>
  </si>
  <si>
    <t>위니아에이드</t>
    <phoneticPr fontId="22" type="noConversion"/>
  </si>
  <si>
    <t>KB스팩21호</t>
    <phoneticPr fontId="22" type="noConversion"/>
  </si>
  <si>
    <t>110주</t>
    <phoneticPr fontId="27" type="noConversion"/>
  </si>
  <si>
    <t>100주</t>
    <phoneticPr fontId="27" type="noConversion"/>
  </si>
  <si>
    <t>1주</t>
    <phoneticPr fontId="27" type="noConversion"/>
  </si>
  <si>
    <t>나스닥 종합</t>
    <phoneticPr fontId="27" type="noConversion"/>
  </si>
  <si>
    <t>6주</t>
    <phoneticPr fontId="27" type="noConversion"/>
  </si>
  <si>
    <t>나스닥</t>
    <phoneticPr fontId="27" type="noConversion"/>
  </si>
  <si>
    <t>200주</t>
    <phoneticPr fontId="27" type="noConversion"/>
  </si>
  <si>
    <t>120주</t>
    <phoneticPr fontId="27" type="noConversion"/>
  </si>
  <si>
    <t>400주</t>
    <phoneticPr fontId="27" type="noConversion"/>
  </si>
  <si>
    <t>삼성스팩 6호</t>
    <phoneticPr fontId="22" type="noConversion"/>
  </si>
  <si>
    <t>3주</t>
    <phoneticPr fontId="27" type="noConversion"/>
  </si>
  <si>
    <t>320주</t>
    <phoneticPr fontId="27" type="noConversion"/>
  </si>
  <si>
    <t>에이치피에스피</t>
    <phoneticPr fontId="22" type="noConversion"/>
  </si>
  <si>
    <t>영창케미칼</t>
    <phoneticPr fontId="22" type="noConversion"/>
  </si>
  <si>
    <t>넥스트칩</t>
    <phoneticPr fontId="22" type="noConversion"/>
  </si>
  <si>
    <t>대신밸런스12호스팩</t>
    <phoneticPr fontId="22" type="noConversion"/>
  </si>
  <si>
    <t>IBK스팩18호</t>
    <phoneticPr fontId="22" type="noConversion"/>
  </si>
  <si>
    <t>발표일</t>
    <phoneticPr fontId="27" type="noConversion"/>
  </si>
  <si>
    <t>12, 6</t>
    <phoneticPr fontId="27" type="noConversion"/>
  </si>
  <si>
    <t>7, 1</t>
    <phoneticPr fontId="27" type="noConversion"/>
  </si>
  <si>
    <t>11, 5</t>
    <phoneticPr fontId="27" type="noConversion"/>
  </si>
  <si>
    <t>3 ,9</t>
    <phoneticPr fontId="27" type="noConversion"/>
  </si>
  <si>
    <t>11, 2, 5, 8</t>
    <phoneticPr fontId="27" type="noConversion"/>
  </si>
  <si>
    <t>12, 3, 6, 9</t>
    <phoneticPr fontId="27" type="noConversion"/>
  </si>
  <si>
    <t>신한스팩 10호</t>
    <phoneticPr fontId="22" type="noConversion"/>
  </si>
  <si>
    <t>아이씨에이치</t>
    <phoneticPr fontId="22" type="noConversion"/>
  </si>
  <si>
    <t>수산인더스트리</t>
    <phoneticPr fontId="22" type="noConversion"/>
  </si>
  <si>
    <t>최저점(예상 : 60% of 추세선)</t>
    <phoneticPr fontId="27" type="noConversion"/>
  </si>
  <si>
    <t>최저점(예상 : xx% of 추세선)</t>
    <phoneticPr fontId="27" type="noConversion"/>
  </si>
  <si>
    <t>LG엔솔</t>
    <phoneticPr fontId="22" type="noConversion"/>
  </si>
  <si>
    <t>유안타스팩9호</t>
    <phoneticPr fontId="22" type="noConversion"/>
  </si>
  <si>
    <r>
      <t>1,</t>
    </r>
    <r>
      <rPr>
        <sz val="11"/>
        <color theme="1"/>
        <rFont val="Calibri"/>
        <family val="2"/>
      </rPr>
      <t xml:space="preserve"> 7</t>
    </r>
    <phoneticPr fontId="27" type="noConversion"/>
  </si>
  <si>
    <t>반영 월</t>
    <phoneticPr fontId="27" type="noConversion"/>
  </si>
  <si>
    <t>New</t>
    <phoneticPr fontId="27" type="noConversion"/>
  </si>
  <si>
    <t>Old</t>
    <phoneticPr fontId="27" type="noConversion"/>
  </si>
  <si>
    <t>매도(예상 : xx% of 추세선)</t>
    <phoneticPr fontId="27" type="noConversion"/>
  </si>
  <si>
    <t>2022년 7월</t>
    <phoneticPr fontId="27" type="noConversion"/>
  </si>
  <si>
    <r>
      <t>1981</t>
    </r>
    <r>
      <rPr>
        <b/>
        <sz val="10"/>
        <color rgb="FF000000"/>
        <rFont val="Apple SD Gothic Neo"/>
        <family val="2"/>
        <charset val="129"/>
      </rPr>
      <t>년</t>
    </r>
    <r>
      <rPr>
        <b/>
        <sz val="10"/>
        <color rgb="FF000000"/>
        <rFont val="Helvetica Neue"/>
        <family val="2"/>
      </rPr>
      <t xml:space="preserve"> 4</t>
    </r>
    <r>
      <rPr>
        <b/>
        <sz val="10"/>
        <color rgb="FF000000"/>
        <rFont val="Apple SD Gothic Neo"/>
        <family val="2"/>
        <charset val="129"/>
      </rPr>
      <t>월</t>
    </r>
    <phoneticPr fontId="27" type="noConversion"/>
  </si>
  <si>
    <t>에이치와이티씨</t>
    <phoneticPr fontId="22" type="noConversion"/>
  </si>
  <si>
    <t>AAPL</t>
    <phoneticPr fontId="27" type="noConversion"/>
  </si>
  <si>
    <t>TSLA</t>
    <phoneticPr fontId="27" type="noConversion"/>
  </si>
  <si>
    <t>투자 주가</t>
    <phoneticPr fontId="27" type="noConversion"/>
  </si>
  <si>
    <t>투자 금액</t>
    <phoneticPr fontId="27" type="noConversion"/>
  </si>
  <si>
    <t>추세 값</t>
    <phoneticPr fontId="27" type="noConversion"/>
  </si>
  <si>
    <t>70% of 추세</t>
    <phoneticPr fontId="27" type="noConversion"/>
  </si>
  <si>
    <t>1구간</t>
    <phoneticPr fontId="27" type="noConversion"/>
  </si>
  <si>
    <t>투자 총 금액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</si>
</sst>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76" formatCode="_-* #,##0_-;\-* #,##0_-;_-* &quot;-&quot;_-;_-@_-"/>
    <numFmt numFmtId="177" formatCode="_-* #,##0.00_-;\-* #,##0.00_-;_-* &quot;-&quot;??_-;_-@_-"/>
    <numFmt numFmtId="178" formatCode="_-* #,##0.00_-;\-* #,##0.00_-;_-* &quot;-&quot;_-;_-@_-"/>
    <numFmt numFmtId="179" formatCode="_-* #,##0.0_-;\-* #,##0.0_-;_-* &quot;-&quot;_-;_-@_-"/>
    <numFmt numFmtId="180" formatCode="yy\-mm"/>
    <numFmt numFmtId="181" formatCode="#,##0_ "/>
  </numFmts>
  <fonts count="46">
    <font>
      <sz val="11"/>
      <color rgb="FF000000"/>
      <name val="Calibri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FF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5"/>
      <color rgb="FF0000FF"/>
      <name val="Calibri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돋움"/>
      <family val="3"/>
      <charset val="129"/>
    </font>
    <font>
      <sz val="11"/>
      <name val="Calibri"/>
      <family val="2"/>
    </font>
    <font>
      <sz val="8"/>
      <name val="나눔명조"/>
      <family val="3"/>
      <charset val="129"/>
    </font>
    <font>
      <sz val="14"/>
      <color rgb="FF000000"/>
      <name val="Apple SD 산돌고딕 Neo"/>
      <family val="2"/>
      <charset val="129"/>
    </font>
    <font>
      <sz val="11"/>
      <color rgb="FF000000"/>
      <name val="Apple SD 산돌고딕 Neo"/>
      <family val="2"/>
      <charset val="129"/>
    </font>
    <font>
      <sz val="14"/>
      <color rgb="FFFF0000"/>
      <name val="Apple SD 산돌고딕 Neo"/>
      <family val="2"/>
      <charset val="129"/>
    </font>
    <font>
      <sz val="14"/>
      <color rgb="FF0000FF"/>
      <name val="Apple SD 산돌고딕 Neo"/>
      <family val="2"/>
      <charset val="129"/>
    </font>
    <font>
      <sz val="11"/>
      <color theme="0"/>
      <name val="Calibri"/>
      <family val="2"/>
    </font>
    <font>
      <sz val="11"/>
      <color rgb="FF000000"/>
      <name val="Malgun Gothic"/>
      <family val="2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sz val="11"/>
      <color rgb="FF000000"/>
      <name val="Calibri"/>
      <family val="2"/>
      <charset val="129"/>
    </font>
    <font>
      <sz val="11"/>
      <color rgb="FF000000"/>
      <name val="Calibri"/>
      <family val="3"/>
      <charset val="129"/>
    </font>
    <font>
      <sz val="11"/>
      <color rgb="FF0000FF"/>
      <name val="Apple SD 산돌고딕 Neo"/>
      <family val="2"/>
      <charset val="129"/>
    </font>
    <font>
      <sz val="11"/>
      <color rgb="FF000000"/>
      <name val="Batang"/>
      <family val="1"/>
      <charset val="129"/>
    </font>
    <font>
      <u/>
      <sz val="7"/>
      <color rgb="FF0000FF"/>
      <name val="맑은 고딕"/>
      <family val="2"/>
      <charset val="129"/>
    </font>
    <font>
      <b/>
      <sz val="10"/>
      <color rgb="FF000000"/>
      <name val="Apple SD Gothic Neo"/>
      <family val="2"/>
      <charset val="129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C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">
    <xf numFmtId="0" fontId="0" fillId="0" borderId="0">
      <alignment vertical="center"/>
    </xf>
    <xf numFmtId="9" fontId="15" fillId="0" borderId="0">
      <alignment vertical="center"/>
    </xf>
    <xf numFmtId="176" fontId="1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</cellStyleXfs>
  <cellXfs count="265"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2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8" fontId="0" fillId="0" borderId="0" xfId="2" applyNumberFormat="1" applyFont="1" applyFill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vertical="center" wrapText="1"/>
    </xf>
    <xf numFmtId="0" fontId="0" fillId="0" borderId="1" xfId="0" applyNumberFormat="1" applyBorder="1" applyAlignment="1" applyProtection="1">
      <alignment horizontal="right" vertical="center"/>
      <protection locked="0"/>
    </xf>
    <xf numFmtId="0" fontId="0" fillId="0" borderId="2" xfId="0" applyNumberFormat="1" applyBorder="1" applyAlignment="1" applyProtection="1">
      <alignment horizontal="right" vertical="center"/>
      <protection locked="0"/>
    </xf>
    <xf numFmtId="0" fontId="16" fillId="0" borderId="0" xfId="11" applyNumberFormat="1">
      <alignment vertical="center"/>
    </xf>
    <xf numFmtId="0" fontId="16" fillId="0" borderId="0" xfId="12" applyNumberFormat="1">
      <alignment vertical="center"/>
    </xf>
    <xf numFmtId="0" fontId="16" fillId="0" borderId="0" xfId="13" applyNumberFormat="1">
      <alignment vertical="center"/>
    </xf>
    <xf numFmtId="0" fontId="16" fillId="0" borderId="0" xfId="14" applyNumberFormat="1">
      <alignment vertical="center"/>
    </xf>
    <xf numFmtId="0" fontId="16" fillId="0" borderId="0" xfId="15" applyNumberFormat="1">
      <alignment vertical="center"/>
    </xf>
    <xf numFmtId="0" fontId="16" fillId="0" borderId="0" xfId="16" applyNumberFormat="1">
      <alignment vertical="center"/>
    </xf>
    <xf numFmtId="0" fontId="16" fillId="0" borderId="0" xfId="3" applyNumberFormat="1">
      <alignment vertical="center"/>
    </xf>
    <xf numFmtId="0" fontId="16" fillId="0" borderId="0" xfId="4" applyNumberFormat="1">
      <alignment vertical="center"/>
    </xf>
    <xf numFmtId="0" fontId="16" fillId="0" borderId="0" xfId="5" applyNumberFormat="1">
      <alignment vertical="center"/>
    </xf>
    <xf numFmtId="0" fontId="16" fillId="0" borderId="0" xfId="6" applyNumberFormat="1">
      <alignment vertical="center"/>
    </xf>
    <xf numFmtId="0" fontId="16" fillId="0" borderId="0" xfId="7" applyNumberFormat="1">
      <alignment vertical="center"/>
    </xf>
    <xf numFmtId="0" fontId="16" fillId="0" borderId="0" xfId="8" applyNumberFormat="1">
      <alignment vertical="center"/>
    </xf>
    <xf numFmtId="0" fontId="16" fillId="0" borderId="0" xfId="9" applyNumberFormat="1">
      <alignment vertical="center"/>
    </xf>
    <xf numFmtId="0" fontId="16" fillId="0" borderId="0" xfId="10" applyNumberFormat="1">
      <alignment vertical="center"/>
    </xf>
    <xf numFmtId="0" fontId="0" fillId="3" borderId="0" xfId="0" applyNumberFormat="1" applyFill="1">
      <alignment vertical="center"/>
    </xf>
    <xf numFmtId="178" fontId="0" fillId="0" borderId="0" xfId="2" applyNumberFormat="1" applyFont="1">
      <alignment vertical="center"/>
    </xf>
    <xf numFmtId="178" fontId="18" fillId="0" borderId="0" xfId="2" applyNumberFormat="1" applyFont="1">
      <alignment vertical="center"/>
    </xf>
    <xf numFmtId="0" fontId="19" fillId="0" borderId="0" xfId="0" applyNumberFormat="1" applyFont="1">
      <alignment vertical="center"/>
    </xf>
    <xf numFmtId="176" fontId="0" fillId="0" borderId="0" xfId="2" applyNumberFormat="1" applyFont="1" applyFill="1">
      <alignment vertical="center"/>
    </xf>
    <xf numFmtId="0" fontId="20" fillId="0" borderId="0" xfId="0" applyNumberFormat="1" applyFo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23" fillId="0" borderId="0" xfId="0" applyNumberFormat="1" applyFont="1">
      <alignment vertical="center"/>
    </xf>
    <xf numFmtId="178" fontId="23" fillId="0" borderId="0" xfId="2" applyNumberFormat="1" applyFont="1">
      <alignment vertical="center"/>
    </xf>
    <xf numFmtId="0" fontId="21" fillId="0" borderId="0" xfId="0" applyNumberFormat="1" applyFont="1">
      <alignment vertical="center"/>
    </xf>
    <xf numFmtId="10" fontId="23" fillId="0" borderId="0" xfId="1" applyNumberFormat="1" applyFont="1">
      <alignment vertical="center"/>
    </xf>
    <xf numFmtId="176" fontId="23" fillId="0" borderId="0" xfId="2" applyFont="1">
      <alignment vertical="center"/>
    </xf>
    <xf numFmtId="176" fontId="23" fillId="0" borderId="0" xfId="2" applyNumberFormat="1" applyFont="1">
      <alignment vertical="center"/>
    </xf>
    <xf numFmtId="0" fontId="21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0" fontId="23" fillId="0" borderId="0" xfId="1" applyNumberFormat="1" applyFont="1" applyFill="1">
      <alignment vertical="center"/>
    </xf>
    <xf numFmtId="177" fontId="0" fillId="4" borderId="0" xfId="0" applyNumberFormat="1" applyFill="1">
      <alignment vertical="center"/>
    </xf>
    <xf numFmtId="178" fontId="23" fillId="4" borderId="0" xfId="2" applyNumberFormat="1" applyFont="1" applyFill="1">
      <alignment vertical="center"/>
    </xf>
    <xf numFmtId="10" fontId="23" fillId="4" borderId="0" xfId="1" applyNumberFormat="1" applyFont="1" applyFill="1">
      <alignment vertical="center"/>
    </xf>
    <xf numFmtId="176" fontId="23" fillId="4" borderId="0" xfId="2" applyNumberFormat="1" applyFont="1" applyFill="1">
      <alignment vertical="center"/>
    </xf>
    <xf numFmtId="0" fontId="0" fillId="5" borderId="0" xfId="0" applyNumberFormat="1" applyFill="1">
      <alignment vertical="center"/>
    </xf>
    <xf numFmtId="0" fontId="24" fillId="0" borderId="0" xfId="0" applyNumberFormat="1" applyFont="1">
      <alignment vertical="center"/>
    </xf>
    <xf numFmtId="176" fontId="24" fillId="0" borderId="0" xfId="2" applyFont="1">
      <alignment vertical="center"/>
    </xf>
    <xf numFmtId="10" fontId="24" fillId="0" borderId="0" xfId="1" applyNumberFormat="1" applyFont="1">
      <alignment vertical="center"/>
    </xf>
    <xf numFmtId="176" fontId="24" fillId="0" borderId="0" xfId="0" applyNumberFormat="1" applyFont="1">
      <alignment vertical="center"/>
    </xf>
    <xf numFmtId="0" fontId="24" fillId="2" borderId="0" xfId="0" applyNumberFormat="1" applyFont="1" applyFill="1">
      <alignment vertical="center"/>
    </xf>
    <xf numFmtId="176" fontId="24" fillId="2" borderId="0" xfId="0" applyNumberFormat="1" applyFont="1" applyFill="1">
      <alignment vertical="center"/>
    </xf>
    <xf numFmtId="10" fontId="24" fillId="2" borderId="0" xfId="1" applyNumberFormat="1" applyFont="1" applyFill="1">
      <alignment vertical="center"/>
    </xf>
    <xf numFmtId="0" fontId="26" fillId="0" borderId="0" xfId="0" applyNumberFormat="1" applyFont="1">
      <alignment vertical="center"/>
    </xf>
    <xf numFmtId="176" fontId="15" fillId="0" borderId="0" xfId="2">
      <alignment vertical="center"/>
    </xf>
    <xf numFmtId="0" fontId="26" fillId="0" borderId="0" xfId="0" applyNumberFormat="1" applyFont="1" applyFill="1">
      <alignment vertical="center"/>
    </xf>
    <xf numFmtId="176" fontId="23" fillId="4" borderId="0" xfId="2" applyFont="1" applyFill="1">
      <alignment vertical="center"/>
    </xf>
    <xf numFmtId="176" fontId="23" fillId="0" borderId="0" xfId="2" applyFont="1" applyFill="1">
      <alignment vertical="center"/>
    </xf>
    <xf numFmtId="176" fontId="23" fillId="0" borderId="0" xfId="2" applyNumberFormat="1" applyFont="1" applyFill="1">
      <alignment vertical="center"/>
    </xf>
    <xf numFmtId="0" fontId="15" fillId="0" borderId="0" xfId="0" applyNumberFormat="1" applyFont="1">
      <alignment vertical="center"/>
    </xf>
    <xf numFmtId="0" fontId="28" fillId="0" borderId="0" xfId="0" applyNumberFormat="1" applyFont="1">
      <alignment vertical="center"/>
    </xf>
    <xf numFmtId="0" fontId="29" fillId="0" borderId="0" xfId="0" applyNumberFormat="1" applyFont="1">
      <alignment vertical="center"/>
    </xf>
    <xf numFmtId="178" fontId="29" fillId="0" borderId="0" xfId="2" applyNumberFormat="1" applyFont="1">
      <alignment vertical="center"/>
    </xf>
    <xf numFmtId="3" fontId="29" fillId="0" borderId="0" xfId="0" applyNumberFormat="1" applyFont="1">
      <alignment vertical="center"/>
    </xf>
    <xf numFmtId="9" fontId="29" fillId="0" borderId="0" xfId="0" applyNumberFormat="1" applyFont="1">
      <alignment vertical="center"/>
    </xf>
    <xf numFmtId="0" fontId="28" fillId="0" borderId="0" xfId="0" quotePrefix="1" applyNumberFormat="1" applyFont="1">
      <alignment vertical="center"/>
    </xf>
    <xf numFmtId="0" fontId="0" fillId="6" borderId="0" xfId="0" applyNumberFormat="1" applyFill="1">
      <alignment vertical="center"/>
    </xf>
    <xf numFmtId="0" fontId="17" fillId="0" borderId="0" xfId="0" applyNumberFormat="1" applyFont="1" applyFill="1">
      <alignment vertical="center"/>
    </xf>
    <xf numFmtId="0" fontId="32" fillId="7" borderId="0" xfId="0" applyNumberFormat="1" applyFont="1" applyFill="1">
      <alignment vertical="center"/>
    </xf>
    <xf numFmtId="0" fontId="26" fillId="7" borderId="0" xfId="0" applyNumberFormat="1" applyFont="1" applyFill="1">
      <alignment vertical="center"/>
    </xf>
    <xf numFmtId="176" fontId="26" fillId="0" borderId="0" xfId="2" applyNumberFormat="1" applyFont="1">
      <alignment vertical="center"/>
    </xf>
    <xf numFmtId="10" fontId="26" fillId="0" borderId="0" xfId="1" applyNumberFormat="1" applyFont="1">
      <alignment vertical="center"/>
    </xf>
    <xf numFmtId="10" fontId="26" fillId="0" borderId="0" xfId="0" applyNumberFormat="1" applyFont="1" applyFill="1">
      <alignment vertical="center"/>
    </xf>
    <xf numFmtId="176" fontId="26" fillId="0" borderId="0" xfId="2" applyFont="1">
      <alignment vertical="center"/>
    </xf>
    <xf numFmtId="0" fontId="26" fillId="4" borderId="0" xfId="0" applyNumberFormat="1" applyFont="1" applyFill="1">
      <alignment vertical="center"/>
    </xf>
    <xf numFmtId="0" fontId="26" fillId="6" borderId="0" xfId="0" applyNumberFormat="1" applyFont="1" applyFill="1">
      <alignment vertical="center"/>
    </xf>
    <xf numFmtId="179" fontId="15" fillId="0" borderId="0" xfId="2" applyNumberFormat="1">
      <alignment vertical="center"/>
    </xf>
    <xf numFmtId="0" fontId="26" fillId="0" borderId="3" xfId="0" applyNumberFormat="1" applyFont="1" applyBorder="1">
      <alignment vertical="center"/>
    </xf>
    <xf numFmtId="0" fontId="26" fillId="0" borderId="4" xfId="0" applyNumberFormat="1" applyFont="1" applyFill="1" applyBorder="1">
      <alignment vertical="center"/>
    </xf>
    <xf numFmtId="176" fontId="26" fillId="0" borderId="4" xfId="2" applyNumberFormat="1" applyFont="1" applyBorder="1">
      <alignment vertical="center"/>
    </xf>
    <xf numFmtId="176" fontId="26" fillId="0" borderId="5" xfId="2" applyNumberFormat="1" applyFont="1" applyBorder="1">
      <alignment vertical="center"/>
    </xf>
    <xf numFmtId="9" fontId="0" fillId="0" borderId="0" xfId="0" applyNumberFormat="1">
      <alignment vertical="center"/>
    </xf>
    <xf numFmtId="178" fontId="26" fillId="0" borderId="4" xfId="2" applyNumberFormat="1" applyFont="1" applyBorder="1">
      <alignment vertical="center"/>
    </xf>
    <xf numFmtId="178" fontId="26" fillId="0" borderId="0" xfId="2" applyNumberFormat="1" applyFont="1">
      <alignment vertical="center"/>
    </xf>
    <xf numFmtId="178" fontId="26" fillId="0" borderId="0" xfId="0" applyNumberFormat="1" applyFont="1">
      <alignment vertical="center"/>
    </xf>
    <xf numFmtId="178" fontId="26" fillId="4" borderId="0" xfId="0" applyNumberFormat="1" applyFont="1" applyFill="1">
      <alignment vertical="center"/>
    </xf>
    <xf numFmtId="178" fontId="26" fillId="6" borderId="0" xfId="0" applyNumberFormat="1" applyFont="1" applyFill="1">
      <alignment vertical="center"/>
    </xf>
    <xf numFmtId="178" fontId="26" fillId="0" borderId="5" xfId="2" applyNumberFormat="1" applyFont="1" applyBorder="1">
      <alignment vertical="center"/>
    </xf>
    <xf numFmtId="0" fontId="20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0" fontId="32" fillId="7" borderId="0" xfId="0" applyNumberFormat="1" applyFont="1" applyFill="1" applyBorder="1">
      <alignment vertical="center"/>
    </xf>
    <xf numFmtId="0" fontId="26" fillId="0" borderId="0" xfId="0" applyNumberFormat="1" applyFont="1" applyFill="1" applyBorder="1">
      <alignment vertical="center"/>
    </xf>
    <xf numFmtId="178" fontId="26" fillId="0" borderId="0" xfId="0" applyNumberFormat="1" applyFont="1" applyFill="1" applyBorder="1">
      <alignment vertical="center"/>
    </xf>
    <xf numFmtId="176" fontId="26" fillId="0" borderId="0" xfId="2" applyFont="1" applyBorder="1">
      <alignment vertical="center"/>
    </xf>
    <xf numFmtId="178" fontId="26" fillId="0" borderId="0" xfId="2" applyNumberFormat="1" applyFont="1" applyBorder="1">
      <alignment vertical="center"/>
    </xf>
    <xf numFmtId="0" fontId="26" fillId="0" borderId="0" xfId="0" applyNumberFormat="1" applyFont="1" applyBorder="1">
      <alignment vertical="center"/>
    </xf>
    <xf numFmtId="176" fontId="26" fillId="4" borderId="0" xfId="2" applyFont="1" applyFill="1" applyBorder="1">
      <alignment vertical="center"/>
    </xf>
    <xf numFmtId="178" fontId="26" fillId="4" borderId="0" xfId="2" applyNumberFormat="1" applyFont="1" applyFill="1" applyBorder="1">
      <alignment vertical="center"/>
    </xf>
    <xf numFmtId="0" fontId="26" fillId="4" borderId="0" xfId="0" applyNumberFormat="1" applyFont="1" applyFill="1" applyBorder="1">
      <alignment vertical="center"/>
    </xf>
    <xf numFmtId="176" fontId="26" fillId="6" borderId="0" xfId="2" applyFont="1" applyFill="1" applyBorder="1">
      <alignment vertical="center"/>
    </xf>
    <xf numFmtId="178" fontId="26" fillId="6" borderId="0" xfId="2" applyNumberFormat="1" applyFont="1" applyFill="1" applyBorder="1">
      <alignment vertical="center"/>
    </xf>
    <xf numFmtId="0" fontId="26" fillId="6" borderId="0" xfId="0" applyNumberFormat="1" applyFont="1" applyFill="1" applyBorder="1">
      <alignment vertical="center"/>
    </xf>
    <xf numFmtId="0" fontId="26" fillId="7" borderId="0" xfId="0" applyNumberFormat="1" applyFont="1" applyFill="1" applyBorder="1">
      <alignment vertical="center"/>
    </xf>
    <xf numFmtId="176" fontId="26" fillId="0" borderId="0" xfId="2" applyFont="1" applyFill="1" applyBorder="1">
      <alignment vertical="center"/>
    </xf>
    <xf numFmtId="176" fontId="0" fillId="0" borderId="0" xfId="2" applyNumberFormat="1" applyFont="1">
      <alignment vertical="center"/>
    </xf>
    <xf numFmtId="10" fontId="15" fillId="0" borderId="0" xfId="1" applyNumberFormat="1">
      <alignment vertical="center"/>
    </xf>
    <xf numFmtId="10" fontId="0" fillId="0" borderId="0" xfId="0" applyNumberFormat="1">
      <alignment vertical="center"/>
    </xf>
    <xf numFmtId="0" fontId="15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horizontal="left" vertical="center"/>
    </xf>
    <xf numFmtId="178" fontId="15" fillId="0" borderId="0" xfId="2" applyNumberFormat="1">
      <alignment vertical="center"/>
    </xf>
    <xf numFmtId="0" fontId="19" fillId="2" borderId="0" xfId="0" applyNumberFormat="1" applyFont="1" applyFill="1">
      <alignment vertical="center"/>
    </xf>
    <xf numFmtId="0" fontId="19" fillId="2" borderId="0" xfId="0" applyNumberFormat="1" applyFont="1" applyFill="1" applyAlignment="1">
      <alignment vertical="center" wrapText="1"/>
    </xf>
    <xf numFmtId="0" fontId="19" fillId="2" borderId="0" xfId="0" applyNumberFormat="1" applyFont="1" applyFill="1" applyBorder="1">
      <alignment vertical="center"/>
    </xf>
    <xf numFmtId="0" fontId="19" fillId="2" borderId="0" xfId="0" applyNumberFormat="1" applyFont="1" applyFill="1" applyBorder="1" applyAlignment="1">
      <alignment horizontal="center" vertical="center"/>
    </xf>
    <xf numFmtId="180" fontId="19" fillId="2" borderId="0" xfId="0" applyNumberFormat="1" applyFont="1" applyFill="1" applyBorder="1" applyAlignment="1">
      <alignment horizontal="center" vertical="center"/>
    </xf>
    <xf numFmtId="180" fontId="19" fillId="2" borderId="0" xfId="0" applyNumberFormat="1" applyFont="1" applyFill="1" applyAlignment="1">
      <alignment horizontal="center" vertical="center"/>
    </xf>
    <xf numFmtId="0" fontId="25" fillId="2" borderId="0" xfId="0" applyNumberFormat="1" applyFont="1" applyFill="1" applyAlignment="1">
      <alignment vertical="center" wrapText="1"/>
    </xf>
    <xf numFmtId="0" fontId="15" fillId="4" borderId="0" xfId="0" applyNumberFormat="1" applyFont="1" applyFill="1">
      <alignment vertical="center"/>
    </xf>
    <xf numFmtId="178" fontId="0" fillId="0" borderId="0" xfId="2" applyNumberFormat="1" applyFont="1" applyFill="1">
      <alignment vertical="center"/>
    </xf>
    <xf numFmtId="0" fontId="21" fillId="5" borderId="0" xfId="0" applyNumberFormat="1" applyFont="1" applyFill="1">
      <alignment vertical="center"/>
    </xf>
    <xf numFmtId="0" fontId="24" fillId="5" borderId="0" xfId="0" applyNumberFormat="1" applyFont="1" applyFill="1">
      <alignment vertical="center"/>
    </xf>
    <xf numFmtId="177" fontId="0" fillId="5" borderId="0" xfId="0" applyNumberFormat="1" applyFill="1">
      <alignment vertical="center"/>
    </xf>
    <xf numFmtId="0" fontId="34" fillId="0" borderId="3" xfId="0" applyNumberFormat="1" applyFont="1" applyBorder="1">
      <alignment vertical="center"/>
    </xf>
    <xf numFmtId="0" fontId="15" fillId="2" borderId="0" xfId="0" applyNumberFormat="1" applyFont="1" applyFill="1">
      <alignment vertical="center"/>
    </xf>
    <xf numFmtId="178" fontId="15" fillId="4" borderId="0" xfId="2" applyNumberFormat="1" applyFill="1">
      <alignment vertical="center"/>
    </xf>
    <xf numFmtId="176" fontId="15" fillId="4" borderId="0" xfId="2" applyFill="1">
      <alignment vertical="center"/>
    </xf>
    <xf numFmtId="0" fontId="24" fillId="0" borderId="6" xfId="0" applyNumberFormat="1" applyFont="1" applyBorder="1">
      <alignment vertical="center"/>
    </xf>
    <xf numFmtId="176" fontId="24" fillId="0" borderId="6" xfId="2" applyFont="1" applyBorder="1">
      <alignment vertical="center"/>
    </xf>
    <xf numFmtId="10" fontId="24" fillId="0" borderId="6" xfId="1" applyNumberFormat="1" applyFont="1" applyBorder="1">
      <alignment vertical="center"/>
    </xf>
    <xf numFmtId="0" fontId="33" fillId="0" borderId="7" xfId="0" applyNumberFormat="1" applyFont="1" applyBorder="1">
      <alignment vertical="center"/>
    </xf>
    <xf numFmtId="176" fontId="23" fillId="0" borderId="7" xfId="2" applyFont="1" applyBorder="1">
      <alignment vertical="center"/>
    </xf>
    <xf numFmtId="178" fontId="23" fillId="0" borderId="7" xfId="2" applyNumberFormat="1" applyFont="1" applyBorder="1">
      <alignment vertical="center"/>
    </xf>
    <xf numFmtId="176" fontId="23" fillId="4" borderId="7" xfId="2" applyNumberFormat="1" applyFont="1" applyFill="1" applyBorder="1">
      <alignment vertical="center"/>
    </xf>
    <xf numFmtId="10" fontId="23" fillId="4" borderId="7" xfId="1" applyNumberFormat="1" applyFont="1" applyFill="1" applyBorder="1">
      <alignment vertical="center"/>
    </xf>
    <xf numFmtId="0" fontId="0" fillId="0" borderId="7" xfId="0" applyNumberFormat="1" applyBorder="1">
      <alignment vertical="center"/>
    </xf>
    <xf numFmtId="178" fontId="26" fillId="0" borderId="0" xfId="0" applyNumberFormat="1" applyFont="1" applyFill="1">
      <alignment vertical="center"/>
    </xf>
    <xf numFmtId="178" fontId="26" fillId="0" borderId="0" xfId="2" applyNumberFormat="1" applyFont="1" applyFill="1" applyBorder="1">
      <alignment vertical="center"/>
    </xf>
    <xf numFmtId="0" fontId="35" fillId="0" borderId="4" xfId="0" applyNumberFormat="1" applyFont="1" applyFill="1" applyBorder="1">
      <alignment vertical="center"/>
    </xf>
    <xf numFmtId="0" fontId="34" fillId="0" borderId="4" xfId="0" applyNumberFormat="1" applyFont="1" applyFill="1" applyBorder="1">
      <alignment vertical="center"/>
    </xf>
    <xf numFmtId="176" fontId="19" fillId="0" borderId="0" xfId="2" applyFont="1">
      <alignment vertical="center"/>
    </xf>
    <xf numFmtId="0" fontId="36" fillId="0" borderId="0" xfId="0" applyNumberFormat="1" applyFont="1" applyAlignment="1">
      <alignment horizontal="left" vertical="center"/>
    </xf>
    <xf numFmtId="0" fontId="37" fillId="0" borderId="0" xfId="0" applyNumberFormat="1" applyFont="1" applyAlignment="1">
      <alignment horizontal="left" vertical="center"/>
    </xf>
    <xf numFmtId="176" fontId="15" fillId="8" borderId="0" xfId="2" applyFill="1">
      <alignment vertical="center"/>
    </xf>
    <xf numFmtId="178" fontId="15" fillId="4" borderId="0" xfId="2" applyNumberFormat="1" applyFont="1" applyFill="1">
      <alignment vertical="center"/>
    </xf>
    <xf numFmtId="0" fontId="28" fillId="0" borderId="0" xfId="0" applyNumberFormat="1" applyFont="1" applyAlignment="1">
      <alignment vertical="center"/>
    </xf>
    <xf numFmtId="14" fontId="29" fillId="0" borderId="0" xfId="0" applyNumberFormat="1" applyFont="1">
      <alignment vertical="center"/>
    </xf>
    <xf numFmtId="9" fontId="15" fillId="0" borderId="0" xfId="1" applyNumberFormat="1">
      <alignment vertical="center"/>
    </xf>
    <xf numFmtId="9" fontId="26" fillId="0" borderId="4" xfId="0" applyNumberFormat="1" applyFont="1" applyFill="1" applyBorder="1">
      <alignment vertical="center"/>
    </xf>
    <xf numFmtId="0" fontId="31" fillId="0" borderId="0" xfId="0" applyNumberFormat="1" applyFont="1">
      <alignment vertical="center"/>
    </xf>
    <xf numFmtId="0" fontId="38" fillId="0" borderId="0" xfId="0" applyNumberFormat="1" applyFont="1">
      <alignment vertical="center"/>
    </xf>
    <xf numFmtId="176" fontId="17" fillId="0" borderId="0" xfId="2" applyFont="1">
      <alignment vertical="center"/>
    </xf>
    <xf numFmtId="9" fontId="38" fillId="0" borderId="0" xfId="0" applyNumberFormat="1" applyFont="1">
      <alignment vertical="center"/>
    </xf>
    <xf numFmtId="176" fontId="17" fillId="0" borderId="0" xfId="2" applyNumberFormat="1" applyFont="1">
      <alignment vertical="center"/>
    </xf>
    <xf numFmtId="9" fontId="17" fillId="0" borderId="0" xfId="1" applyFont="1">
      <alignment vertical="center"/>
    </xf>
    <xf numFmtId="0" fontId="31" fillId="0" borderId="0" xfId="0" quotePrefix="1" applyNumberFormat="1" applyFont="1">
      <alignment vertical="center"/>
    </xf>
    <xf numFmtId="176" fontId="26" fillId="8" borderId="0" xfId="2" applyFont="1" applyFill="1">
      <alignment vertical="center"/>
    </xf>
    <xf numFmtId="0" fontId="15" fillId="0" borderId="0" xfId="0" applyNumberFormat="1" applyFont="1" applyAlignment="1">
      <alignment vertical="center" wrapText="1"/>
    </xf>
    <xf numFmtId="178" fontId="0" fillId="0" borderId="0" xfId="0" applyNumberFormat="1">
      <alignment vertical="center"/>
    </xf>
    <xf numFmtId="178" fontId="15" fillId="0" borderId="0" xfId="2" applyNumberFormat="1" applyFont="1" applyFill="1" applyAlignment="1">
      <alignment horizontal="center" vertical="center"/>
    </xf>
    <xf numFmtId="178" fontId="15" fillId="0" borderId="0" xfId="2" applyNumberFormat="1" applyAlignment="1">
      <alignment horizontal="center" vertical="center"/>
    </xf>
    <xf numFmtId="181" fontId="15" fillId="0" borderId="0" xfId="2" applyNumberFormat="1">
      <alignment vertical="center"/>
    </xf>
    <xf numFmtId="0" fontId="15" fillId="0" borderId="0" xfId="0" applyNumberFormat="1" applyFont="1" applyAlignment="1">
      <alignment vertical="center"/>
    </xf>
    <xf numFmtId="10" fontId="15" fillId="0" borderId="0" xfId="0" applyNumberFormat="1" applyFont="1">
      <alignment vertical="center"/>
    </xf>
    <xf numFmtId="0" fontId="40" fillId="0" borderId="0" xfId="0" applyNumberFormat="1" applyFont="1">
      <alignment vertical="center"/>
    </xf>
    <xf numFmtId="0" fontId="33" fillId="0" borderId="0" xfId="0" applyNumberFormat="1" applyFont="1">
      <alignment vertical="center"/>
    </xf>
    <xf numFmtId="0" fontId="14" fillId="0" borderId="0" xfId="17">
      <alignment vertical="center"/>
    </xf>
    <xf numFmtId="0" fontId="41" fillId="0" borderId="0" xfId="0" applyNumberFormat="1" applyFont="1">
      <alignment vertical="center"/>
    </xf>
    <xf numFmtId="0" fontId="42" fillId="0" borderId="0" xfId="0" applyNumberFormat="1" applyFont="1">
      <alignment vertical="center"/>
    </xf>
    <xf numFmtId="4" fontId="43" fillId="0" borderId="0" xfId="0" applyNumberFormat="1" applyFont="1">
      <alignment vertical="center"/>
    </xf>
    <xf numFmtId="0" fontId="43" fillId="0" borderId="0" xfId="0" applyNumberFormat="1" applyFont="1">
      <alignment vertical="center"/>
    </xf>
    <xf numFmtId="9" fontId="15" fillId="0" borderId="0" xfId="1">
      <alignment vertical="center"/>
    </xf>
    <xf numFmtId="0" fontId="14" fillId="0" borderId="8" xfId="17" applyBorder="1">
      <alignment vertical="center"/>
    </xf>
    <xf numFmtId="176" fontId="15" fillId="0" borderId="9" xfId="2" applyBorder="1">
      <alignment vertical="center"/>
    </xf>
    <xf numFmtId="176" fontId="15" fillId="0" borderId="10" xfId="2" applyBorder="1">
      <alignment vertical="center"/>
    </xf>
    <xf numFmtId="0" fontId="14" fillId="0" borderId="11" xfId="17" applyBorder="1">
      <alignment vertical="center"/>
    </xf>
    <xf numFmtId="0" fontId="14" fillId="0" borderId="0" xfId="17" applyBorder="1">
      <alignment vertical="center"/>
    </xf>
    <xf numFmtId="9" fontId="14" fillId="0" borderId="0" xfId="17" applyNumberFormat="1" applyBorder="1">
      <alignment vertical="center"/>
    </xf>
    <xf numFmtId="9" fontId="14" fillId="0" borderId="12" xfId="17" applyNumberFormat="1" applyBorder="1">
      <alignment vertical="center"/>
    </xf>
    <xf numFmtId="0" fontId="14" fillId="0" borderId="12" xfId="17" applyBorder="1">
      <alignment vertical="center"/>
    </xf>
    <xf numFmtId="176" fontId="15" fillId="0" borderId="0" xfId="2" applyBorder="1">
      <alignment vertical="center"/>
    </xf>
    <xf numFmtId="9" fontId="15" fillId="0" borderId="0" xfId="1" applyBorder="1">
      <alignment vertical="center"/>
    </xf>
    <xf numFmtId="176" fontId="14" fillId="0" borderId="0" xfId="17" applyNumberFormat="1" applyBorder="1">
      <alignment vertical="center"/>
    </xf>
    <xf numFmtId="176" fontId="15" fillId="0" borderId="12" xfId="2" applyBorder="1">
      <alignment vertical="center"/>
    </xf>
    <xf numFmtId="0" fontId="14" fillId="0" borderId="13" xfId="17" applyBorder="1">
      <alignment vertical="center"/>
    </xf>
    <xf numFmtId="9" fontId="15" fillId="0" borderId="14" xfId="1" applyBorder="1">
      <alignment vertical="center"/>
    </xf>
    <xf numFmtId="176" fontId="14" fillId="0" borderId="14" xfId="17" applyNumberFormat="1" applyBorder="1">
      <alignment vertical="center"/>
    </xf>
    <xf numFmtId="0" fontId="14" fillId="0" borderId="14" xfId="17" applyBorder="1">
      <alignment vertical="center"/>
    </xf>
    <xf numFmtId="0" fontId="14" fillId="0" borderId="15" xfId="17" applyBorder="1">
      <alignment vertical="center"/>
    </xf>
    <xf numFmtId="0" fontId="14" fillId="0" borderId="10" xfId="17" applyBorder="1">
      <alignment vertical="center"/>
    </xf>
    <xf numFmtId="176" fontId="14" fillId="2" borderId="0" xfId="17" applyNumberFormat="1" applyFill="1" applyBorder="1">
      <alignment vertical="center"/>
    </xf>
    <xf numFmtId="0" fontId="13" fillId="0" borderId="0" xfId="17" applyFont="1" applyBorder="1">
      <alignment vertical="center"/>
    </xf>
    <xf numFmtId="176" fontId="15" fillId="2" borderId="0" xfId="2" applyFill="1" applyBorder="1">
      <alignment vertical="center"/>
    </xf>
    <xf numFmtId="0" fontId="13" fillId="0" borderId="12" xfId="17" applyFont="1" applyBorder="1">
      <alignment vertical="center"/>
    </xf>
    <xf numFmtId="43" fontId="14" fillId="0" borderId="0" xfId="17" applyNumberFormat="1">
      <alignment vertical="center"/>
    </xf>
    <xf numFmtId="0" fontId="12" fillId="0" borderId="0" xfId="17" applyFont="1" applyBorder="1">
      <alignment vertical="center"/>
    </xf>
    <xf numFmtId="0" fontId="11" fillId="0" borderId="0" xfId="17" applyFont="1" applyBorder="1">
      <alignment vertical="center"/>
    </xf>
    <xf numFmtId="0" fontId="10" fillId="0" borderId="0" xfId="17" applyFont="1" applyBorder="1">
      <alignment vertical="center"/>
    </xf>
    <xf numFmtId="0" fontId="9" fillId="0" borderId="0" xfId="17" applyFont="1">
      <alignment vertical="center"/>
    </xf>
    <xf numFmtId="0" fontId="8" fillId="0" borderId="0" xfId="17" applyFont="1" applyBorder="1">
      <alignment vertical="center"/>
    </xf>
    <xf numFmtId="0" fontId="7" fillId="0" borderId="0" xfId="17" applyFont="1" applyBorder="1">
      <alignment vertical="center"/>
    </xf>
    <xf numFmtId="0" fontId="7" fillId="0" borderId="12" xfId="17" applyFont="1" applyBorder="1">
      <alignment vertical="center"/>
    </xf>
    <xf numFmtId="0" fontId="6" fillId="0" borderId="0" xfId="17" applyFont="1" applyBorder="1">
      <alignment vertical="center"/>
    </xf>
    <xf numFmtId="0" fontId="5" fillId="0" borderId="0" xfId="17" applyFont="1">
      <alignment vertical="center"/>
    </xf>
    <xf numFmtId="0" fontId="5" fillId="0" borderId="0" xfId="17" applyFont="1" applyBorder="1">
      <alignment vertical="center"/>
    </xf>
    <xf numFmtId="176" fontId="15" fillId="9" borderId="0" xfId="2" applyFill="1" applyBorder="1">
      <alignment vertical="center"/>
    </xf>
    <xf numFmtId="0" fontId="4" fillId="0" borderId="0" xfId="17" applyFont="1">
      <alignment vertical="center"/>
    </xf>
    <xf numFmtId="176" fontId="14" fillId="9" borderId="0" xfId="17" applyNumberFormat="1" applyFill="1" applyBorder="1">
      <alignment vertical="center"/>
    </xf>
    <xf numFmtId="0" fontId="15" fillId="0" borderId="0" xfId="0" applyNumberFormat="1" applyFont="1" applyAlignment="1">
      <alignment horizontal="left" vertical="center"/>
    </xf>
    <xf numFmtId="176" fontId="15" fillId="0" borderId="0" xfId="2" applyFill="1">
      <alignment vertical="center"/>
    </xf>
    <xf numFmtId="178" fontId="15" fillId="0" borderId="0" xfId="2" applyNumberFormat="1" applyFill="1">
      <alignment vertical="center"/>
    </xf>
    <xf numFmtId="178" fontId="44" fillId="0" borderId="0" xfId="2" applyNumberFormat="1" applyFont="1" applyAlignment="1">
      <alignment horizontal="center" vertical="center"/>
    </xf>
    <xf numFmtId="0" fontId="3" fillId="0" borderId="0" xfId="17" applyFont="1">
      <alignment vertical="center"/>
    </xf>
    <xf numFmtId="0" fontId="15" fillId="0" borderId="0" xfId="0" applyNumberFormat="1" applyFont="1" applyBorder="1" applyAlignment="1">
      <alignment vertical="center"/>
    </xf>
    <xf numFmtId="0" fontId="45" fillId="0" borderId="0" xfId="0" applyNumberFormat="1" applyFont="1">
      <alignment vertical="center"/>
    </xf>
    <xf numFmtId="176" fontId="45" fillId="0" borderId="0" xfId="2" applyNumberFormat="1" applyFont="1">
      <alignment vertical="center"/>
    </xf>
    <xf numFmtId="178" fontId="45" fillId="0" borderId="0" xfId="2" applyNumberFormat="1" applyFont="1" applyBorder="1">
      <alignment vertical="center"/>
    </xf>
    <xf numFmtId="176" fontId="45" fillId="0" borderId="0" xfId="2" applyFont="1">
      <alignment vertical="center"/>
    </xf>
    <xf numFmtId="0" fontId="2" fillId="0" borderId="0" xfId="17" applyFont="1">
      <alignment vertical="center"/>
    </xf>
    <xf numFmtId="0" fontId="2" fillId="8" borderId="0" xfId="17" applyFont="1" applyFill="1">
      <alignment vertical="center"/>
    </xf>
    <xf numFmtId="0" fontId="14" fillId="8" borderId="8" xfId="17" applyFill="1" applyBorder="1">
      <alignment vertical="center"/>
    </xf>
    <xf numFmtId="176" fontId="15" fillId="8" borderId="9" xfId="2" applyFill="1" applyBorder="1">
      <alignment vertical="center"/>
    </xf>
    <xf numFmtId="0" fontId="14" fillId="8" borderId="10" xfId="17" applyFill="1" applyBorder="1">
      <alignment vertical="center"/>
    </xf>
    <xf numFmtId="0" fontId="14" fillId="8" borderId="0" xfId="17" applyFill="1">
      <alignment vertical="center"/>
    </xf>
    <xf numFmtId="0" fontId="14" fillId="8" borderId="11" xfId="17" applyFill="1" applyBorder="1">
      <alignment vertical="center"/>
    </xf>
    <xf numFmtId="0" fontId="14" fillId="8" borderId="0" xfId="17" applyFill="1" applyBorder="1">
      <alignment vertical="center"/>
    </xf>
    <xf numFmtId="9" fontId="14" fillId="8" borderId="0" xfId="17" applyNumberFormat="1" applyFill="1" applyBorder="1">
      <alignment vertical="center"/>
    </xf>
    <xf numFmtId="0" fontId="14" fillId="8" borderId="12" xfId="17" applyFill="1" applyBorder="1">
      <alignment vertical="center"/>
    </xf>
    <xf numFmtId="176" fontId="15" fillId="8" borderId="0" xfId="2" applyFill="1" applyBorder="1">
      <alignment vertical="center"/>
    </xf>
    <xf numFmtId="0" fontId="7" fillId="8" borderId="0" xfId="17" applyFont="1" applyFill="1" applyBorder="1">
      <alignment vertical="center"/>
    </xf>
    <xf numFmtId="0" fontId="6" fillId="8" borderId="0" xfId="17" applyFont="1" applyFill="1" applyBorder="1">
      <alignment vertical="center"/>
    </xf>
    <xf numFmtId="0" fontId="11" fillId="8" borderId="0" xfId="17" applyFont="1" applyFill="1" applyBorder="1">
      <alignment vertical="center"/>
    </xf>
    <xf numFmtId="0" fontId="13" fillId="8" borderId="0" xfId="17" applyFont="1" applyFill="1" applyBorder="1">
      <alignment vertical="center"/>
    </xf>
    <xf numFmtId="0" fontId="8" fillId="8" borderId="0" xfId="17" applyFont="1" applyFill="1" applyBorder="1">
      <alignment vertical="center"/>
    </xf>
    <xf numFmtId="0" fontId="10" fillId="8" borderId="0" xfId="17" applyFont="1" applyFill="1" applyBorder="1">
      <alignment vertical="center"/>
    </xf>
    <xf numFmtId="9" fontId="15" fillId="8" borderId="0" xfId="1" applyFill="1" applyBorder="1">
      <alignment vertical="center"/>
    </xf>
    <xf numFmtId="176" fontId="14" fillId="8" borderId="0" xfId="17" applyNumberFormat="1" applyFill="1" applyBorder="1">
      <alignment vertical="center"/>
    </xf>
    <xf numFmtId="0" fontId="13" fillId="8" borderId="12" xfId="17" applyFont="1" applyFill="1" applyBorder="1">
      <alignment vertical="center"/>
    </xf>
    <xf numFmtId="0" fontId="4" fillId="8" borderId="0" xfId="17" applyFont="1" applyFill="1">
      <alignment vertical="center"/>
    </xf>
    <xf numFmtId="0" fontId="5" fillId="8" borderId="0" xfId="17" applyFont="1" applyFill="1" applyBorder="1">
      <alignment vertical="center"/>
    </xf>
    <xf numFmtId="0" fontId="5" fillId="8" borderId="0" xfId="17" applyFont="1" applyFill="1">
      <alignment vertical="center"/>
    </xf>
    <xf numFmtId="0" fontId="14" fillId="8" borderId="13" xfId="17" applyFill="1" applyBorder="1">
      <alignment vertical="center"/>
    </xf>
    <xf numFmtId="9" fontId="15" fillId="8" borderId="14" xfId="1" applyFill="1" applyBorder="1">
      <alignment vertical="center"/>
    </xf>
    <xf numFmtId="176" fontId="14" fillId="8" borderId="14" xfId="17" applyNumberFormat="1" applyFill="1" applyBorder="1">
      <alignment vertical="center"/>
    </xf>
    <xf numFmtId="0" fontId="14" fillId="8" borderId="14" xfId="17" applyFill="1" applyBorder="1">
      <alignment vertical="center"/>
    </xf>
    <xf numFmtId="0" fontId="14" fillId="8" borderId="15" xfId="17" applyFill="1" applyBorder="1">
      <alignment vertical="center"/>
    </xf>
    <xf numFmtId="0" fontId="3" fillId="8" borderId="0" xfId="17" applyFont="1" applyFill="1">
      <alignment vertical="center"/>
    </xf>
    <xf numFmtId="9" fontId="15" fillId="8" borderId="0" xfId="1" applyFill="1">
      <alignment vertical="center"/>
    </xf>
    <xf numFmtId="176" fontId="15" fillId="8" borderId="10" xfId="2" applyFill="1" applyBorder="1">
      <alignment vertical="center"/>
    </xf>
    <xf numFmtId="9" fontId="14" fillId="8" borderId="12" xfId="17" applyNumberFormat="1" applyFill="1" applyBorder="1">
      <alignment vertical="center"/>
    </xf>
    <xf numFmtId="0" fontId="7" fillId="8" borderId="12" xfId="17" applyFont="1" applyFill="1" applyBorder="1">
      <alignment vertical="center"/>
    </xf>
    <xf numFmtId="43" fontId="14" fillId="8" borderId="0" xfId="17" applyNumberFormat="1" applyFill="1">
      <alignment vertical="center"/>
    </xf>
    <xf numFmtId="0" fontId="12" fillId="8" borderId="0" xfId="17" applyFont="1" applyFill="1" applyBorder="1">
      <alignment vertical="center"/>
    </xf>
    <xf numFmtId="176" fontId="15" fillId="8" borderId="12" xfId="2" applyFill="1" applyBorder="1">
      <alignment vertical="center"/>
    </xf>
    <xf numFmtId="0" fontId="9" fillId="8" borderId="0" xfId="17" applyFont="1" applyFill="1">
      <alignment vertical="center"/>
    </xf>
    <xf numFmtId="0" fontId="1" fillId="0" borderId="0" xfId="17" applyFont="1">
      <alignment vertical="center"/>
    </xf>
    <xf numFmtId="0" fontId="41" fillId="0" borderId="0" xfId="0" applyFont="1">
      <alignment vertical="center"/>
    </xf>
    <xf numFmtId="0" fontId="0" fillId="0" borderId="0" xfId="0">
      <alignment vertical="center"/>
    </xf>
    <xf numFmtId="31" fontId="42" fillId="0" borderId="0" xfId="0" applyNumberFormat="1" applyFont="1">
      <alignment vertical="center"/>
    </xf>
    <xf numFmtId="0" fontId="43" fillId="0" borderId="0" xfId="0" applyFont="1">
      <alignment vertical="center"/>
    </xf>
    <xf numFmtId="176" fontId="0" fillId="0" borderId="0" xfId="2" applyFont="1">
      <alignment vertical="center"/>
    </xf>
    <xf numFmtId="0" fontId="15" fillId="0" borderId="0" xfId="0" applyFont="1">
      <alignment vertical="center"/>
    </xf>
    <xf numFmtId="0" fontId="16" fillId="0" borderId="0" xfId="0" applyNumberFormat="1" applyFont="1" applyAlignment="1">
      <alignment horizontal="left" vertical="center"/>
    </xf>
    <xf numFmtId="0" fontId="15" fillId="0" borderId="0" xfId="0" applyNumberFormat="1" applyFont="1" applyAlignment="1">
      <alignment horizontal="left" vertical="center"/>
    </xf>
  </cellXfs>
  <cellStyles count="18">
    <cellStyle name="백분율" xfId="1" builtinId="5"/>
    <cellStyle name="쉼표 [0]" xfId="2" builtinId="6"/>
    <cellStyle name="표준" xfId="0" builtinId="0"/>
    <cellStyle name="표준 2" xfId="17" xr:uid="{80D44E51-47A4-A546-8181-189C8EA71BA2}"/>
    <cellStyle name="표준_Sheet10" xfId="3" xr:uid="{00000000-0005-0000-0000-000003000000}"/>
    <cellStyle name="표준_Sheet11" xfId="4" xr:uid="{00000000-0005-0000-0000-000004000000}"/>
    <cellStyle name="표준_Sheet12" xfId="5" xr:uid="{00000000-0005-0000-0000-000005000000}"/>
    <cellStyle name="표준_Sheet13" xfId="6" xr:uid="{00000000-0005-0000-0000-000006000000}"/>
    <cellStyle name="표준_Sheet14" xfId="7" xr:uid="{00000000-0005-0000-0000-000007000000}"/>
    <cellStyle name="표준_Sheet17" xfId="8" xr:uid="{00000000-0005-0000-0000-000008000000}"/>
    <cellStyle name="표준_Sheet19" xfId="9" xr:uid="{00000000-0005-0000-0000-000009000000}"/>
    <cellStyle name="표준_Sheet20" xfId="10" xr:uid="{00000000-0005-0000-0000-00000A000000}"/>
    <cellStyle name="표준_Sheet3" xfId="11" xr:uid="{00000000-0005-0000-0000-00000B000000}"/>
    <cellStyle name="표준_Sheet5" xfId="12" xr:uid="{00000000-0005-0000-0000-00000C000000}"/>
    <cellStyle name="표준_Sheet6" xfId="13" xr:uid="{00000000-0005-0000-0000-00000D000000}"/>
    <cellStyle name="표준_Sheet7" xfId="14" xr:uid="{00000000-0005-0000-0000-00000E000000}"/>
    <cellStyle name="표준_Sheet8" xfId="15" xr:uid="{00000000-0005-0000-0000-00000F000000}"/>
    <cellStyle name="표준_Sheet9" xfId="16" xr:uid="{00000000-0005-0000-0000-000010000000}"/>
  </cellStyles>
  <dxfs count="22">
    <dxf>
      <font>
        <b/>
        <i val="0"/>
        <color rgb="FFFF0000"/>
      </font>
    </dxf>
    <dxf>
      <font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  <tableStyle name="Light Style 1 - Accent 1" table="0" count="7" xr9:uid="{00000000-0011-0000-FFFF-FFFF01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C00"/>
      <color rgb="FF0000FF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[1]Sheet1!$F$5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[1]Sheet1!$E$6:$E$151</c:f>
              <c:numCache>
                <c:formatCode>General</c:formatCode>
                <c:ptCount val="146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</c:numCache>
            </c:numRef>
          </c:cat>
          <c:val>
            <c:numRef>
              <c:f>[1]Sheet1!$F$6:$F$151</c:f>
              <c:numCache>
                <c:formatCode>General</c:formatCode>
                <c:ptCount val="146"/>
                <c:pt idx="0">
                  <c:v>900.09</c:v>
                </c:pt>
                <c:pt idx="1">
                  <c:v>891.45</c:v>
                </c:pt>
                <c:pt idx="2">
                  <c:v>673.42</c:v>
                </c:pt>
                <c:pt idx="3">
                  <c:v>758.26</c:v>
                </c:pt>
                <c:pt idx="4">
                  <c:v>870.76</c:v>
                </c:pt>
                <c:pt idx="5">
                  <c:v>1077.5999999999999</c:v>
                </c:pt>
                <c:pt idx="6">
                  <c:v>870.43</c:v>
                </c:pt>
                <c:pt idx="7">
                  <c:v>936.72</c:v>
                </c:pt>
                <c:pt idx="8">
                  <c:v>1056.78</c:v>
                </c:pt>
                <c:pt idx="9">
                  <c:v>1144.76</c:v>
                </c:pt>
                <c:pt idx="10">
                  <c:v>1114</c:v>
                </c:pt>
                <c:pt idx="11">
                  <c:v>775.48</c:v>
                </c:pt>
                <c:pt idx="12">
                  <c:v>735.72</c:v>
                </c:pt>
                <c:pt idx="13">
                  <c:v>687.2</c:v>
                </c:pt>
                <c:pt idx="14">
                  <c:v>679.7</c:v>
                </c:pt>
                <c:pt idx="15">
                  <c:v>625.22</c:v>
                </c:pt>
                <c:pt idx="16">
                  <c:v>709.44</c:v>
                </c:pt>
                <c:pt idx="17">
                  <c:v>667.93</c:v>
                </c:pt>
                <c:pt idx="18">
                  <c:v>675.5</c:v>
                </c:pt>
                <c:pt idx="19">
                  <c:v>793.53</c:v>
                </c:pt>
                <c:pt idx="20">
                  <c:v>705.67</c:v>
                </c:pt>
                <c:pt idx="21">
                  <c:v>567.6</c:v>
                </c:pt>
                <c:pt idx="22">
                  <c:v>388.04</c:v>
                </c:pt>
                <c:pt idx="23">
                  <c:v>429.01</c:v>
                </c:pt>
                <c:pt idx="24">
                  <c:v>498.32</c:v>
                </c:pt>
                <c:pt idx="25">
                  <c:v>286.14999999999998</c:v>
                </c:pt>
                <c:pt idx="26">
                  <c:v>215.96</c:v>
                </c:pt>
                <c:pt idx="27">
                  <c:v>167</c:v>
                </c:pt>
                <c:pt idx="28">
                  <c:v>156.38</c:v>
                </c:pt>
                <c:pt idx="29">
                  <c:v>104.8</c:v>
                </c:pt>
                <c:pt idx="30">
                  <c:v>133.6</c:v>
                </c:pt>
                <c:pt idx="31">
                  <c:v>130.11000000000001</c:v>
                </c:pt>
                <c:pt idx="32">
                  <c:v>83.67</c:v>
                </c:pt>
                <c:pt idx="33">
                  <c:v>65.989999999999995</c:v>
                </c:pt>
                <c:pt idx="34">
                  <c:v>62.98</c:v>
                </c:pt>
                <c:pt idx="35">
                  <c:v>48.17</c:v>
                </c:pt>
                <c:pt idx="36">
                  <c:v>45.12</c:v>
                </c:pt>
                <c:pt idx="37">
                  <c:v>48.32</c:v>
                </c:pt>
                <c:pt idx="38">
                  <c:v>44.69</c:v>
                </c:pt>
                <c:pt idx="39">
                  <c:v>37.03</c:v>
                </c:pt>
                <c:pt idx="40">
                  <c:v>47.74</c:v>
                </c:pt>
                <c:pt idx="41">
                  <c:v>55.97</c:v>
                </c:pt>
                <c:pt idx="42">
                  <c:v>63.98</c:v>
                </c:pt>
                <c:pt idx="43">
                  <c:v>61.4</c:v>
                </c:pt>
                <c:pt idx="44">
                  <c:v>66.56</c:v>
                </c:pt>
                <c:pt idx="45">
                  <c:v>70.099999999999994</c:v>
                </c:pt>
                <c:pt idx="46">
                  <c:v>67.459999999999994</c:v>
                </c:pt>
                <c:pt idx="47">
                  <c:v>52.95</c:v>
                </c:pt>
                <c:pt idx="48">
                  <c:v>60.33</c:v>
                </c:pt>
                <c:pt idx="49">
                  <c:v>59.63</c:v>
                </c:pt>
                <c:pt idx="50">
                  <c:v>68.59</c:v>
                </c:pt>
                <c:pt idx="51">
                  <c:v>56.95</c:v>
                </c:pt>
                <c:pt idx="52">
                  <c:v>58.78</c:v>
                </c:pt>
                <c:pt idx="53">
                  <c:v>53.23</c:v>
                </c:pt>
                <c:pt idx="54">
                  <c:v>68.61</c:v>
                </c:pt>
                <c:pt idx="55">
                  <c:v>70.86</c:v>
                </c:pt>
                <c:pt idx="56">
                  <c:v>62.27</c:v>
                </c:pt>
                <c:pt idx="57">
                  <c:v>61.77</c:v>
                </c:pt>
                <c:pt idx="58">
                  <c:v>66.31</c:v>
                </c:pt>
                <c:pt idx="59">
                  <c:v>68.22</c:v>
                </c:pt>
                <c:pt idx="60">
                  <c:v>71.180000000000007</c:v>
                </c:pt>
                <c:pt idx="61">
                  <c:v>64.69</c:v>
                </c:pt>
                <c:pt idx="62">
                  <c:v>72.319999999999993</c:v>
                </c:pt>
                <c:pt idx="63">
                  <c:v>68.2</c:v>
                </c:pt>
                <c:pt idx="64">
                  <c:v>62.81</c:v>
                </c:pt>
                <c:pt idx="65">
                  <c:v>55.66</c:v>
                </c:pt>
                <c:pt idx="66">
                  <c:v>50</c:v>
                </c:pt>
                <c:pt idx="67">
                  <c:v>50.39</c:v>
                </c:pt>
                <c:pt idx="68">
                  <c:v>42.74</c:v>
                </c:pt>
                <c:pt idx="69">
                  <c:v>37.880000000000003</c:v>
                </c:pt>
                <c:pt idx="70">
                  <c:v>39.549999999999997</c:v>
                </c:pt>
                <c:pt idx="71">
                  <c:v>40.81</c:v>
                </c:pt>
                <c:pt idx="72">
                  <c:v>42.4</c:v>
                </c:pt>
                <c:pt idx="73">
                  <c:v>46.96</c:v>
                </c:pt>
                <c:pt idx="74">
                  <c:v>42.46</c:v>
                </c:pt>
                <c:pt idx="75">
                  <c:v>44.65</c:v>
                </c:pt>
                <c:pt idx="76">
                  <c:v>48.15</c:v>
                </c:pt>
                <c:pt idx="77">
                  <c:v>45.95</c:v>
                </c:pt>
                <c:pt idx="78">
                  <c:v>38.39</c:v>
                </c:pt>
                <c:pt idx="79">
                  <c:v>38.24</c:v>
                </c:pt>
                <c:pt idx="80">
                  <c:v>48</c:v>
                </c:pt>
                <c:pt idx="81">
                  <c:v>46.05</c:v>
                </c:pt>
                <c:pt idx="82">
                  <c:v>41.39</c:v>
                </c:pt>
                <c:pt idx="83">
                  <c:v>49.68</c:v>
                </c:pt>
                <c:pt idx="84">
                  <c:v>49.81</c:v>
                </c:pt>
                <c:pt idx="85">
                  <c:v>53.23</c:v>
                </c:pt>
                <c:pt idx="86">
                  <c:v>53.65</c:v>
                </c:pt>
                <c:pt idx="87">
                  <c:v>50.16</c:v>
                </c:pt>
                <c:pt idx="88">
                  <c:v>45.21</c:v>
                </c:pt>
                <c:pt idx="89">
                  <c:v>37.75</c:v>
                </c:pt>
                <c:pt idx="90">
                  <c:v>40.67</c:v>
                </c:pt>
                <c:pt idx="91">
                  <c:v>40.72</c:v>
                </c:pt>
                <c:pt idx="92">
                  <c:v>44.48</c:v>
                </c:pt>
                <c:pt idx="93">
                  <c:v>48.9</c:v>
                </c:pt>
                <c:pt idx="94">
                  <c:v>48.34</c:v>
                </c:pt>
                <c:pt idx="95">
                  <c:v>48.54</c:v>
                </c:pt>
                <c:pt idx="96">
                  <c:v>53.94</c:v>
                </c:pt>
                <c:pt idx="97">
                  <c:v>44.66</c:v>
                </c:pt>
                <c:pt idx="98">
                  <c:v>48.01</c:v>
                </c:pt>
                <c:pt idx="99">
                  <c:v>41.55</c:v>
                </c:pt>
                <c:pt idx="100">
                  <c:v>41.58</c:v>
                </c:pt>
                <c:pt idx="101">
                  <c:v>41.69</c:v>
                </c:pt>
                <c:pt idx="102">
                  <c:v>48.96</c:v>
                </c:pt>
                <c:pt idx="103">
                  <c:v>36.28</c:v>
                </c:pt>
                <c:pt idx="104">
                  <c:v>30.09</c:v>
                </c:pt>
                <c:pt idx="105">
                  <c:v>25.46</c:v>
                </c:pt>
                <c:pt idx="106">
                  <c:v>31.99</c:v>
                </c:pt>
                <c:pt idx="107">
                  <c:v>38.67</c:v>
                </c:pt>
                <c:pt idx="108">
                  <c:v>33.799999999999997</c:v>
                </c:pt>
                <c:pt idx="109">
                  <c:v>26.86</c:v>
                </c:pt>
                <c:pt idx="110">
                  <c:v>21.47</c:v>
                </c:pt>
                <c:pt idx="111">
                  <c:v>19.55</c:v>
                </c:pt>
                <c:pt idx="112">
                  <c:v>10.8</c:v>
                </c:pt>
                <c:pt idx="113">
                  <c:v>7.58</c:v>
                </c:pt>
                <c:pt idx="114">
                  <c:v>6.97</c:v>
                </c:pt>
                <c:pt idx="115">
                  <c:v>7.5</c:v>
                </c:pt>
                <c:pt idx="116">
                  <c:v>6.77</c:v>
                </c:pt>
                <c:pt idx="117">
                  <c:v>6.76</c:v>
                </c:pt>
                <c:pt idx="118">
                  <c:v>5.63</c:v>
                </c:pt>
                <c:pt idx="119">
                  <c:v>5.86</c:v>
                </c:pt>
                <c:pt idx="120">
                  <c:v>5.7</c:v>
                </c:pt>
                <c:pt idx="121">
                  <c:v>5.48</c:v>
                </c:pt>
                <c:pt idx="122">
                  <c:v>6.26</c:v>
                </c:pt>
                <c:pt idx="123">
                  <c:v>5.9</c:v>
                </c:pt>
                <c:pt idx="124">
                  <c:v>6.63</c:v>
                </c:pt>
                <c:pt idx="125">
                  <c:v>7.45</c:v>
                </c:pt>
                <c:pt idx="126">
                  <c:v>6.68</c:v>
                </c:pt>
                <c:pt idx="127">
                  <c:v>5.81</c:v>
                </c:pt>
                <c:pt idx="128">
                  <c:v>5.71</c:v>
                </c:pt>
                <c:pt idx="129">
                  <c:v>6.55</c:v>
                </c:pt>
                <c:pt idx="130">
                  <c:v>5.87</c:v>
                </c:pt>
                <c:pt idx="131">
                  <c:v>4.88</c:v>
                </c:pt>
                <c:pt idx="132">
                  <c:v>4.95</c:v>
                </c:pt>
                <c:pt idx="133">
                  <c:v>5.63</c:v>
                </c:pt>
                <c:pt idx="134">
                  <c:v>5.83</c:v>
                </c:pt>
                <c:pt idx="135">
                  <c:v>6.03</c:v>
                </c:pt>
                <c:pt idx="136">
                  <c:v>5.52</c:v>
                </c:pt>
                <c:pt idx="137">
                  <c:v>5.55</c:v>
                </c:pt>
                <c:pt idx="138">
                  <c:v>4.78</c:v>
                </c:pt>
                <c:pt idx="139">
                  <c:v>4.82</c:v>
                </c:pt>
                <c:pt idx="140">
                  <c:v>5.33</c:v>
                </c:pt>
                <c:pt idx="141">
                  <c:v>7.07</c:v>
                </c:pt>
                <c:pt idx="142">
                  <c:v>4.37</c:v>
                </c:pt>
                <c:pt idx="143">
                  <c:v>4.08</c:v>
                </c:pt>
                <c:pt idx="144">
                  <c:v>3.9</c:v>
                </c:pt>
                <c:pt idx="145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B-A342-AD6C-964BD783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810800"/>
        <c:axId val="1127686080"/>
      </c:lineChart>
      <c:catAx>
        <c:axId val="130981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86080"/>
        <c:crosses val="autoZero"/>
        <c:auto val="1"/>
        <c:lblAlgn val="ctr"/>
        <c:lblOffset val="100"/>
        <c:noMultiLvlLbl val="1"/>
      </c:catAx>
      <c:valAx>
        <c:axId val="1127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810800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'5'!$B$2:$B$40</c:f>
              <c:numCache>
                <c:formatCode>General</c:formatCode>
                <c:ptCount val="39"/>
                <c:pt idx="0">
                  <c:v>64.41</c:v>
                </c:pt>
                <c:pt idx="1">
                  <c:v>70.430000000000007</c:v>
                </c:pt>
                <c:pt idx="2">
                  <c:v>61.9</c:v>
                </c:pt>
                <c:pt idx="3">
                  <c:v>66.349999999999994</c:v>
                </c:pt>
                <c:pt idx="4">
                  <c:v>66.349999999999994</c:v>
                </c:pt>
                <c:pt idx="5">
                  <c:v>70.66</c:v>
                </c:pt>
                <c:pt idx="6">
                  <c:v>70.77</c:v>
                </c:pt>
                <c:pt idx="7">
                  <c:v>68.430000000000007</c:v>
                </c:pt>
                <c:pt idx="8">
                  <c:v>79.11</c:v>
                </c:pt>
                <c:pt idx="9">
                  <c:v>81.790000000000006</c:v>
                </c:pt>
                <c:pt idx="10">
                  <c:v>79.5</c:v>
                </c:pt>
                <c:pt idx="11">
                  <c:v>82.94</c:v>
                </c:pt>
                <c:pt idx="12">
                  <c:v>83.5</c:v>
                </c:pt>
                <c:pt idx="13">
                  <c:v>89.34</c:v>
                </c:pt>
                <c:pt idx="14">
                  <c:v>93.09</c:v>
                </c:pt>
                <c:pt idx="15">
                  <c:v>94.56</c:v>
                </c:pt>
                <c:pt idx="16">
                  <c:v>95.62</c:v>
                </c:pt>
                <c:pt idx="17">
                  <c:v>93.34</c:v>
                </c:pt>
                <c:pt idx="18">
                  <c:v>94.3</c:v>
                </c:pt>
                <c:pt idx="19">
                  <c:v>99.92</c:v>
                </c:pt>
                <c:pt idx="20">
                  <c:v>102.48</c:v>
                </c:pt>
                <c:pt idx="21">
                  <c:v>105.94</c:v>
                </c:pt>
                <c:pt idx="22">
                  <c:v>108.77</c:v>
                </c:pt>
                <c:pt idx="23">
                  <c:v>104.63</c:v>
                </c:pt>
                <c:pt idx="24">
                  <c:v>111.86</c:v>
                </c:pt>
                <c:pt idx="25">
                  <c:v>115.49</c:v>
                </c:pt>
                <c:pt idx="26">
                  <c:v>111.43</c:v>
                </c:pt>
                <c:pt idx="27">
                  <c:v>119.92</c:v>
                </c:pt>
                <c:pt idx="28">
                  <c:v>109.15</c:v>
                </c:pt>
                <c:pt idx="29">
                  <c:v>108.87</c:v>
                </c:pt>
                <c:pt idx="30">
                  <c:v>111.8</c:v>
                </c:pt>
                <c:pt idx="31">
                  <c:v>110.48</c:v>
                </c:pt>
                <c:pt idx="32">
                  <c:v>122.55</c:v>
                </c:pt>
                <c:pt idx="33">
                  <c:v>131.13</c:v>
                </c:pt>
                <c:pt idx="34">
                  <c:v>137.1</c:v>
                </c:pt>
                <c:pt idx="35">
                  <c:v>136.66999999999999</c:v>
                </c:pt>
                <c:pt idx="36">
                  <c:v>120.1</c:v>
                </c:pt>
                <c:pt idx="37">
                  <c:v>132.26</c:v>
                </c:pt>
                <c:pt idx="38">
                  <c:v>138.6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6-644D-9B78-9450C1AD4982}"/>
            </c:ext>
          </c:extLst>
        </c:ser>
        <c:ser>
          <c:idx val="2"/>
          <c:order val="2"/>
          <c:tx>
            <c:strRef>
              <c:f>'5'!$D$1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'5'!$D$2:$D$40</c:f>
              <c:numCache>
                <c:formatCode>General</c:formatCode>
                <c:ptCount val="39"/>
                <c:pt idx="0">
                  <c:v>11937</c:v>
                </c:pt>
                <c:pt idx="1">
                  <c:v>16827</c:v>
                </c:pt>
                <c:pt idx="2">
                  <c:v>17582</c:v>
                </c:pt>
                <c:pt idx="3">
                  <c:v>20158</c:v>
                </c:pt>
                <c:pt idx="4">
                  <c:v>12428</c:v>
                </c:pt>
                <c:pt idx="5">
                  <c:v>16458</c:v>
                </c:pt>
                <c:pt idx="6">
                  <c:v>16652</c:v>
                </c:pt>
                <c:pt idx="7">
                  <c:v>19954</c:v>
                </c:pt>
                <c:pt idx="8">
                  <c:v>12581</c:v>
                </c:pt>
                <c:pt idx="9">
                  <c:v>16807</c:v>
                </c:pt>
                <c:pt idx="10">
                  <c:v>16909</c:v>
                </c:pt>
                <c:pt idx="11">
                  <c:v>20118</c:v>
                </c:pt>
                <c:pt idx="12">
                  <c:v>12623</c:v>
                </c:pt>
                <c:pt idx="13">
                  <c:v>16894</c:v>
                </c:pt>
                <c:pt idx="14">
                  <c:v>17218</c:v>
                </c:pt>
                <c:pt idx="15">
                  <c:v>19948</c:v>
                </c:pt>
                <c:pt idx="16">
                  <c:v>12217</c:v>
                </c:pt>
                <c:pt idx="17">
                  <c:v>15923</c:v>
                </c:pt>
                <c:pt idx="18">
                  <c:v>16331</c:v>
                </c:pt>
                <c:pt idx="19">
                  <c:v>18585</c:v>
                </c:pt>
                <c:pt idx="20">
                  <c:v>11862</c:v>
                </c:pt>
                <c:pt idx="21">
                  <c:v>15395</c:v>
                </c:pt>
                <c:pt idx="22">
                  <c:v>16027</c:v>
                </c:pt>
                <c:pt idx="23">
                  <c:v>19515</c:v>
                </c:pt>
                <c:pt idx="24">
                  <c:v>12049</c:v>
                </c:pt>
                <c:pt idx="25">
                  <c:v>15710</c:v>
                </c:pt>
                <c:pt idx="26">
                  <c:v>16240</c:v>
                </c:pt>
                <c:pt idx="27">
                  <c:v>19526</c:v>
                </c:pt>
                <c:pt idx="28">
                  <c:v>12562</c:v>
                </c:pt>
                <c:pt idx="29">
                  <c:v>16090</c:v>
                </c:pt>
                <c:pt idx="30">
                  <c:v>16485</c:v>
                </c:pt>
                <c:pt idx="31">
                  <c:v>19524</c:v>
                </c:pt>
                <c:pt idx="32">
                  <c:v>12884</c:v>
                </c:pt>
                <c:pt idx="33">
                  <c:v>16449</c:v>
                </c:pt>
                <c:pt idx="34">
                  <c:v>17188</c:v>
                </c:pt>
                <c:pt idx="35">
                  <c:v>20640</c:v>
                </c:pt>
                <c:pt idx="36">
                  <c:v>13881</c:v>
                </c:pt>
                <c:pt idx="37">
                  <c:v>15945</c:v>
                </c:pt>
                <c:pt idx="38">
                  <c:v>18091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6-644D-9B78-9450C1AD4982}"/>
            </c:ext>
          </c:extLst>
        </c:ser>
        <c:ser>
          <c:idx val="3"/>
          <c:order val="3"/>
          <c:tx>
            <c:strRef>
              <c:f>'5'!$E$1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'5'!$E$2:$E$40</c:f>
              <c:numCache>
                <c:formatCode>General</c:formatCode>
                <c:ptCount val="39"/>
                <c:pt idx="0">
                  <c:v>1726</c:v>
                </c:pt>
                <c:pt idx="1">
                  <c:v>2754</c:v>
                </c:pt>
                <c:pt idx="2">
                  <c:v>2906</c:v>
                </c:pt>
                <c:pt idx="3">
                  <c:v>2247</c:v>
                </c:pt>
                <c:pt idx="4">
                  <c:v>1722</c:v>
                </c:pt>
                <c:pt idx="5">
                  <c:v>2377</c:v>
                </c:pt>
                <c:pt idx="6">
                  <c:v>2800</c:v>
                </c:pt>
                <c:pt idx="7">
                  <c:v>2213</c:v>
                </c:pt>
                <c:pt idx="8">
                  <c:v>1658</c:v>
                </c:pt>
                <c:pt idx="9">
                  <c:v>2869</c:v>
                </c:pt>
                <c:pt idx="10">
                  <c:v>2780</c:v>
                </c:pt>
                <c:pt idx="11">
                  <c:v>2398</c:v>
                </c:pt>
                <c:pt idx="12">
                  <c:v>1807</c:v>
                </c:pt>
                <c:pt idx="13">
                  <c:v>2896</c:v>
                </c:pt>
                <c:pt idx="14">
                  <c:v>2847</c:v>
                </c:pt>
                <c:pt idx="15">
                  <c:v>2031</c:v>
                </c:pt>
                <c:pt idx="16">
                  <c:v>1797</c:v>
                </c:pt>
                <c:pt idx="17">
                  <c:v>2900</c:v>
                </c:pt>
                <c:pt idx="18">
                  <c:v>2775</c:v>
                </c:pt>
                <c:pt idx="19">
                  <c:v>2240</c:v>
                </c:pt>
                <c:pt idx="20">
                  <c:v>1619</c:v>
                </c:pt>
                <c:pt idx="21">
                  <c:v>2964</c:v>
                </c:pt>
                <c:pt idx="22">
                  <c:v>2821</c:v>
                </c:pt>
                <c:pt idx="23">
                  <c:v>2381</c:v>
                </c:pt>
                <c:pt idx="24">
                  <c:v>1933</c:v>
                </c:pt>
                <c:pt idx="25">
                  <c:v>2990</c:v>
                </c:pt>
                <c:pt idx="26">
                  <c:v>2993</c:v>
                </c:pt>
                <c:pt idx="27">
                  <c:v>2593</c:v>
                </c:pt>
                <c:pt idx="28">
                  <c:v>1807</c:v>
                </c:pt>
                <c:pt idx="29">
                  <c:v>3028</c:v>
                </c:pt>
                <c:pt idx="30">
                  <c:v>2844</c:v>
                </c:pt>
                <c:pt idx="31">
                  <c:v>2431</c:v>
                </c:pt>
                <c:pt idx="32">
                  <c:v>2008</c:v>
                </c:pt>
                <c:pt idx="33">
                  <c:v>2729</c:v>
                </c:pt>
                <c:pt idx="34">
                  <c:v>2855</c:v>
                </c:pt>
                <c:pt idx="35">
                  <c:v>2699</c:v>
                </c:pt>
                <c:pt idx="36">
                  <c:v>1924</c:v>
                </c:pt>
                <c:pt idx="37">
                  <c:v>2319</c:v>
                </c:pt>
                <c:pt idx="38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E6-644D-9B78-9450C1AD4982}"/>
            </c:ext>
          </c:extLst>
        </c:ser>
        <c:ser>
          <c:idx val="4"/>
          <c:order val="4"/>
          <c:tx>
            <c:strRef>
              <c:f>'5'!$F$1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'5'!$F$2:$F$40</c:f>
              <c:numCache>
                <c:formatCode>General</c:formatCode>
                <c:ptCount val="39"/>
                <c:pt idx="0">
                  <c:v>1143</c:v>
                </c:pt>
                <c:pt idx="1">
                  <c:v>1885</c:v>
                </c:pt>
                <c:pt idx="2">
                  <c:v>2000</c:v>
                </c:pt>
                <c:pt idx="3">
                  <c:v>1415</c:v>
                </c:pt>
                <c:pt idx="4">
                  <c:v>1127</c:v>
                </c:pt>
                <c:pt idx="5">
                  <c:v>1488</c:v>
                </c:pt>
                <c:pt idx="6">
                  <c:v>1902</c:v>
                </c:pt>
                <c:pt idx="7">
                  <c:v>1661</c:v>
                </c:pt>
                <c:pt idx="8">
                  <c:v>1075</c:v>
                </c:pt>
                <c:pt idx="9">
                  <c:v>2010</c:v>
                </c:pt>
                <c:pt idx="10">
                  <c:v>1913</c:v>
                </c:pt>
                <c:pt idx="11">
                  <c:v>1742</c:v>
                </c:pt>
                <c:pt idx="12">
                  <c:v>1216</c:v>
                </c:pt>
                <c:pt idx="13">
                  <c:v>1978</c:v>
                </c:pt>
                <c:pt idx="14">
                  <c:v>2008</c:v>
                </c:pt>
                <c:pt idx="15">
                  <c:v>1311</c:v>
                </c:pt>
                <c:pt idx="16">
                  <c:v>1221</c:v>
                </c:pt>
                <c:pt idx="17">
                  <c:v>1980</c:v>
                </c:pt>
                <c:pt idx="18">
                  <c:v>533</c:v>
                </c:pt>
                <c:pt idx="19">
                  <c:v>1718</c:v>
                </c:pt>
                <c:pt idx="20">
                  <c:v>931</c:v>
                </c:pt>
                <c:pt idx="21">
                  <c:v>2005</c:v>
                </c:pt>
                <c:pt idx="22">
                  <c:v>1992</c:v>
                </c:pt>
                <c:pt idx="23">
                  <c:v>1401</c:v>
                </c:pt>
                <c:pt idx="24">
                  <c:v>1318</c:v>
                </c:pt>
                <c:pt idx="25">
                  <c:v>2105</c:v>
                </c:pt>
                <c:pt idx="26">
                  <c:v>2144</c:v>
                </c:pt>
                <c:pt idx="27">
                  <c:v>-710</c:v>
                </c:pt>
                <c:pt idx="28">
                  <c:v>1343</c:v>
                </c:pt>
                <c:pt idx="29">
                  <c:v>1820</c:v>
                </c:pt>
                <c:pt idx="30">
                  <c:v>2498</c:v>
                </c:pt>
                <c:pt idx="31">
                  <c:v>6854</c:v>
                </c:pt>
                <c:pt idx="32">
                  <c:v>1413</c:v>
                </c:pt>
                <c:pt idx="33">
                  <c:v>2035</c:v>
                </c:pt>
                <c:pt idx="34">
                  <c:v>2100</c:v>
                </c:pt>
                <c:pt idx="35">
                  <c:v>1766</c:v>
                </c:pt>
                <c:pt idx="36">
                  <c:v>1338</c:v>
                </c:pt>
                <c:pt idx="37">
                  <c:v>1646</c:v>
                </c:pt>
                <c:pt idx="38">
                  <c:v>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E6-644D-9B78-9450C1AD4982}"/>
            </c:ext>
          </c:extLst>
        </c:ser>
        <c:ser>
          <c:idx val="8"/>
          <c:order val="8"/>
          <c:tx>
            <c:strRef>
              <c:f>'5'!$J$1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'5'!$J$2:$J$40</c:f>
              <c:numCache>
                <c:formatCode>General</c:formatCode>
                <c:ptCount val="39"/>
                <c:pt idx="0">
                  <c:v>380</c:v>
                </c:pt>
                <c:pt idx="1">
                  <c:v>1973</c:v>
                </c:pt>
                <c:pt idx="2">
                  <c:v>3481</c:v>
                </c:pt>
                <c:pt idx="3">
                  <c:v>3110</c:v>
                </c:pt>
                <c:pt idx="4">
                  <c:v>-690</c:v>
                </c:pt>
                <c:pt idx="5">
                  <c:v>1937</c:v>
                </c:pt>
                <c:pt idx="6">
                  <c:v>3871</c:v>
                </c:pt>
                <c:pt idx="7">
                  <c:v>3361</c:v>
                </c:pt>
                <c:pt idx="8">
                  <c:v>702</c:v>
                </c:pt>
                <c:pt idx="9">
                  <c:v>2313</c:v>
                </c:pt>
                <c:pt idx="10">
                  <c:v>3647</c:v>
                </c:pt>
                <c:pt idx="11">
                  <c:v>3026</c:v>
                </c:pt>
                <c:pt idx="12">
                  <c:v>181</c:v>
                </c:pt>
                <c:pt idx="13">
                  <c:v>2491</c:v>
                </c:pt>
                <c:pt idx="14">
                  <c:v>4021</c:v>
                </c:pt>
                <c:pt idx="15">
                  <c:v>3813</c:v>
                </c:pt>
                <c:pt idx="16">
                  <c:v>270</c:v>
                </c:pt>
                <c:pt idx="17">
                  <c:v>2491</c:v>
                </c:pt>
                <c:pt idx="18">
                  <c:v>4014</c:v>
                </c:pt>
                <c:pt idx="19">
                  <c:v>3805</c:v>
                </c:pt>
                <c:pt idx="20">
                  <c:v>131</c:v>
                </c:pt>
                <c:pt idx="21">
                  <c:v>2790</c:v>
                </c:pt>
                <c:pt idx="22">
                  <c:v>3674</c:v>
                </c:pt>
                <c:pt idx="23">
                  <c:v>3809</c:v>
                </c:pt>
                <c:pt idx="24">
                  <c:v>-199</c:v>
                </c:pt>
                <c:pt idx="25">
                  <c:v>2440</c:v>
                </c:pt>
                <c:pt idx="26">
                  <c:v>3821</c:v>
                </c:pt>
                <c:pt idx="27">
                  <c:v>3932</c:v>
                </c:pt>
                <c:pt idx="28">
                  <c:v>-1309</c:v>
                </c:pt>
                <c:pt idx="29">
                  <c:v>2396</c:v>
                </c:pt>
                <c:pt idx="30">
                  <c:v>3645</c:v>
                </c:pt>
                <c:pt idx="31">
                  <c:v>4683</c:v>
                </c:pt>
                <c:pt idx="32">
                  <c:v>-345</c:v>
                </c:pt>
                <c:pt idx="33">
                  <c:v>1733</c:v>
                </c:pt>
                <c:pt idx="34">
                  <c:v>3675</c:v>
                </c:pt>
                <c:pt idx="35">
                  <c:v>4586</c:v>
                </c:pt>
                <c:pt idx="36">
                  <c:v>-749</c:v>
                </c:pt>
                <c:pt idx="37">
                  <c:v>2211</c:v>
                </c:pt>
                <c:pt idx="38">
                  <c:v>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10048"/>
        <c:axId val="77011584"/>
      </c:lineChart>
      <c:lineChart>
        <c:grouping val="standard"/>
        <c:varyColors val="0"/>
        <c:ser>
          <c:idx val="1"/>
          <c:order val="1"/>
          <c:tx>
            <c:strRef>
              <c:f>'5'!$C$1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1.02</c:v>
                </c:pt>
                <c:pt idx="3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E6-644D-9B78-9450C1AD4982}"/>
            </c:ext>
          </c:extLst>
        </c:ser>
        <c:ser>
          <c:idx val="5"/>
          <c:order val="5"/>
          <c:tx>
            <c:strRef>
              <c:f>'5'!$G$1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'5'!$G$2:$G$40</c:f>
              <c:numCache>
                <c:formatCode>General</c:formatCode>
                <c:ptCount val="39"/>
                <c:pt idx="0">
                  <c:v>14.46</c:v>
                </c:pt>
                <c:pt idx="1">
                  <c:v>16.37</c:v>
                </c:pt>
                <c:pt idx="2">
                  <c:v>16.53</c:v>
                </c:pt>
                <c:pt idx="3">
                  <c:v>11.15</c:v>
                </c:pt>
                <c:pt idx="4">
                  <c:v>13.86</c:v>
                </c:pt>
                <c:pt idx="5">
                  <c:v>14.44</c:v>
                </c:pt>
                <c:pt idx="6">
                  <c:v>16.809999999999999</c:v>
                </c:pt>
                <c:pt idx="7">
                  <c:v>11.09</c:v>
                </c:pt>
                <c:pt idx="8">
                  <c:v>13.18</c:v>
                </c:pt>
                <c:pt idx="9">
                  <c:v>17.07</c:v>
                </c:pt>
                <c:pt idx="10">
                  <c:v>16.440000000000001</c:v>
                </c:pt>
                <c:pt idx="11">
                  <c:v>11.92</c:v>
                </c:pt>
                <c:pt idx="12">
                  <c:v>14.32</c:v>
                </c:pt>
                <c:pt idx="13">
                  <c:v>17.14</c:v>
                </c:pt>
                <c:pt idx="14">
                  <c:v>16.54</c:v>
                </c:pt>
                <c:pt idx="15">
                  <c:v>10.18</c:v>
                </c:pt>
                <c:pt idx="16">
                  <c:v>14.71</c:v>
                </c:pt>
                <c:pt idx="17">
                  <c:v>18.21</c:v>
                </c:pt>
                <c:pt idx="18">
                  <c:v>16.989999999999998</c:v>
                </c:pt>
                <c:pt idx="19">
                  <c:v>12.05</c:v>
                </c:pt>
                <c:pt idx="20">
                  <c:v>13.65</c:v>
                </c:pt>
                <c:pt idx="21">
                  <c:v>19.25</c:v>
                </c:pt>
                <c:pt idx="22">
                  <c:v>17.600000000000001</c:v>
                </c:pt>
                <c:pt idx="23">
                  <c:v>12.2</c:v>
                </c:pt>
                <c:pt idx="24">
                  <c:v>16.04</c:v>
                </c:pt>
                <c:pt idx="25">
                  <c:v>19.03</c:v>
                </c:pt>
                <c:pt idx="26">
                  <c:v>18.43</c:v>
                </c:pt>
                <c:pt idx="27">
                  <c:v>13.28</c:v>
                </c:pt>
                <c:pt idx="28">
                  <c:v>14.38</c:v>
                </c:pt>
                <c:pt idx="29">
                  <c:v>18.82</c:v>
                </c:pt>
                <c:pt idx="30">
                  <c:v>17.25</c:v>
                </c:pt>
                <c:pt idx="31">
                  <c:v>12.45</c:v>
                </c:pt>
                <c:pt idx="32">
                  <c:v>15.59</c:v>
                </c:pt>
                <c:pt idx="33">
                  <c:v>16.59</c:v>
                </c:pt>
                <c:pt idx="34">
                  <c:v>16.61</c:v>
                </c:pt>
                <c:pt idx="35">
                  <c:v>13.08</c:v>
                </c:pt>
                <c:pt idx="36">
                  <c:v>13.86</c:v>
                </c:pt>
                <c:pt idx="37">
                  <c:v>14.54</c:v>
                </c:pt>
                <c:pt idx="38">
                  <c:v>16.64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E6-644D-9B78-9450C1AD4982}"/>
            </c:ext>
          </c:extLst>
        </c:ser>
        <c:ser>
          <c:idx val="6"/>
          <c:order val="6"/>
          <c:tx>
            <c:strRef>
              <c:f>'5'!$H$1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'5'!$H$2:$H$40</c:f>
              <c:numCache>
                <c:formatCode>General</c:formatCode>
                <c:ptCount val="39"/>
                <c:pt idx="0">
                  <c:v>9.56</c:v>
                </c:pt>
                <c:pt idx="1">
                  <c:v>11.19</c:v>
                </c:pt>
                <c:pt idx="2">
                  <c:v>11.37</c:v>
                </c:pt>
                <c:pt idx="3">
                  <c:v>7.01</c:v>
                </c:pt>
                <c:pt idx="4">
                  <c:v>9.06</c:v>
                </c:pt>
                <c:pt idx="5">
                  <c:v>9.02</c:v>
                </c:pt>
                <c:pt idx="6">
                  <c:v>11.42</c:v>
                </c:pt>
                <c:pt idx="7">
                  <c:v>8.31</c:v>
                </c:pt>
                <c:pt idx="8">
                  <c:v>8.5299999999999994</c:v>
                </c:pt>
                <c:pt idx="9">
                  <c:v>11.94</c:v>
                </c:pt>
                <c:pt idx="10">
                  <c:v>11.31</c:v>
                </c:pt>
                <c:pt idx="11">
                  <c:v>8.64</c:v>
                </c:pt>
                <c:pt idx="12">
                  <c:v>9.6300000000000008</c:v>
                </c:pt>
                <c:pt idx="13">
                  <c:v>11.7</c:v>
                </c:pt>
                <c:pt idx="14">
                  <c:v>11.64</c:v>
                </c:pt>
                <c:pt idx="15">
                  <c:v>6.55</c:v>
                </c:pt>
                <c:pt idx="16">
                  <c:v>9.99</c:v>
                </c:pt>
                <c:pt idx="17">
                  <c:v>12.43</c:v>
                </c:pt>
                <c:pt idx="18">
                  <c:v>3.25</c:v>
                </c:pt>
                <c:pt idx="19">
                  <c:v>9.23</c:v>
                </c:pt>
                <c:pt idx="20">
                  <c:v>7.84</c:v>
                </c:pt>
                <c:pt idx="21">
                  <c:v>13.02</c:v>
                </c:pt>
                <c:pt idx="22">
                  <c:v>12.42</c:v>
                </c:pt>
                <c:pt idx="23">
                  <c:v>7.16</c:v>
                </c:pt>
                <c:pt idx="24">
                  <c:v>10.92</c:v>
                </c:pt>
                <c:pt idx="25">
                  <c:v>13.4</c:v>
                </c:pt>
                <c:pt idx="26">
                  <c:v>13.2</c:v>
                </c:pt>
                <c:pt idx="27">
                  <c:v>-3.64</c:v>
                </c:pt>
                <c:pt idx="28">
                  <c:v>10.68</c:v>
                </c:pt>
                <c:pt idx="29">
                  <c:v>11.31</c:v>
                </c:pt>
                <c:pt idx="30">
                  <c:v>15.15</c:v>
                </c:pt>
                <c:pt idx="31">
                  <c:v>35.11</c:v>
                </c:pt>
                <c:pt idx="32">
                  <c:v>10.97</c:v>
                </c:pt>
                <c:pt idx="33">
                  <c:v>12.37</c:v>
                </c:pt>
                <c:pt idx="34">
                  <c:v>12.22</c:v>
                </c:pt>
                <c:pt idx="35">
                  <c:v>8.56</c:v>
                </c:pt>
                <c:pt idx="36">
                  <c:v>9.64</c:v>
                </c:pt>
                <c:pt idx="37">
                  <c:v>10.32</c:v>
                </c:pt>
                <c:pt idx="38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E6-644D-9B78-9450C1AD4982}"/>
            </c:ext>
          </c:extLst>
        </c:ser>
        <c:ser>
          <c:idx val="7"/>
          <c:order val="7"/>
          <c:tx>
            <c:strRef>
              <c:f>'5'!$I$1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'5'!$I$2:$I$40</c:f>
              <c:numCache>
                <c:formatCode>General</c:formatCode>
                <c:ptCount val="39"/>
                <c:pt idx="0">
                  <c:v>51.47</c:v>
                </c:pt>
                <c:pt idx="1">
                  <c:v>49.75</c:v>
                </c:pt>
                <c:pt idx="2">
                  <c:v>49.87</c:v>
                </c:pt>
                <c:pt idx="3">
                  <c:v>49.87</c:v>
                </c:pt>
                <c:pt idx="4">
                  <c:v>50.25</c:v>
                </c:pt>
                <c:pt idx="5">
                  <c:v>51.12</c:v>
                </c:pt>
                <c:pt idx="6">
                  <c:v>54.95</c:v>
                </c:pt>
                <c:pt idx="7">
                  <c:v>54.27</c:v>
                </c:pt>
                <c:pt idx="8">
                  <c:v>54.27</c:v>
                </c:pt>
                <c:pt idx="9">
                  <c:v>55.13</c:v>
                </c:pt>
                <c:pt idx="10">
                  <c:v>51.42</c:v>
                </c:pt>
                <c:pt idx="11">
                  <c:v>51.88</c:v>
                </c:pt>
                <c:pt idx="12">
                  <c:v>51.85</c:v>
                </c:pt>
                <c:pt idx="13">
                  <c:v>51.36</c:v>
                </c:pt>
                <c:pt idx="14">
                  <c:v>53.22</c:v>
                </c:pt>
                <c:pt idx="15">
                  <c:v>54.09</c:v>
                </c:pt>
                <c:pt idx="16">
                  <c:v>59.31</c:v>
                </c:pt>
                <c:pt idx="17">
                  <c:v>61.07</c:v>
                </c:pt>
                <c:pt idx="18">
                  <c:v>61.61</c:v>
                </c:pt>
                <c:pt idx="19">
                  <c:v>80.56</c:v>
                </c:pt>
                <c:pt idx="20">
                  <c:v>75.27</c:v>
                </c:pt>
                <c:pt idx="21">
                  <c:v>80.290000000000006</c:v>
                </c:pt>
                <c:pt idx="22">
                  <c:v>63.82</c:v>
                </c:pt>
                <c:pt idx="23">
                  <c:v>63.82</c:v>
                </c:pt>
                <c:pt idx="24">
                  <c:v>67.89</c:v>
                </c:pt>
                <c:pt idx="25">
                  <c:v>65.010000000000005</c:v>
                </c:pt>
                <c:pt idx="26">
                  <c:v>64.75</c:v>
                </c:pt>
                <c:pt idx="27">
                  <c:v>64.36</c:v>
                </c:pt>
                <c:pt idx="28">
                  <c:v>93.71</c:v>
                </c:pt>
                <c:pt idx="29">
                  <c:v>94.43</c:v>
                </c:pt>
                <c:pt idx="30">
                  <c:v>104.13</c:v>
                </c:pt>
                <c:pt idx="31">
                  <c:v>99.57</c:v>
                </c:pt>
                <c:pt idx="32">
                  <c:v>40.86</c:v>
                </c:pt>
                <c:pt idx="33">
                  <c:v>41.97</c:v>
                </c:pt>
                <c:pt idx="34">
                  <c:v>41.48</c:v>
                </c:pt>
                <c:pt idx="35">
                  <c:v>43.03</c:v>
                </c:pt>
                <c:pt idx="36">
                  <c:v>72.930000000000007</c:v>
                </c:pt>
                <c:pt idx="37">
                  <c:v>74.03</c:v>
                </c:pt>
                <c:pt idx="38">
                  <c:v>79.34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E6-644D-9B78-9450C1AD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104"/>
        <c:axId val="77021568"/>
      </c:lineChart>
      <c:catAx>
        <c:axId val="770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1584"/>
        <c:crosses val="autoZero"/>
        <c:auto val="1"/>
        <c:lblAlgn val="ctr"/>
        <c:lblOffset val="100"/>
        <c:tickMarkSkip val="1"/>
        <c:noMultiLvlLbl val="0"/>
      </c:catAx>
      <c:valAx>
        <c:axId val="770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0048"/>
        <c:crosses val="autoZero"/>
        <c:crossBetween val="between"/>
      </c:valAx>
      <c:valAx>
        <c:axId val="77021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023104"/>
        <c:crosses val="max"/>
        <c:crossBetween val="between"/>
      </c:valAx>
      <c:catAx>
        <c:axId val="7702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'5'!$K$2:$K$40</c:f>
              <c:numCache>
                <c:formatCode>General</c:formatCode>
                <c:ptCount val="39"/>
                <c:pt idx="0">
                  <c:v>8.3333333333333412E-2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3.8461538461538491E-2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5.5555555555555393E-2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0.15789473684210542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6.060606060606049E-2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7.1428571428571494E-2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8.0000000000000071E-2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0.14814814814814814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3.2258064516128941E-2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6.2500000000000056E-2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3-6B49-851A-39FB763D5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3312"/>
        <c:axId val="77067392"/>
      </c:lineChart>
      <c:catAx>
        <c:axId val="770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67392"/>
        <c:crosses val="autoZero"/>
        <c:auto val="1"/>
        <c:lblAlgn val="ctr"/>
        <c:lblOffset val="100"/>
        <c:tickMarkSkip val="1"/>
        <c:noMultiLvlLbl val="0"/>
      </c:catAx>
      <c:valAx>
        <c:axId val="770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533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'6'!$B$2:$B$32</c:f>
              <c:numCache>
                <c:formatCode>General</c:formatCode>
                <c:ptCount val="31"/>
                <c:pt idx="0">
                  <c:v>40.78</c:v>
                </c:pt>
                <c:pt idx="1">
                  <c:v>41.34</c:v>
                </c:pt>
                <c:pt idx="2">
                  <c:v>44.73</c:v>
                </c:pt>
                <c:pt idx="3">
                  <c:v>52.81</c:v>
                </c:pt>
                <c:pt idx="4">
                  <c:v>51.4</c:v>
                </c:pt>
                <c:pt idx="5">
                  <c:v>56.44</c:v>
                </c:pt>
                <c:pt idx="6">
                  <c:v>57.76</c:v>
                </c:pt>
                <c:pt idx="7">
                  <c:v>65.44</c:v>
                </c:pt>
                <c:pt idx="8">
                  <c:v>58.54</c:v>
                </c:pt>
                <c:pt idx="9">
                  <c:v>67.19</c:v>
                </c:pt>
                <c:pt idx="10">
                  <c:v>54.41</c:v>
                </c:pt>
                <c:pt idx="11">
                  <c:v>59.24</c:v>
                </c:pt>
                <c:pt idx="12">
                  <c:v>57.12</c:v>
                </c:pt>
                <c:pt idx="13">
                  <c:v>61.91</c:v>
                </c:pt>
                <c:pt idx="14">
                  <c:v>63.07</c:v>
                </c:pt>
                <c:pt idx="15">
                  <c:v>62.62</c:v>
                </c:pt>
                <c:pt idx="16">
                  <c:v>65.16</c:v>
                </c:pt>
                <c:pt idx="17">
                  <c:v>72.510000000000005</c:v>
                </c:pt>
                <c:pt idx="18">
                  <c:v>88.86</c:v>
                </c:pt>
                <c:pt idx="19">
                  <c:v>96.71</c:v>
                </c:pt>
                <c:pt idx="20">
                  <c:v>94.65</c:v>
                </c:pt>
                <c:pt idx="21">
                  <c:v>92.65</c:v>
                </c:pt>
                <c:pt idx="22">
                  <c:v>94.58</c:v>
                </c:pt>
                <c:pt idx="23">
                  <c:v>92.19</c:v>
                </c:pt>
                <c:pt idx="24">
                  <c:v>80.59</c:v>
                </c:pt>
                <c:pt idx="25">
                  <c:v>72.72</c:v>
                </c:pt>
                <c:pt idx="26">
                  <c:v>75.72</c:v>
                </c:pt>
                <c:pt idx="27">
                  <c:v>88.54</c:v>
                </c:pt>
                <c:pt idx="28">
                  <c:v>76.19</c:v>
                </c:pt>
                <c:pt idx="29">
                  <c:v>98.18</c:v>
                </c:pt>
                <c:pt idx="30">
                  <c:v>87.59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CD4E-88B5-920AD26AD541}"/>
            </c:ext>
          </c:extLst>
        </c:ser>
        <c:ser>
          <c:idx val="2"/>
          <c:order val="2"/>
          <c:tx>
            <c:strRef>
              <c:f>'6'!$D$1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'6'!$D$2:$D$32</c:f>
              <c:numCache>
                <c:formatCode>General</c:formatCode>
                <c:ptCount val="31"/>
                <c:pt idx="0">
                  <c:v>4329</c:v>
                </c:pt>
                <c:pt idx="1">
                  <c:v>4692</c:v>
                </c:pt>
                <c:pt idx="2">
                  <c:v>4658</c:v>
                </c:pt>
                <c:pt idx="3">
                  <c:v>5111</c:v>
                </c:pt>
                <c:pt idx="4">
                  <c:v>4563</c:v>
                </c:pt>
                <c:pt idx="5">
                  <c:v>4926</c:v>
                </c:pt>
                <c:pt idx="6">
                  <c:v>5019</c:v>
                </c:pt>
                <c:pt idx="7">
                  <c:v>5452</c:v>
                </c:pt>
                <c:pt idx="8">
                  <c:v>5040</c:v>
                </c:pt>
                <c:pt idx="9">
                  <c:v>5475</c:v>
                </c:pt>
                <c:pt idx="10">
                  <c:v>5944</c:v>
                </c:pt>
                <c:pt idx="11">
                  <c:v>6400</c:v>
                </c:pt>
                <c:pt idx="12">
                  <c:v>5958</c:v>
                </c:pt>
                <c:pt idx="13">
                  <c:v>6452</c:v>
                </c:pt>
                <c:pt idx="14">
                  <c:v>6432</c:v>
                </c:pt>
                <c:pt idx="15">
                  <c:v>6796</c:v>
                </c:pt>
                <c:pt idx="16">
                  <c:v>6538</c:v>
                </c:pt>
                <c:pt idx="17">
                  <c:v>6944</c:v>
                </c:pt>
                <c:pt idx="18">
                  <c:v>6995</c:v>
                </c:pt>
                <c:pt idx="19">
                  <c:v>7739</c:v>
                </c:pt>
                <c:pt idx="20">
                  <c:v>7934</c:v>
                </c:pt>
                <c:pt idx="21">
                  <c:v>8278</c:v>
                </c:pt>
                <c:pt idx="22">
                  <c:v>8236</c:v>
                </c:pt>
                <c:pt idx="23">
                  <c:v>8305</c:v>
                </c:pt>
                <c:pt idx="24">
                  <c:v>7828</c:v>
                </c:pt>
                <c:pt idx="25">
                  <c:v>8255</c:v>
                </c:pt>
                <c:pt idx="26">
                  <c:v>8479</c:v>
                </c:pt>
                <c:pt idx="27">
                  <c:v>8704</c:v>
                </c:pt>
                <c:pt idx="28">
                  <c:v>8619</c:v>
                </c:pt>
                <c:pt idx="29">
                  <c:v>10425</c:v>
                </c:pt>
                <c:pt idx="30">
                  <c:v>12902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CD4E-88B5-920AD26AD541}"/>
            </c:ext>
          </c:extLst>
        </c:ser>
        <c:ser>
          <c:idx val="3"/>
          <c:order val="3"/>
          <c:tx>
            <c:strRef>
              <c:f>'6'!$E$1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'6'!$E$2:$E$32</c:f>
              <c:numCache>
                <c:formatCode>General</c:formatCode>
                <c:ptCount val="31"/>
                <c:pt idx="0">
                  <c:v>1305</c:v>
                </c:pt>
                <c:pt idx="1">
                  <c:v>1453</c:v>
                </c:pt>
                <c:pt idx="2">
                  <c:v>1371</c:v>
                </c:pt>
                <c:pt idx="3">
                  <c:v>1535</c:v>
                </c:pt>
                <c:pt idx="4">
                  <c:v>1351</c:v>
                </c:pt>
                <c:pt idx="5">
                  <c:v>1515</c:v>
                </c:pt>
                <c:pt idx="6">
                  <c:v>960</c:v>
                </c:pt>
                <c:pt idx="7">
                  <c:v>-415</c:v>
                </c:pt>
                <c:pt idx="8">
                  <c:v>1687</c:v>
                </c:pt>
                <c:pt idx="9">
                  <c:v>1852</c:v>
                </c:pt>
                <c:pt idx="10">
                  <c:v>1885</c:v>
                </c:pt>
                <c:pt idx="11">
                  <c:v>2113</c:v>
                </c:pt>
                <c:pt idx="12">
                  <c:v>2278</c:v>
                </c:pt>
                <c:pt idx="13">
                  <c:v>2387</c:v>
                </c:pt>
                <c:pt idx="14">
                  <c:v>2361</c:v>
                </c:pt>
                <c:pt idx="15">
                  <c:v>2358</c:v>
                </c:pt>
                <c:pt idx="16">
                  <c:v>2419</c:v>
                </c:pt>
                <c:pt idx="17">
                  <c:v>2674</c:v>
                </c:pt>
                <c:pt idx="18">
                  <c:v>2705</c:v>
                </c:pt>
                <c:pt idx="19">
                  <c:v>1794</c:v>
                </c:pt>
                <c:pt idx="20">
                  <c:v>2903</c:v>
                </c:pt>
                <c:pt idx="21">
                  <c:v>2762</c:v>
                </c:pt>
                <c:pt idx="22">
                  <c:v>3159</c:v>
                </c:pt>
                <c:pt idx="23">
                  <c:v>-2441</c:v>
                </c:pt>
                <c:pt idx="24">
                  <c:v>3010</c:v>
                </c:pt>
                <c:pt idx="25">
                  <c:v>3400</c:v>
                </c:pt>
                <c:pt idx="26">
                  <c:v>2617</c:v>
                </c:pt>
                <c:pt idx="27">
                  <c:v>3956</c:v>
                </c:pt>
                <c:pt idx="28">
                  <c:v>3603</c:v>
                </c:pt>
                <c:pt idx="29">
                  <c:v>752</c:v>
                </c:pt>
                <c:pt idx="30">
                  <c:v>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F-CD4E-88B5-920AD26AD541}"/>
            </c:ext>
          </c:extLst>
        </c:ser>
        <c:ser>
          <c:idx val="4"/>
          <c:order val="4"/>
          <c:tx>
            <c:strRef>
              <c:f>'6'!$F$1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'6'!$F$2:$F$32</c:f>
              <c:numCache>
                <c:formatCode>General</c:formatCode>
                <c:ptCount val="31"/>
                <c:pt idx="0">
                  <c:v>968</c:v>
                </c:pt>
                <c:pt idx="1">
                  <c:v>1068</c:v>
                </c:pt>
                <c:pt idx="2">
                  <c:v>964</c:v>
                </c:pt>
                <c:pt idx="3">
                  <c:v>1128</c:v>
                </c:pt>
                <c:pt idx="4">
                  <c:v>980</c:v>
                </c:pt>
                <c:pt idx="5">
                  <c:v>1098</c:v>
                </c:pt>
                <c:pt idx="6">
                  <c:v>506</c:v>
                </c:pt>
                <c:pt idx="7">
                  <c:v>-810</c:v>
                </c:pt>
                <c:pt idx="8">
                  <c:v>1022</c:v>
                </c:pt>
                <c:pt idx="9">
                  <c:v>1366</c:v>
                </c:pt>
                <c:pt idx="10">
                  <c:v>1239</c:v>
                </c:pt>
                <c:pt idx="11">
                  <c:v>1517</c:v>
                </c:pt>
                <c:pt idx="12">
                  <c:v>1354</c:v>
                </c:pt>
                <c:pt idx="13">
                  <c:v>1610</c:v>
                </c:pt>
                <c:pt idx="14">
                  <c:v>1598</c:v>
                </c:pt>
                <c:pt idx="15">
                  <c:v>1391</c:v>
                </c:pt>
                <c:pt idx="16">
                  <c:v>1711</c:v>
                </c:pt>
                <c:pt idx="17">
                  <c:v>1915</c:v>
                </c:pt>
                <c:pt idx="18">
                  <c:v>1631</c:v>
                </c:pt>
                <c:pt idx="19">
                  <c:v>52</c:v>
                </c:pt>
                <c:pt idx="20">
                  <c:v>2783</c:v>
                </c:pt>
                <c:pt idx="21">
                  <c:v>1983</c:v>
                </c:pt>
                <c:pt idx="22">
                  <c:v>2747</c:v>
                </c:pt>
                <c:pt idx="23">
                  <c:v>-1826</c:v>
                </c:pt>
                <c:pt idx="24">
                  <c:v>2456</c:v>
                </c:pt>
                <c:pt idx="25">
                  <c:v>741</c:v>
                </c:pt>
                <c:pt idx="26">
                  <c:v>1884</c:v>
                </c:pt>
                <c:pt idx="27">
                  <c:v>2801</c:v>
                </c:pt>
                <c:pt idx="28">
                  <c:v>3010</c:v>
                </c:pt>
                <c:pt idx="29">
                  <c:v>-738</c:v>
                </c:pt>
                <c:pt idx="30">
                  <c:v>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F-CD4E-88B5-920AD26AD541}"/>
            </c:ext>
          </c:extLst>
        </c:ser>
        <c:ser>
          <c:idx val="7"/>
          <c:order val="7"/>
          <c:tx>
            <c:strRef>
              <c:f>'6'!$I$1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'6'!$I$2:$I$32</c:f>
              <c:numCache>
                <c:formatCode>General</c:formatCode>
                <c:ptCount val="31"/>
                <c:pt idx="0">
                  <c:v>0</c:v>
                </c:pt>
                <c:pt idx="1">
                  <c:v>11.82</c:v>
                </c:pt>
                <c:pt idx="2">
                  <c:v>24.58</c:v>
                </c:pt>
                <c:pt idx="3">
                  <c:v>42.05</c:v>
                </c:pt>
                <c:pt idx="4">
                  <c:v>62.5</c:v>
                </c:pt>
                <c:pt idx="5">
                  <c:v>62.26</c:v>
                </c:pt>
                <c:pt idx="6">
                  <c:v>62.79</c:v>
                </c:pt>
                <c:pt idx="7">
                  <c:v>71.3</c:v>
                </c:pt>
                <c:pt idx="8">
                  <c:v>150.91</c:v>
                </c:pt>
                <c:pt idx="9">
                  <c:v>156.25</c:v>
                </c:pt>
                <c:pt idx="10">
                  <c:v>143.75</c:v>
                </c:pt>
                <c:pt idx="11">
                  <c:v>112.87</c:v>
                </c:pt>
                <c:pt idx="12">
                  <c:v>64.540000000000006</c:v>
                </c:pt>
                <c:pt idx="13">
                  <c:v>63.06</c:v>
                </c:pt>
                <c:pt idx="14">
                  <c:v>62.25</c:v>
                </c:pt>
                <c:pt idx="15">
                  <c:v>60</c:v>
                </c:pt>
                <c:pt idx="16">
                  <c:v>62.81</c:v>
                </c:pt>
                <c:pt idx="17">
                  <c:v>60.88</c:v>
                </c:pt>
                <c:pt idx="18">
                  <c:v>59.46</c:v>
                </c:pt>
                <c:pt idx="19">
                  <c:v>60.44</c:v>
                </c:pt>
                <c:pt idx="20">
                  <c:v>77.58</c:v>
                </c:pt>
                <c:pt idx="21">
                  <c:v>66.08</c:v>
                </c:pt>
                <c:pt idx="22">
                  <c:v>73.02</c:v>
                </c:pt>
                <c:pt idx="23">
                  <c:v>67.84</c:v>
                </c:pt>
                <c:pt idx="24">
                  <c:v>98.09</c:v>
                </c:pt>
                <c:pt idx="25">
                  <c:v>110.64</c:v>
                </c:pt>
                <c:pt idx="26">
                  <c:v>144.47999999999999</c:v>
                </c:pt>
                <c:pt idx="27">
                  <c:v>183.7</c:v>
                </c:pt>
                <c:pt idx="28">
                  <c:v>81.06</c:v>
                </c:pt>
                <c:pt idx="29">
                  <c:v>77.7</c:v>
                </c:pt>
                <c:pt idx="30">
                  <c:v>98.47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F-CD4E-88B5-920AD26AD541}"/>
            </c:ext>
          </c:extLst>
        </c:ser>
        <c:ser>
          <c:idx val="8"/>
          <c:order val="8"/>
          <c:tx>
            <c:strRef>
              <c:f>'6'!$J$1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'6'!$J$2:$J$32</c:f>
              <c:numCache>
                <c:formatCode>General</c:formatCode>
                <c:ptCount val="31"/>
                <c:pt idx="0">
                  <c:v>1187</c:v>
                </c:pt>
                <c:pt idx="1">
                  <c:v>2037</c:v>
                </c:pt>
                <c:pt idx="2">
                  <c:v>1798</c:v>
                </c:pt>
                <c:pt idx="3">
                  <c:v>1245</c:v>
                </c:pt>
                <c:pt idx="4">
                  <c:v>624</c:v>
                </c:pt>
                <c:pt idx="5">
                  <c:v>1717</c:v>
                </c:pt>
                <c:pt idx="6">
                  <c:v>1786</c:v>
                </c:pt>
                <c:pt idx="7">
                  <c:v>-578</c:v>
                </c:pt>
                <c:pt idx="8">
                  <c:v>1585</c:v>
                </c:pt>
                <c:pt idx="9">
                  <c:v>1832</c:v>
                </c:pt>
                <c:pt idx="10">
                  <c:v>2155</c:v>
                </c:pt>
                <c:pt idx="11">
                  <c:v>1963</c:v>
                </c:pt>
                <c:pt idx="12">
                  <c:v>2128</c:v>
                </c:pt>
                <c:pt idx="13">
                  <c:v>1918</c:v>
                </c:pt>
                <c:pt idx="14">
                  <c:v>1454</c:v>
                </c:pt>
                <c:pt idx="15">
                  <c:v>1541</c:v>
                </c:pt>
                <c:pt idx="16">
                  <c:v>2102</c:v>
                </c:pt>
                <c:pt idx="17">
                  <c:v>2003</c:v>
                </c:pt>
                <c:pt idx="18">
                  <c:v>3271</c:v>
                </c:pt>
                <c:pt idx="19">
                  <c:v>2584</c:v>
                </c:pt>
                <c:pt idx="20">
                  <c:v>2645</c:v>
                </c:pt>
                <c:pt idx="21">
                  <c:v>2866</c:v>
                </c:pt>
                <c:pt idx="22">
                  <c:v>4524</c:v>
                </c:pt>
                <c:pt idx="23">
                  <c:v>3392</c:v>
                </c:pt>
                <c:pt idx="24">
                  <c:v>3017</c:v>
                </c:pt>
                <c:pt idx="25">
                  <c:v>2477</c:v>
                </c:pt>
                <c:pt idx="26">
                  <c:v>4555</c:v>
                </c:pt>
                <c:pt idx="27">
                  <c:v>3275</c:v>
                </c:pt>
                <c:pt idx="28">
                  <c:v>3815</c:v>
                </c:pt>
                <c:pt idx="29">
                  <c:v>3089</c:v>
                </c:pt>
                <c:pt idx="30">
                  <c:v>5830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536"/>
        <c:axId val="77363072"/>
      </c:lineChart>
      <c:lineChart>
        <c:grouping val="standard"/>
        <c:varyColors val="0"/>
        <c:ser>
          <c:idx val="1"/>
          <c:order val="1"/>
          <c:tx>
            <c:strRef>
              <c:f>'6'!$C$1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'6'!$C$2:$C$32</c:f>
              <c:numCache>
                <c:formatCode>General</c:formatCode>
                <c:ptCount val="3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0.71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1.18</c:v>
                </c:pt>
                <c:pt idx="29">
                  <c:v>1.18</c:v>
                </c:pt>
                <c:pt idx="30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F-CD4E-88B5-920AD26AD541}"/>
            </c:ext>
          </c:extLst>
        </c:ser>
        <c:ser>
          <c:idx val="5"/>
          <c:order val="5"/>
          <c:tx>
            <c:strRef>
              <c:f>'6'!$G$1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'6'!$G$2:$G$32</c:f>
              <c:numCache>
                <c:formatCode>General</c:formatCode>
                <c:ptCount val="31"/>
                <c:pt idx="0">
                  <c:v>30.15</c:v>
                </c:pt>
                <c:pt idx="1">
                  <c:v>30.97</c:v>
                </c:pt>
                <c:pt idx="2">
                  <c:v>29.43</c:v>
                </c:pt>
                <c:pt idx="3">
                  <c:v>30.03</c:v>
                </c:pt>
                <c:pt idx="4">
                  <c:v>29.61</c:v>
                </c:pt>
                <c:pt idx="5">
                  <c:v>30.76</c:v>
                </c:pt>
                <c:pt idx="6">
                  <c:v>19.13</c:v>
                </c:pt>
                <c:pt idx="7">
                  <c:v>-7.61</c:v>
                </c:pt>
                <c:pt idx="8">
                  <c:v>33.47</c:v>
                </c:pt>
                <c:pt idx="9">
                  <c:v>33.83</c:v>
                </c:pt>
                <c:pt idx="10">
                  <c:v>31.71</c:v>
                </c:pt>
                <c:pt idx="11">
                  <c:v>33.020000000000003</c:v>
                </c:pt>
                <c:pt idx="12">
                  <c:v>38.229999999999997</c:v>
                </c:pt>
                <c:pt idx="13">
                  <c:v>37</c:v>
                </c:pt>
                <c:pt idx="14">
                  <c:v>36.71</c:v>
                </c:pt>
                <c:pt idx="15">
                  <c:v>34.700000000000003</c:v>
                </c:pt>
                <c:pt idx="16">
                  <c:v>37</c:v>
                </c:pt>
                <c:pt idx="17">
                  <c:v>38.51</c:v>
                </c:pt>
                <c:pt idx="18">
                  <c:v>38.67</c:v>
                </c:pt>
                <c:pt idx="19">
                  <c:v>23.18</c:v>
                </c:pt>
                <c:pt idx="20">
                  <c:v>36.590000000000003</c:v>
                </c:pt>
                <c:pt idx="21">
                  <c:v>33.369999999999997</c:v>
                </c:pt>
                <c:pt idx="22">
                  <c:v>38.36</c:v>
                </c:pt>
                <c:pt idx="23">
                  <c:v>-29.39</c:v>
                </c:pt>
                <c:pt idx="24">
                  <c:v>38.450000000000003</c:v>
                </c:pt>
                <c:pt idx="25">
                  <c:v>41.19</c:v>
                </c:pt>
                <c:pt idx="26">
                  <c:v>30.86</c:v>
                </c:pt>
                <c:pt idx="27">
                  <c:v>45.45</c:v>
                </c:pt>
                <c:pt idx="28">
                  <c:v>41.8</c:v>
                </c:pt>
                <c:pt idx="29">
                  <c:v>7.21</c:v>
                </c:pt>
                <c:pt idx="30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DF-CD4E-88B5-920AD26AD541}"/>
            </c:ext>
          </c:extLst>
        </c:ser>
        <c:ser>
          <c:idx val="6"/>
          <c:order val="6"/>
          <c:tx>
            <c:strRef>
              <c:f>'6'!$H$1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'6'!$A$2:$A$32</c:f>
              <c:strCache>
                <c:ptCount val="31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  <c:pt idx="30">
                  <c:v>2020/09/01</c:v>
                </c:pt>
              </c:strCache>
            </c:strRef>
          </c:cat>
          <c:val>
            <c:numRef>
              <c:f>'6'!$H$2:$H$32</c:f>
              <c:numCache>
                <c:formatCode>General</c:formatCode>
                <c:ptCount val="31"/>
                <c:pt idx="0">
                  <c:v>22.36</c:v>
                </c:pt>
                <c:pt idx="1">
                  <c:v>22.76</c:v>
                </c:pt>
                <c:pt idx="2">
                  <c:v>20.7</c:v>
                </c:pt>
                <c:pt idx="3">
                  <c:v>22.07</c:v>
                </c:pt>
                <c:pt idx="4">
                  <c:v>21.48</c:v>
                </c:pt>
                <c:pt idx="5">
                  <c:v>22.29</c:v>
                </c:pt>
                <c:pt idx="6">
                  <c:v>10.08</c:v>
                </c:pt>
                <c:pt idx="7">
                  <c:v>-14.86</c:v>
                </c:pt>
                <c:pt idx="8">
                  <c:v>20.28</c:v>
                </c:pt>
                <c:pt idx="9">
                  <c:v>24.95</c:v>
                </c:pt>
                <c:pt idx="10">
                  <c:v>20.84</c:v>
                </c:pt>
                <c:pt idx="11">
                  <c:v>23.7</c:v>
                </c:pt>
                <c:pt idx="12">
                  <c:v>22.73</c:v>
                </c:pt>
                <c:pt idx="13">
                  <c:v>24.95</c:v>
                </c:pt>
                <c:pt idx="14">
                  <c:v>24.72</c:v>
                </c:pt>
                <c:pt idx="15">
                  <c:v>20.36</c:v>
                </c:pt>
                <c:pt idx="16">
                  <c:v>26.03</c:v>
                </c:pt>
                <c:pt idx="17">
                  <c:v>27.45</c:v>
                </c:pt>
                <c:pt idx="18">
                  <c:v>23.2</c:v>
                </c:pt>
                <c:pt idx="19">
                  <c:v>0.67</c:v>
                </c:pt>
                <c:pt idx="20">
                  <c:v>34.93</c:v>
                </c:pt>
                <c:pt idx="21">
                  <c:v>23.83</c:v>
                </c:pt>
                <c:pt idx="22">
                  <c:v>33.21</c:v>
                </c:pt>
                <c:pt idx="23">
                  <c:v>-21.94</c:v>
                </c:pt>
                <c:pt idx="24">
                  <c:v>31.22</c:v>
                </c:pt>
                <c:pt idx="25">
                  <c:v>8.8800000000000008</c:v>
                </c:pt>
                <c:pt idx="26">
                  <c:v>22.1</c:v>
                </c:pt>
                <c:pt idx="27">
                  <c:v>32.03</c:v>
                </c:pt>
                <c:pt idx="28">
                  <c:v>34.76</c:v>
                </c:pt>
                <c:pt idx="29">
                  <c:v>-7.25</c:v>
                </c:pt>
                <c:pt idx="30">
                  <c:v>17.760000000000002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DF-CD4E-88B5-920AD26A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8688"/>
        <c:axId val="77364608"/>
      </c:lineChart>
      <c:catAx>
        <c:axId val="773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63072"/>
        <c:crosses val="autoZero"/>
        <c:auto val="1"/>
        <c:lblAlgn val="ctr"/>
        <c:lblOffset val="100"/>
        <c:tickMarkSkip val="1"/>
        <c:noMultiLvlLbl val="0"/>
      </c:catAx>
      <c:valAx>
        <c:axId val="7736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61536"/>
        <c:crosses val="autoZero"/>
        <c:crossBetween val="between"/>
      </c:valAx>
      <c:valAx>
        <c:axId val="77364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378688"/>
        <c:crosses val="max"/>
        <c:crossBetween val="between"/>
      </c:valAx>
      <c:catAx>
        <c:axId val="7737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64608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'6'!$K$1</c:f>
              <c:strCache>
                <c:ptCount val="1"/>
                <c:pt idx="0">
                  <c:v>배당금성장률</c:v>
                </c:pt>
              </c:strCache>
            </c:strRef>
          </c:tx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cat>
            <c:strRef>
              <c:f>'6'!$A$2:$A$31</c:f>
              <c:strCache>
                <c:ptCount val="30"/>
                <c:pt idx="0">
                  <c:v>2013/03/01</c:v>
                </c:pt>
                <c:pt idx="1">
                  <c:v>2013/06/03</c:v>
                </c:pt>
                <c:pt idx="2">
                  <c:v>2013/09/03</c:v>
                </c:pt>
                <c:pt idx="3">
                  <c:v>2013/12/02</c:v>
                </c:pt>
                <c:pt idx="4">
                  <c:v>2014/03/03</c:v>
                </c:pt>
                <c:pt idx="5">
                  <c:v>2014/06/02</c:v>
                </c:pt>
                <c:pt idx="6">
                  <c:v>2014/09/02</c:v>
                </c:pt>
                <c:pt idx="7">
                  <c:v>2014/12/01</c:v>
                </c:pt>
                <c:pt idx="8">
                  <c:v>2015/03/02</c:v>
                </c:pt>
                <c:pt idx="9">
                  <c:v>2015/06/01</c:v>
                </c:pt>
                <c:pt idx="10">
                  <c:v>2015/09/01</c:v>
                </c:pt>
                <c:pt idx="11">
                  <c:v>2015/12/01</c:v>
                </c:pt>
                <c:pt idx="12">
                  <c:v>2016/03/01</c:v>
                </c:pt>
                <c:pt idx="13">
                  <c:v>2016/06/01</c:v>
                </c:pt>
                <c:pt idx="14">
                  <c:v>2016/09/01</c:v>
                </c:pt>
                <c:pt idx="15">
                  <c:v>2016/12/01</c:v>
                </c:pt>
                <c:pt idx="16">
                  <c:v>2017/03/01</c:v>
                </c:pt>
                <c:pt idx="17">
                  <c:v>2017/06/01</c:v>
                </c:pt>
                <c:pt idx="18">
                  <c:v>2017/09/01</c:v>
                </c:pt>
                <c:pt idx="19">
                  <c:v>2017/12/01</c:v>
                </c:pt>
                <c:pt idx="20">
                  <c:v>2018/03/01</c:v>
                </c:pt>
                <c:pt idx="21">
                  <c:v>2018/06/01</c:v>
                </c:pt>
                <c:pt idx="22">
                  <c:v>2018/09/04</c:v>
                </c:pt>
                <c:pt idx="23">
                  <c:v>2018/12/03</c:v>
                </c:pt>
                <c:pt idx="24">
                  <c:v>2019/03/01</c:v>
                </c:pt>
                <c:pt idx="25">
                  <c:v>2019/06/03</c:v>
                </c:pt>
                <c:pt idx="26">
                  <c:v>2019/09/03</c:v>
                </c:pt>
                <c:pt idx="27">
                  <c:v>2019/12/02</c:v>
                </c:pt>
                <c:pt idx="28">
                  <c:v>2020/03/02</c:v>
                </c:pt>
                <c:pt idx="29">
                  <c:v>2020/06/01</c:v>
                </c:pt>
              </c:strCache>
            </c:strRef>
          </c:cat>
          <c:val>
            <c:numRef>
              <c:f>'6'!$K$2:$K$31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4.9999999999999906E-2</c:v>
                </c:pt>
                <c:pt idx="5">
                  <c:v>0</c:v>
                </c:pt>
                <c:pt idx="6">
                  <c:v>0</c:v>
                </c:pt>
                <c:pt idx="7">
                  <c:v>0.16666666666666669</c:v>
                </c:pt>
                <c:pt idx="8">
                  <c:v>4.0816326530612283E-2</c:v>
                </c:pt>
                <c:pt idx="9">
                  <c:v>0</c:v>
                </c:pt>
                <c:pt idx="10">
                  <c:v>0</c:v>
                </c:pt>
                <c:pt idx="11">
                  <c:v>0.1176470588235293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0.12280701754385977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0.10937499999999992</c:v>
                </c:pt>
                <c:pt idx="20">
                  <c:v>0.35211267605633806</c:v>
                </c:pt>
                <c:pt idx="21">
                  <c:v>0</c:v>
                </c:pt>
                <c:pt idx="22">
                  <c:v>0</c:v>
                </c:pt>
                <c:pt idx="23">
                  <c:v>0.11458333333333344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0.10280373831775688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CB43-A9AB-C63740F23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5088"/>
        <c:axId val="77546624"/>
      </c:lineChart>
      <c:catAx>
        <c:axId val="773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46624"/>
        <c:crosses val="autoZero"/>
        <c:auto val="1"/>
        <c:lblAlgn val="ctr"/>
        <c:lblOffset val="100"/>
        <c:tickMarkSkip val="1"/>
        <c:noMultiLvlLbl val="0"/>
      </c:catAx>
      <c:valAx>
        <c:axId val="77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850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'7'!$B$2:$B$40</c:f>
              <c:numCache>
                <c:formatCode>General</c:formatCode>
                <c:ptCount val="39"/>
                <c:pt idx="0">
                  <c:v>50.72</c:v>
                </c:pt>
                <c:pt idx="1">
                  <c:v>53.24</c:v>
                </c:pt>
                <c:pt idx="2">
                  <c:v>57.02</c:v>
                </c:pt>
                <c:pt idx="3">
                  <c:v>62.03</c:v>
                </c:pt>
                <c:pt idx="4">
                  <c:v>58.42</c:v>
                </c:pt>
                <c:pt idx="5">
                  <c:v>62.19</c:v>
                </c:pt>
                <c:pt idx="6">
                  <c:v>59.89</c:v>
                </c:pt>
                <c:pt idx="7">
                  <c:v>55.54</c:v>
                </c:pt>
                <c:pt idx="8">
                  <c:v>61.03</c:v>
                </c:pt>
                <c:pt idx="9">
                  <c:v>58.31</c:v>
                </c:pt>
                <c:pt idx="10">
                  <c:v>55.14</c:v>
                </c:pt>
                <c:pt idx="11">
                  <c:v>55.28</c:v>
                </c:pt>
                <c:pt idx="12">
                  <c:v>53.65</c:v>
                </c:pt>
                <c:pt idx="13">
                  <c:v>57.74</c:v>
                </c:pt>
                <c:pt idx="14">
                  <c:v>56.66</c:v>
                </c:pt>
                <c:pt idx="15">
                  <c:v>66.010000000000005</c:v>
                </c:pt>
                <c:pt idx="16">
                  <c:v>61</c:v>
                </c:pt>
                <c:pt idx="17">
                  <c:v>57.88</c:v>
                </c:pt>
                <c:pt idx="18">
                  <c:v>66.849999999999994</c:v>
                </c:pt>
                <c:pt idx="19">
                  <c:v>64.27</c:v>
                </c:pt>
                <c:pt idx="20">
                  <c:v>76.62</c:v>
                </c:pt>
                <c:pt idx="21">
                  <c:v>80.44</c:v>
                </c:pt>
                <c:pt idx="22">
                  <c:v>75.3</c:v>
                </c:pt>
                <c:pt idx="23">
                  <c:v>73.680000000000007</c:v>
                </c:pt>
                <c:pt idx="24">
                  <c:v>77.66</c:v>
                </c:pt>
                <c:pt idx="25">
                  <c:v>80.819999999999993</c:v>
                </c:pt>
                <c:pt idx="26">
                  <c:v>80.680000000000007</c:v>
                </c:pt>
                <c:pt idx="27">
                  <c:v>84.95</c:v>
                </c:pt>
                <c:pt idx="28">
                  <c:v>77.94</c:v>
                </c:pt>
                <c:pt idx="29">
                  <c:v>77.98</c:v>
                </c:pt>
                <c:pt idx="30">
                  <c:v>76.19</c:v>
                </c:pt>
                <c:pt idx="31">
                  <c:v>76.459999999999994</c:v>
                </c:pt>
                <c:pt idx="32">
                  <c:v>84.81</c:v>
                </c:pt>
                <c:pt idx="33">
                  <c:v>87.68</c:v>
                </c:pt>
                <c:pt idx="34">
                  <c:v>94.47</c:v>
                </c:pt>
                <c:pt idx="35">
                  <c:v>90.47</c:v>
                </c:pt>
                <c:pt idx="36">
                  <c:v>78</c:v>
                </c:pt>
                <c:pt idx="37">
                  <c:v>71.930000000000007</c:v>
                </c:pt>
                <c:pt idx="38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142-B6BA-74D8B03994ED}"/>
            </c:ext>
          </c:extLst>
        </c:ser>
        <c:ser>
          <c:idx val="2"/>
          <c:order val="2"/>
          <c:tx>
            <c:strRef>
              <c:f>'7'!$D$1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'7'!$D$2:$D$40</c:f>
              <c:numCache>
                <c:formatCode>General</c:formatCode>
                <c:ptCount val="39"/>
                <c:pt idx="0">
                  <c:v>3349</c:v>
                </c:pt>
                <c:pt idx="1">
                  <c:v>2993</c:v>
                </c:pt>
                <c:pt idx="2">
                  <c:v>3629</c:v>
                </c:pt>
                <c:pt idx="3">
                  <c:v>2966</c:v>
                </c:pt>
                <c:pt idx="4">
                  <c:v>3078</c:v>
                </c:pt>
                <c:pt idx="5">
                  <c:v>2771</c:v>
                </c:pt>
                <c:pt idx="6">
                  <c:v>3438</c:v>
                </c:pt>
                <c:pt idx="7">
                  <c:v>2901</c:v>
                </c:pt>
                <c:pt idx="8">
                  <c:v>3184</c:v>
                </c:pt>
                <c:pt idx="9">
                  <c:v>2818</c:v>
                </c:pt>
                <c:pt idx="10">
                  <c:v>3484</c:v>
                </c:pt>
                <c:pt idx="11">
                  <c:v>2867</c:v>
                </c:pt>
                <c:pt idx="12">
                  <c:v>3789</c:v>
                </c:pt>
                <c:pt idx="13">
                  <c:v>2911</c:v>
                </c:pt>
                <c:pt idx="14">
                  <c:v>3390</c:v>
                </c:pt>
                <c:pt idx="15">
                  <c:v>2828</c:v>
                </c:pt>
                <c:pt idx="16">
                  <c:v>3616</c:v>
                </c:pt>
                <c:pt idx="17">
                  <c:v>2788</c:v>
                </c:pt>
                <c:pt idx="18">
                  <c:v>3443</c:v>
                </c:pt>
                <c:pt idx="19">
                  <c:v>2707</c:v>
                </c:pt>
                <c:pt idx="20">
                  <c:v>3156</c:v>
                </c:pt>
                <c:pt idx="21">
                  <c:v>2794</c:v>
                </c:pt>
                <c:pt idx="22">
                  <c:v>3417</c:v>
                </c:pt>
                <c:pt idx="23">
                  <c:v>2707</c:v>
                </c:pt>
                <c:pt idx="24">
                  <c:v>3228</c:v>
                </c:pt>
                <c:pt idx="25">
                  <c:v>2633</c:v>
                </c:pt>
                <c:pt idx="26">
                  <c:v>3211</c:v>
                </c:pt>
                <c:pt idx="27">
                  <c:v>2961</c:v>
                </c:pt>
                <c:pt idx="28">
                  <c:v>3364</c:v>
                </c:pt>
                <c:pt idx="29">
                  <c:v>2696</c:v>
                </c:pt>
                <c:pt idx="30">
                  <c:v>3328</c:v>
                </c:pt>
                <c:pt idx="31">
                  <c:v>2949</c:v>
                </c:pt>
                <c:pt idx="32">
                  <c:v>3514</c:v>
                </c:pt>
                <c:pt idx="33">
                  <c:v>2331</c:v>
                </c:pt>
                <c:pt idx="34">
                  <c:v>3365</c:v>
                </c:pt>
                <c:pt idx="35">
                  <c:v>2951</c:v>
                </c:pt>
                <c:pt idx="36">
                  <c:v>3234</c:v>
                </c:pt>
                <c:pt idx="37">
                  <c:v>2719</c:v>
                </c:pt>
                <c:pt idx="38">
                  <c:v>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142-B6BA-74D8B03994ED}"/>
            </c:ext>
          </c:extLst>
        </c:ser>
        <c:ser>
          <c:idx val="3"/>
          <c:order val="3"/>
          <c:tx>
            <c:strRef>
              <c:f>'7'!$E$1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'7'!$E$2:$E$40</c:f>
              <c:numCache>
                <c:formatCode>General</c:formatCode>
                <c:ptCount val="39"/>
                <c:pt idx="0">
                  <c:v>626</c:v>
                </c:pt>
                <c:pt idx="1">
                  <c:v>398</c:v>
                </c:pt>
                <c:pt idx="2">
                  <c:v>756</c:v>
                </c:pt>
                <c:pt idx="3">
                  <c:v>458</c:v>
                </c:pt>
                <c:pt idx="4">
                  <c:v>561</c:v>
                </c:pt>
                <c:pt idx="5">
                  <c:v>475</c:v>
                </c:pt>
                <c:pt idx="6">
                  <c:v>851</c:v>
                </c:pt>
                <c:pt idx="7">
                  <c:v>453</c:v>
                </c:pt>
                <c:pt idx="8">
                  <c:v>526</c:v>
                </c:pt>
                <c:pt idx="9">
                  <c:v>386</c:v>
                </c:pt>
                <c:pt idx="10">
                  <c:v>855</c:v>
                </c:pt>
                <c:pt idx="11">
                  <c:v>477</c:v>
                </c:pt>
                <c:pt idx="12">
                  <c:v>685</c:v>
                </c:pt>
                <c:pt idx="13">
                  <c:v>410</c:v>
                </c:pt>
                <c:pt idx="14">
                  <c:v>819</c:v>
                </c:pt>
                <c:pt idx="15">
                  <c:v>250</c:v>
                </c:pt>
                <c:pt idx="16">
                  <c:v>726</c:v>
                </c:pt>
                <c:pt idx="17">
                  <c:v>472</c:v>
                </c:pt>
                <c:pt idx="18">
                  <c:v>830</c:v>
                </c:pt>
                <c:pt idx="19">
                  <c:v>399</c:v>
                </c:pt>
                <c:pt idx="20">
                  <c:v>642</c:v>
                </c:pt>
                <c:pt idx="21">
                  <c:v>515</c:v>
                </c:pt>
                <c:pt idx="22">
                  <c:v>836</c:v>
                </c:pt>
                <c:pt idx="23">
                  <c:v>478</c:v>
                </c:pt>
                <c:pt idx="24">
                  <c:v>771</c:v>
                </c:pt>
                <c:pt idx="25">
                  <c:v>422</c:v>
                </c:pt>
                <c:pt idx="26">
                  <c:v>873</c:v>
                </c:pt>
                <c:pt idx="27">
                  <c:v>544</c:v>
                </c:pt>
                <c:pt idx="28">
                  <c:v>755</c:v>
                </c:pt>
                <c:pt idx="29">
                  <c:v>426</c:v>
                </c:pt>
                <c:pt idx="30">
                  <c:v>826</c:v>
                </c:pt>
                <c:pt idx="31">
                  <c:v>526</c:v>
                </c:pt>
                <c:pt idx="32">
                  <c:v>786</c:v>
                </c:pt>
                <c:pt idx="33">
                  <c:v>376</c:v>
                </c:pt>
                <c:pt idx="34">
                  <c:v>867</c:v>
                </c:pt>
                <c:pt idx="35">
                  <c:v>565</c:v>
                </c:pt>
                <c:pt idx="36">
                  <c:v>808</c:v>
                </c:pt>
                <c:pt idx="37">
                  <c:v>479</c:v>
                </c:pt>
                <c:pt idx="38">
                  <c:v>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6-4142-B6BA-74D8B03994ED}"/>
            </c:ext>
          </c:extLst>
        </c:ser>
        <c:ser>
          <c:idx val="4"/>
          <c:order val="4"/>
          <c:tx>
            <c:strRef>
              <c:f>'7'!$F$1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'7'!$F$2:$F$40</c:f>
              <c:numCache>
                <c:formatCode>General</c:formatCode>
                <c:ptCount val="39"/>
                <c:pt idx="0">
                  <c:v>314</c:v>
                </c:pt>
                <c:pt idx="1">
                  <c:v>168</c:v>
                </c:pt>
                <c:pt idx="2">
                  <c:v>386</c:v>
                </c:pt>
                <c:pt idx="3">
                  <c:v>193</c:v>
                </c:pt>
                <c:pt idx="4">
                  <c:v>280</c:v>
                </c:pt>
                <c:pt idx="5">
                  <c:v>214</c:v>
                </c:pt>
                <c:pt idx="6">
                  <c:v>440</c:v>
                </c:pt>
                <c:pt idx="7">
                  <c:v>207</c:v>
                </c:pt>
                <c:pt idx="8">
                  <c:v>192</c:v>
                </c:pt>
                <c:pt idx="9">
                  <c:v>172</c:v>
                </c:pt>
                <c:pt idx="10">
                  <c:v>464</c:v>
                </c:pt>
                <c:pt idx="11">
                  <c:v>234</c:v>
                </c:pt>
                <c:pt idx="12">
                  <c:v>361</c:v>
                </c:pt>
                <c:pt idx="13">
                  <c:v>212</c:v>
                </c:pt>
                <c:pt idx="14">
                  <c:v>436</c:v>
                </c:pt>
                <c:pt idx="15">
                  <c:v>82</c:v>
                </c:pt>
                <c:pt idx="16">
                  <c:v>370</c:v>
                </c:pt>
                <c:pt idx="17">
                  <c:v>219</c:v>
                </c:pt>
                <c:pt idx="18">
                  <c:v>428</c:v>
                </c:pt>
                <c:pt idx="19">
                  <c:v>176</c:v>
                </c:pt>
                <c:pt idx="20">
                  <c:v>310</c:v>
                </c:pt>
                <c:pt idx="21">
                  <c:v>232</c:v>
                </c:pt>
                <c:pt idx="22">
                  <c:v>497</c:v>
                </c:pt>
                <c:pt idx="23">
                  <c:v>206</c:v>
                </c:pt>
                <c:pt idx="24">
                  <c:v>388</c:v>
                </c:pt>
                <c:pt idx="25">
                  <c:v>175</c:v>
                </c:pt>
                <c:pt idx="26">
                  <c:v>457</c:v>
                </c:pt>
                <c:pt idx="27">
                  <c:v>505</c:v>
                </c:pt>
                <c:pt idx="28">
                  <c:v>428</c:v>
                </c:pt>
                <c:pt idx="29">
                  <c:v>188</c:v>
                </c:pt>
                <c:pt idx="30">
                  <c:v>435</c:v>
                </c:pt>
                <c:pt idx="31">
                  <c:v>331</c:v>
                </c:pt>
                <c:pt idx="32">
                  <c:v>424</c:v>
                </c:pt>
                <c:pt idx="33">
                  <c:v>152</c:v>
                </c:pt>
                <c:pt idx="34">
                  <c:v>473</c:v>
                </c:pt>
                <c:pt idx="35">
                  <c:v>295</c:v>
                </c:pt>
                <c:pt idx="36">
                  <c:v>375</c:v>
                </c:pt>
                <c:pt idx="37">
                  <c:v>190</c:v>
                </c:pt>
                <c:pt idx="38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E6-4142-B6BA-74D8B03994ED}"/>
            </c:ext>
          </c:extLst>
        </c:ser>
        <c:ser>
          <c:idx val="7"/>
          <c:order val="7"/>
          <c:tx>
            <c:strRef>
              <c:f>'7'!$I$1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'7'!$I$2:$I$40</c:f>
              <c:numCache>
                <c:formatCode>General</c:formatCode>
                <c:ptCount val="39"/>
                <c:pt idx="0">
                  <c:v>63.94</c:v>
                </c:pt>
                <c:pt idx="1">
                  <c:v>65.48</c:v>
                </c:pt>
                <c:pt idx="2">
                  <c:v>64.56</c:v>
                </c:pt>
                <c:pt idx="3">
                  <c:v>64.56</c:v>
                </c:pt>
                <c:pt idx="4">
                  <c:v>67.23</c:v>
                </c:pt>
                <c:pt idx="5">
                  <c:v>69.709999999999994</c:v>
                </c:pt>
                <c:pt idx="6">
                  <c:v>66.569999999999993</c:v>
                </c:pt>
                <c:pt idx="7">
                  <c:v>62.69</c:v>
                </c:pt>
                <c:pt idx="8">
                  <c:v>62.69</c:v>
                </c:pt>
                <c:pt idx="9">
                  <c:v>68.069999999999993</c:v>
                </c:pt>
                <c:pt idx="10">
                  <c:v>71.14</c:v>
                </c:pt>
                <c:pt idx="11">
                  <c:v>69.8</c:v>
                </c:pt>
                <c:pt idx="12">
                  <c:v>68.14</c:v>
                </c:pt>
                <c:pt idx="13">
                  <c:v>59.07</c:v>
                </c:pt>
                <c:pt idx="14">
                  <c:v>57.64</c:v>
                </c:pt>
                <c:pt idx="15">
                  <c:v>59.08</c:v>
                </c:pt>
                <c:pt idx="16">
                  <c:v>67.92</c:v>
                </c:pt>
                <c:pt idx="17">
                  <c:v>67.91</c:v>
                </c:pt>
                <c:pt idx="18">
                  <c:v>67.900000000000006</c:v>
                </c:pt>
                <c:pt idx="19">
                  <c:v>69.17</c:v>
                </c:pt>
                <c:pt idx="20">
                  <c:v>64.2</c:v>
                </c:pt>
                <c:pt idx="21">
                  <c:v>68.23</c:v>
                </c:pt>
                <c:pt idx="22">
                  <c:v>68.39</c:v>
                </c:pt>
                <c:pt idx="23">
                  <c:v>65.680000000000007</c:v>
                </c:pt>
                <c:pt idx="24">
                  <c:v>65.05</c:v>
                </c:pt>
                <c:pt idx="25">
                  <c:v>62.21</c:v>
                </c:pt>
                <c:pt idx="26">
                  <c:v>65.7</c:v>
                </c:pt>
                <c:pt idx="27">
                  <c:v>69.02</c:v>
                </c:pt>
                <c:pt idx="28">
                  <c:v>55.87</c:v>
                </c:pt>
                <c:pt idx="29">
                  <c:v>55.26</c:v>
                </c:pt>
                <c:pt idx="30">
                  <c:v>55.31</c:v>
                </c:pt>
                <c:pt idx="31">
                  <c:v>56.7</c:v>
                </c:pt>
                <c:pt idx="32">
                  <c:v>64.709999999999994</c:v>
                </c:pt>
                <c:pt idx="33">
                  <c:v>66.17</c:v>
                </c:pt>
                <c:pt idx="34">
                  <c:v>69.12</c:v>
                </c:pt>
                <c:pt idx="35">
                  <c:v>69.22</c:v>
                </c:pt>
                <c:pt idx="36">
                  <c:v>72.55</c:v>
                </c:pt>
                <c:pt idx="37">
                  <c:v>76.739999999999995</c:v>
                </c:pt>
                <c:pt idx="38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E6-4142-B6BA-74D8B03994ED}"/>
            </c:ext>
          </c:extLst>
        </c:ser>
        <c:ser>
          <c:idx val="8"/>
          <c:order val="8"/>
          <c:tx>
            <c:strRef>
              <c:f>'7'!$J$1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'7'!$J$2:$J$40</c:f>
              <c:numCache>
                <c:formatCode>General</c:formatCode>
                <c:ptCount val="39"/>
                <c:pt idx="0">
                  <c:v>362</c:v>
                </c:pt>
                <c:pt idx="1">
                  <c:v>1227</c:v>
                </c:pt>
                <c:pt idx="2">
                  <c:v>572</c:v>
                </c:pt>
                <c:pt idx="3">
                  <c:v>976</c:v>
                </c:pt>
                <c:pt idx="4">
                  <c:v>402</c:v>
                </c:pt>
                <c:pt idx="5">
                  <c:v>845</c:v>
                </c:pt>
                <c:pt idx="6">
                  <c:v>391</c:v>
                </c:pt>
                <c:pt idx="7">
                  <c:v>961</c:v>
                </c:pt>
                <c:pt idx="8">
                  <c:v>-84</c:v>
                </c:pt>
                <c:pt idx="9">
                  <c:v>1057</c:v>
                </c:pt>
                <c:pt idx="10">
                  <c:v>265</c:v>
                </c:pt>
                <c:pt idx="11">
                  <c:v>1314</c:v>
                </c:pt>
                <c:pt idx="12">
                  <c:v>224</c:v>
                </c:pt>
                <c:pt idx="13">
                  <c:v>1033</c:v>
                </c:pt>
                <c:pt idx="14">
                  <c:v>494</c:v>
                </c:pt>
                <c:pt idx="15">
                  <c:v>1080</c:v>
                </c:pt>
                <c:pt idx="16">
                  <c:v>559</c:v>
                </c:pt>
                <c:pt idx="17">
                  <c:v>927</c:v>
                </c:pt>
                <c:pt idx="18">
                  <c:v>713</c:v>
                </c:pt>
                <c:pt idx="19">
                  <c:v>1078</c:v>
                </c:pt>
                <c:pt idx="20">
                  <c:v>524</c:v>
                </c:pt>
                <c:pt idx="21">
                  <c:v>1107</c:v>
                </c:pt>
                <c:pt idx="22">
                  <c:v>705</c:v>
                </c:pt>
                <c:pt idx="23">
                  <c:v>1123</c:v>
                </c:pt>
                <c:pt idx="24">
                  <c:v>448</c:v>
                </c:pt>
                <c:pt idx="25">
                  <c:v>1126</c:v>
                </c:pt>
                <c:pt idx="26">
                  <c:v>653</c:v>
                </c:pt>
                <c:pt idx="27">
                  <c:v>1140</c:v>
                </c:pt>
                <c:pt idx="28">
                  <c:v>143</c:v>
                </c:pt>
                <c:pt idx="29">
                  <c:v>897</c:v>
                </c:pt>
                <c:pt idx="30">
                  <c:v>560</c:v>
                </c:pt>
                <c:pt idx="31">
                  <c:v>1095</c:v>
                </c:pt>
                <c:pt idx="32">
                  <c:v>464</c:v>
                </c:pt>
                <c:pt idx="33">
                  <c:v>1074</c:v>
                </c:pt>
                <c:pt idx="34">
                  <c:v>422</c:v>
                </c:pt>
                <c:pt idx="35">
                  <c:v>1174</c:v>
                </c:pt>
                <c:pt idx="36">
                  <c:v>412</c:v>
                </c:pt>
                <c:pt idx="37">
                  <c:v>768</c:v>
                </c:pt>
                <c:pt idx="38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83392"/>
        <c:axId val="77501568"/>
      </c:lineChart>
      <c:lineChart>
        <c:grouping val="standard"/>
        <c:varyColors val="0"/>
        <c:ser>
          <c:idx val="1"/>
          <c:order val="1"/>
          <c:tx>
            <c:strRef>
              <c:f>'7'!$C$1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'7'!$C$2:$C$40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0.69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E6-4142-B6BA-74D8B03994ED}"/>
            </c:ext>
          </c:extLst>
        </c:ser>
        <c:ser>
          <c:idx val="5"/>
          <c:order val="5"/>
          <c:tx>
            <c:strRef>
              <c:f>'7'!$G$1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'7'!$G$2:$G$40</c:f>
              <c:numCache>
                <c:formatCode>General</c:formatCode>
                <c:ptCount val="39"/>
                <c:pt idx="0">
                  <c:v>18.690000000000001</c:v>
                </c:pt>
                <c:pt idx="1">
                  <c:v>13.3</c:v>
                </c:pt>
                <c:pt idx="2">
                  <c:v>20.83</c:v>
                </c:pt>
                <c:pt idx="3">
                  <c:v>15.44</c:v>
                </c:pt>
                <c:pt idx="4">
                  <c:v>18.23</c:v>
                </c:pt>
                <c:pt idx="5">
                  <c:v>17.14</c:v>
                </c:pt>
                <c:pt idx="6">
                  <c:v>24.75</c:v>
                </c:pt>
                <c:pt idx="7">
                  <c:v>15.62</c:v>
                </c:pt>
                <c:pt idx="8">
                  <c:v>16.52</c:v>
                </c:pt>
                <c:pt idx="9">
                  <c:v>13.7</c:v>
                </c:pt>
                <c:pt idx="10">
                  <c:v>24.54</c:v>
                </c:pt>
                <c:pt idx="11">
                  <c:v>16.64</c:v>
                </c:pt>
                <c:pt idx="12">
                  <c:v>18.079999999999998</c:v>
                </c:pt>
                <c:pt idx="13">
                  <c:v>14.08</c:v>
                </c:pt>
                <c:pt idx="14">
                  <c:v>24.16</c:v>
                </c:pt>
                <c:pt idx="15">
                  <c:v>8.84</c:v>
                </c:pt>
                <c:pt idx="16">
                  <c:v>20.079999999999998</c:v>
                </c:pt>
                <c:pt idx="17">
                  <c:v>16.93</c:v>
                </c:pt>
                <c:pt idx="18">
                  <c:v>24.11</c:v>
                </c:pt>
                <c:pt idx="19">
                  <c:v>14.74</c:v>
                </c:pt>
                <c:pt idx="20">
                  <c:v>20.34</c:v>
                </c:pt>
                <c:pt idx="21">
                  <c:v>18.43</c:v>
                </c:pt>
                <c:pt idx="22">
                  <c:v>24.47</c:v>
                </c:pt>
                <c:pt idx="23">
                  <c:v>17.66</c:v>
                </c:pt>
                <c:pt idx="24">
                  <c:v>23.88</c:v>
                </c:pt>
                <c:pt idx="25">
                  <c:v>16.03</c:v>
                </c:pt>
                <c:pt idx="26">
                  <c:v>27.19</c:v>
                </c:pt>
                <c:pt idx="27">
                  <c:v>18.37</c:v>
                </c:pt>
                <c:pt idx="28">
                  <c:v>22.44</c:v>
                </c:pt>
                <c:pt idx="29">
                  <c:v>15.8</c:v>
                </c:pt>
                <c:pt idx="30">
                  <c:v>24.82</c:v>
                </c:pt>
                <c:pt idx="31">
                  <c:v>17.84</c:v>
                </c:pt>
                <c:pt idx="32">
                  <c:v>22.37</c:v>
                </c:pt>
                <c:pt idx="33">
                  <c:v>16.13</c:v>
                </c:pt>
                <c:pt idx="34">
                  <c:v>25.77</c:v>
                </c:pt>
                <c:pt idx="35">
                  <c:v>19.149999999999999</c:v>
                </c:pt>
                <c:pt idx="36">
                  <c:v>24.98</c:v>
                </c:pt>
                <c:pt idx="37">
                  <c:v>17.62</c:v>
                </c:pt>
                <c:pt idx="38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E6-4142-B6BA-74D8B03994ED}"/>
            </c:ext>
          </c:extLst>
        </c:ser>
        <c:ser>
          <c:idx val="6"/>
          <c:order val="6"/>
          <c:tx>
            <c:strRef>
              <c:f>'7'!$H$1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'7'!$H$2:$H$40</c:f>
              <c:numCache>
                <c:formatCode>General</c:formatCode>
                <c:ptCount val="39"/>
                <c:pt idx="0">
                  <c:v>9.2899999999999991</c:v>
                </c:pt>
                <c:pt idx="1">
                  <c:v>5.51</c:v>
                </c:pt>
                <c:pt idx="2">
                  <c:v>10.55</c:v>
                </c:pt>
                <c:pt idx="3">
                  <c:v>6.44</c:v>
                </c:pt>
                <c:pt idx="4">
                  <c:v>9</c:v>
                </c:pt>
                <c:pt idx="5">
                  <c:v>7.72</c:v>
                </c:pt>
                <c:pt idx="6">
                  <c:v>12.8</c:v>
                </c:pt>
                <c:pt idx="7">
                  <c:v>7.14</c:v>
                </c:pt>
                <c:pt idx="8">
                  <c:v>6.03</c:v>
                </c:pt>
                <c:pt idx="9">
                  <c:v>6.1</c:v>
                </c:pt>
                <c:pt idx="10">
                  <c:v>13.32</c:v>
                </c:pt>
                <c:pt idx="11">
                  <c:v>8.16</c:v>
                </c:pt>
                <c:pt idx="12">
                  <c:v>9.5299999999999994</c:v>
                </c:pt>
                <c:pt idx="13">
                  <c:v>7.28</c:v>
                </c:pt>
                <c:pt idx="14">
                  <c:v>12.86</c:v>
                </c:pt>
                <c:pt idx="15">
                  <c:v>2.9</c:v>
                </c:pt>
                <c:pt idx="16">
                  <c:v>10.23</c:v>
                </c:pt>
                <c:pt idx="17">
                  <c:v>7.86</c:v>
                </c:pt>
                <c:pt idx="18">
                  <c:v>12.43</c:v>
                </c:pt>
                <c:pt idx="19">
                  <c:v>6.5</c:v>
                </c:pt>
                <c:pt idx="20">
                  <c:v>9.82</c:v>
                </c:pt>
                <c:pt idx="21">
                  <c:v>8.3000000000000007</c:v>
                </c:pt>
                <c:pt idx="22">
                  <c:v>14.54</c:v>
                </c:pt>
                <c:pt idx="23">
                  <c:v>7.61</c:v>
                </c:pt>
                <c:pt idx="24">
                  <c:v>12.02</c:v>
                </c:pt>
                <c:pt idx="25">
                  <c:v>6.65</c:v>
                </c:pt>
                <c:pt idx="26">
                  <c:v>14.23</c:v>
                </c:pt>
                <c:pt idx="27">
                  <c:v>17.05</c:v>
                </c:pt>
                <c:pt idx="28">
                  <c:v>12.72</c:v>
                </c:pt>
                <c:pt idx="29">
                  <c:v>6.97</c:v>
                </c:pt>
                <c:pt idx="30">
                  <c:v>13.07</c:v>
                </c:pt>
                <c:pt idx="31">
                  <c:v>11.22</c:v>
                </c:pt>
                <c:pt idx="32">
                  <c:v>12.07</c:v>
                </c:pt>
                <c:pt idx="33">
                  <c:v>6.52</c:v>
                </c:pt>
                <c:pt idx="34">
                  <c:v>14.06</c:v>
                </c:pt>
                <c:pt idx="35">
                  <c:v>10</c:v>
                </c:pt>
                <c:pt idx="36">
                  <c:v>11.6</c:v>
                </c:pt>
                <c:pt idx="37">
                  <c:v>6.99</c:v>
                </c:pt>
                <c:pt idx="38">
                  <c:v>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E6-4142-B6BA-74D8B0399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17184"/>
        <c:axId val="77503104"/>
      </c:lineChart>
      <c:catAx>
        <c:axId val="7748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501568"/>
        <c:crosses val="autoZero"/>
        <c:auto val="1"/>
        <c:lblAlgn val="ctr"/>
        <c:lblOffset val="100"/>
        <c:tickMarkSkip val="1"/>
        <c:noMultiLvlLbl val="0"/>
      </c:catAx>
      <c:valAx>
        <c:axId val="7750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83392"/>
        <c:crosses val="autoZero"/>
        <c:crossBetween val="between"/>
      </c:valAx>
      <c:valAx>
        <c:axId val="7750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517184"/>
        <c:crosses val="max"/>
        <c:crossBetween val="between"/>
      </c:valAx>
      <c:catAx>
        <c:axId val="7751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5031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'7'!$A$2:$A$39</c:f>
              <c:strCache>
                <c:ptCount val="38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</c:strCache>
            </c:strRef>
          </c:cat>
          <c:val>
            <c:numRef>
              <c:f>'7'!$K$2:$K$39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1.6666666666666684E-2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1.6393442622950834E-2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1.612903225806453E-2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3.1746031746031772E-2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3.0769230769230795E-2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2.9850746268656577E-2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4.3478260869565258E-2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2.7777777777777804E-2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4.0540540540540577E-2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8-2841-9271-336E9A88E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6944"/>
        <c:axId val="77748480"/>
      </c:lineChart>
      <c:catAx>
        <c:axId val="7774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48480"/>
        <c:crosses val="autoZero"/>
        <c:auto val="1"/>
        <c:lblAlgn val="ctr"/>
        <c:lblOffset val="100"/>
        <c:tickMarkSkip val="1"/>
        <c:noMultiLvlLbl val="0"/>
      </c:catAx>
      <c:valAx>
        <c:axId val="777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74694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'8'!$B$2:$B$40</c:f>
              <c:numCache>
                <c:formatCode>General</c:formatCode>
                <c:ptCount val="39"/>
                <c:pt idx="0">
                  <c:v>38.54</c:v>
                </c:pt>
                <c:pt idx="1">
                  <c:v>37.229999999999997</c:v>
                </c:pt>
                <c:pt idx="2">
                  <c:v>36.799999999999997</c:v>
                </c:pt>
                <c:pt idx="3">
                  <c:v>40.119999999999997</c:v>
                </c:pt>
                <c:pt idx="4">
                  <c:v>38.229999999999997</c:v>
                </c:pt>
                <c:pt idx="5">
                  <c:v>44.44</c:v>
                </c:pt>
                <c:pt idx="6">
                  <c:v>45.57</c:v>
                </c:pt>
                <c:pt idx="7">
                  <c:v>43.27</c:v>
                </c:pt>
                <c:pt idx="8">
                  <c:v>49.15</c:v>
                </c:pt>
                <c:pt idx="9">
                  <c:v>50.34</c:v>
                </c:pt>
                <c:pt idx="10">
                  <c:v>46.674999999999997</c:v>
                </c:pt>
                <c:pt idx="11">
                  <c:v>49.14</c:v>
                </c:pt>
                <c:pt idx="12">
                  <c:v>47.57</c:v>
                </c:pt>
                <c:pt idx="13">
                  <c:v>48.93</c:v>
                </c:pt>
                <c:pt idx="14">
                  <c:v>49.99</c:v>
                </c:pt>
                <c:pt idx="15">
                  <c:v>46.78</c:v>
                </c:pt>
                <c:pt idx="16">
                  <c:v>48.63</c:v>
                </c:pt>
                <c:pt idx="17">
                  <c:v>46.61</c:v>
                </c:pt>
                <c:pt idx="18">
                  <c:v>43.51</c:v>
                </c:pt>
                <c:pt idx="19">
                  <c:v>46.22</c:v>
                </c:pt>
                <c:pt idx="20">
                  <c:v>54.08</c:v>
                </c:pt>
                <c:pt idx="21">
                  <c:v>55.84</c:v>
                </c:pt>
                <c:pt idx="22">
                  <c:v>51.98</c:v>
                </c:pt>
                <c:pt idx="23">
                  <c:v>53.38</c:v>
                </c:pt>
                <c:pt idx="24">
                  <c:v>48.75</c:v>
                </c:pt>
                <c:pt idx="25">
                  <c:v>44.66</c:v>
                </c:pt>
                <c:pt idx="26">
                  <c:v>49.49</c:v>
                </c:pt>
                <c:pt idx="27">
                  <c:v>52.93</c:v>
                </c:pt>
                <c:pt idx="28">
                  <c:v>47.82</c:v>
                </c:pt>
                <c:pt idx="29">
                  <c:v>50.31</c:v>
                </c:pt>
                <c:pt idx="30">
                  <c:v>53.39</c:v>
                </c:pt>
                <c:pt idx="31">
                  <c:v>56.22</c:v>
                </c:pt>
                <c:pt idx="32">
                  <c:v>59.13</c:v>
                </c:pt>
                <c:pt idx="33">
                  <c:v>57.13</c:v>
                </c:pt>
                <c:pt idx="34">
                  <c:v>60.36</c:v>
                </c:pt>
                <c:pt idx="35">
                  <c:v>61.4</c:v>
                </c:pt>
                <c:pt idx="36">
                  <c:v>53.73</c:v>
                </c:pt>
                <c:pt idx="37">
                  <c:v>55.13</c:v>
                </c:pt>
                <c:pt idx="38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B542-A86E-FE1889E436A2}"/>
            </c:ext>
          </c:extLst>
        </c:ser>
        <c:ser>
          <c:idx val="2"/>
          <c:order val="2"/>
          <c:tx>
            <c:strRef>
              <c:f>'8'!$D$1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'8'!$D$2:$D$40</c:f>
              <c:numCache>
                <c:formatCode>General</c:formatCode>
                <c:ptCount val="39"/>
                <c:pt idx="0">
                  <c:v>26990</c:v>
                </c:pt>
                <c:pt idx="1">
                  <c:v>27536</c:v>
                </c:pt>
                <c:pt idx="2">
                  <c:v>27913</c:v>
                </c:pt>
                <c:pt idx="3">
                  <c:v>28436</c:v>
                </c:pt>
                <c:pt idx="4">
                  <c:v>28242</c:v>
                </c:pt>
                <c:pt idx="5">
                  <c:v>28552</c:v>
                </c:pt>
                <c:pt idx="6">
                  <c:v>29007</c:v>
                </c:pt>
                <c:pt idx="7">
                  <c:v>30045</c:v>
                </c:pt>
                <c:pt idx="8">
                  <c:v>29420</c:v>
                </c:pt>
                <c:pt idx="9">
                  <c:v>29786</c:v>
                </c:pt>
                <c:pt idx="10">
                  <c:v>30279</c:v>
                </c:pt>
                <c:pt idx="11">
                  <c:v>31065</c:v>
                </c:pt>
                <c:pt idx="12">
                  <c:v>30818</c:v>
                </c:pt>
                <c:pt idx="13">
                  <c:v>31483</c:v>
                </c:pt>
                <c:pt idx="14">
                  <c:v>31586</c:v>
                </c:pt>
                <c:pt idx="15">
                  <c:v>33192</c:v>
                </c:pt>
                <c:pt idx="16">
                  <c:v>31984</c:v>
                </c:pt>
                <c:pt idx="17">
                  <c:v>32224</c:v>
                </c:pt>
                <c:pt idx="18">
                  <c:v>33158</c:v>
                </c:pt>
                <c:pt idx="19">
                  <c:v>34254</c:v>
                </c:pt>
                <c:pt idx="20">
                  <c:v>32171</c:v>
                </c:pt>
                <c:pt idx="21">
                  <c:v>30532</c:v>
                </c:pt>
                <c:pt idx="22">
                  <c:v>30937</c:v>
                </c:pt>
                <c:pt idx="23">
                  <c:v>32340</c:v>
                </c:pt>
                <c:pt idx="24">
                  <c:v>29814</c:v>
                </c:pt>
                <c:pt idx="25">
                  <c:v>30548</c:v>
                </c:pt>
                <c:pt idx="26">
                  <c:v>31717</c:v>
                </c:pt>
                <c:pt idx="27">
                  <c:v>33955</c:v>
                </c:pt>
                <c:pt idx="28">
                  <c:v>31772</c:v>
                </c:pt>
                <c:pt idx="29">
                  <c:v>32203</c:v>
                </c:pt>
                <c:pt idx="30">
                  <c:v>32607</c:v>
                </c:pt>
                <c:pt idx="31">
                  <c:v>34281</c:v>
                </c:pt>
                <c:pt idx="32">
                  <c:v>32128</c:v>
                </c:pt>
                <c:pt idx="33">
                  <c:v>32071</c:v>
                </c:pt>
                <c:pt idx="34">
                  <c:v>32894</c:v>
                </c:pt>
                <c:pt idx="35">
                  <c:v>34775</c:v>
                </c:pt>
                <c:pt idx="36">
                  <c:v>31610</c:v>
                </c:pt>
                <c:pt idx="37">
                  <c:v>30447</c:v>
                </c:pt>
                <c:pt idx="38">
                  <c:v>31543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8-B542-A86E-FE1889E436A2}"/>
            </c:ext>
          </c:extLst>
        </c:ser>
        <c:ser>
          <c:idx val="3"/>
          <c:order val="3"/>
          <c:tx>
            <c:strRef>
              <c:f>'8'!$E$1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'8'!$E$2:$E$40</c:f>
              <c:numCache>
                <c:formatCode>General</c:formatCode>
                <c:ptCount val="39"/>
                <c:pt idx="0">
                  <c:v>4453</c:v>
                </c:pt>
                <c:pt idx="1">
                  <c:v>4892</c:v>
                </c:pt>
                <c:pt idx="2">
                  <c:v>4647</c:v>
                </c:pt>
                <c:pt idx="3">
                  <c:v>-1112</c:v>
                </c:pt>
                <c:pt idx="4">
                  <c:v>5195</c:v>
                </c:pt>
                <c:pt idx="5">
                  <c:v>5651</c:v>
                </c:pt>
                <c:pt idx="6">
                  <c:v>5483</c:v>
                </c:pt>
                <c:pt idx="7">
                  <c:v>-3169</c:v>
                </c:pt>
                <c:pt idx="8">
                  <c:v>6222</c:v>
                </c:pt>
                <c:pt idx="9">
                  <c:v>6555</c:v>
                </c:pt>
                <c:pt idx="10">
                  <c:v>7128</c:v>
                </c:pt>
                <c:pt idx="11">
                  <c:v>12063</c:v>
                </c:pt>
                <c:pt idx="12">
                  <c:v>7160</c:v>
                </c:pt>
                <c:pt idx="13">
                  <c:v>7685</c:v>
                </c:pt>
                <c:pt idx="14">
                  <c:v>6890</c:v>
                </c:pt>
                <c:pt idx="15">
                  <c:v>-2136</c:v>
                </c:pt>
                <c:pt idx="16">
                  <c:v>7960</c:v>
                </c:pt>
                <c:pt idx="17">
                  <c:v>7821</c:v>
                </c:pt>
                <c:pt idx="18">
                  <c:v>7535</c:v>
                </c:pt>
                <c:pt idx="19">
                  <c:v>9744</c:v>
                </c:pt>
                <c:pt idx="20">
                  <c:v>7942</c:v>
                </c:pt>
                <c:pt idx="21">
                  <c:v>4554</c:v>
                </c:pt>
                <c:pt idx="22">
                  <c:v>6540</c:v>
                </c:pt>
                <c:pt idx="23">
                  <c:v>8023</c:v>
                </c:pt>
                <c:pt idx="24">
                  <c:v>7181</c:v>
                </c:pt>
                <c:pt idx="25">
                  <c:v>10006</c:v>
                </c:pt>
                <c:pt idx="26">
                  <c:v>7208</c:v>
                </c:pt>
                <c:pt idx="27">
                  <c:v>4793</c:v>
                </c:pt>
                <c:pt idx="28">
                  <c:v>7349</c:v>
                </c:pt>
                <c:pt idx="29">
                  <c:v>6617</c:v>
                </c:pt>
                <c:pt idx="30">
                  <c:v>7675</c:v>
                </c:pt>
                <c:pt idx="31">
                  <c:v>5228</c:v>
                </c:pt>
                <c:pt idx="32">
                  <c:v>7709</c:v>
                </c:pt>
                <c:pt idx="33">
                  <c:v>7850</c:v>
                </c:pt>
                <c:pt idx="34">
                  <c:v>8180</c:v>
                </c:pt>
                <c:pt idx="35">
                  <c:v>6731</c:v>
                </c:pt>
                <c:pt idx="36">
                  <c:v>6579</c:v>
                </c:pt>
                <c:pt idx="37">
                  <c:v>7361</c:v>
                </c:pt>
                <c:pt idx="38">
                  <c:v>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78-B542-A86E-FE1889E436A2}"/>
            </c:ext>
          </c:extLst>
        </c:ser>
        <c:ser>
          <c:idx val="4"/>
          <c:order val="4"/>
          <c:tx>
            <c:strRef>
              <c:f>'8'!$F$1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'8'!$F$2:$F$40</c:f>
              <c:numCache>
                <c:formatCode>General</c:formatCode>
                <c:ptCount val="39"/>
                <c:pt idx="0">
                  <c:v>1439</c:v>
                </c:pt>
                <c:pt idx="1">
                  <c:v>1609</c:v>
                </c:pt>
                <c:pt idx="2">
                  <c:v>1379</c:v>
                </c:pt>
                <c:pt idx="3">
                  <c:v>-2023</c:v>
                </c:pt>
                <c:pt idx="4">
                  <c:v>1686</c:v>
                </c:pt>
                <c:pt idx="5">
                  <c:v>1825</c:v>
                </c:pt>
                <c:pt idx="6">
                  <c:v>1593</c:v>
                </c:pt>
                <c:pt idx="7">
                  <c:v>-4229</c:v>
                </c:pt>
                <c:pt idx="8">
                  <c:v>1952</c:v>
                </c:pt>
                <c:pt idx="9">
                  <c:v>2246</c:v>
                </c:pt>
                <c:pt idx="10">
                  <c:v>2232</c:v>
                </c:pt>
                <c:pt idx="11">
                  <c:v>5067</c:v>
                </c:pt>
                <c:pt idx="12">
                  <c:v>3947</c:v>
                </c:pt>
                <c:pt idx="13">
                  <c:v>4214</c:v>
                </c:pt>
                <c:pt idx="14">
                  <c:v>3695</c:v>
                </c:pt>
                <c:pt idx="15">
                  <c:v>-2231</c:v>
                </c:pt>
                <c:pt idx="16">
                  <c:v>4219</c:v>
                </c:pt>
                <c:pt idx="17">
                  <c:v>4231</c:v>
                </c:pt>
                <c:pt idx="18">
                  <c:v>4038</c:v>
                </c:pt>
                <c:pt idx="19">
                  <c:v>5391</c:v>
                </c:pt>
                <c:pt idx="20">
                  <c:v>4310</c:v>
                </c:pt>
                <c:pt idx="21">
                  <c:v>702</c:v>
                </c:pt>
                <c:pt idx="22">
                  <c:v>3620</c:v>
                </c:pt>
                <c:pt idx="23">
                  <c:v>4495</c:v>
                </c:pt>
                <c:pt idx="24">
                  <c:v>3450</c:v>
                </c:pt>
                <c:pt idx="25">
                  <c:v>4362</c:v>
                </c:pt>
                <c:pt idx="26">
                  <c:v>3620</c:v>
                </c:pt>
                <c:pt idx="27">
                  <c:v>18669</c:v>
                </c:pt>
                <c:pt idx="28">
                  <c:v>4545</c:v>
                </c:pt>
                <c:pt idx="29">
                  <c:v>4120</c:v>
                </c:pt>
                <c:pt idx="30">
                  <c:v>4924</c:v>
                </c:pt>
                <c:pt idx="31">
                  <c:v>1939</c:v>
                </c:pt>
                <c:pt idx="32">
                  <c:v>5032</c:v>
                </c:pt>
                <c:pt idx="33">
                  <c:v>3944</c:v>
                </c:pt>
                <c:pt idx="34">
                  <c:v>5194</c:v>
                </c:pt>
                <c:pt idx="35">
                  <c:v>5095</c:v>
                </c:pt>
                <c:pt idx="36">
                  <c:v>4156</c:v>
                </c:pt>
                <c:pt idx="37">
                  <c:v>4700</c:v>
                </c:pt>
                <c:pt idx="38">
                  <c:v>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78-B542-A86E-FE1889E436A2}"/>
            </c:ext>
          </c:extLst>
        </c:ser>
        <c:ser>
          <c:idx val="7"/>
          <c:order val="7"/>
          <c:tx>
            <c:strRef>
              <c:f>'8'!$I$1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'8'!$I$2:$I$40</c:f>
              <c:numCache>
                <c:formatCode>General</c:formatCode>
                <c:ptCount val="39"/>
                <c:pt idx="0">
                  <c:v>155</c:v>
                </c:pt>
                <c:pt idx="1">
                  <c:v>87.44</c:v>
                </c:pt>
                <c:pt idx="2">
                  <c:v>78.819999999999993</c:v>
                </c:pt>
                <c:pt idx="3">
                  <c:v>78.819999999999993</c:v>
                </c:pt>
                <c:pt idx="4">
                  <c:v>232.35</c:v>
                </c:pt>
                <c:pt idx="5">
                  <c:v>213.71</c:v>
                </c:pt>
                <c:pt idx="6">
                  <c:v>200</c:v>
                </c:pt>
                <c:pt idx="7">
                  <c:v>663.19</c:v>
                </c:pt>
                <c:pt idx="8">
                  <c:v>663.19</c:v>
                </c:pt>
                <c:pt idx="9">
                  <c:v>516.29</c:v>
                </c:pt>
                <c:pt idx="10">
                  <c:v>384.26</c:v>
                </c:pt>
                <c:pt idx="11">
                  <c:v>274.44</c:v>
                </c:pt>
                <c:pt idx="12">
                  <c:v>52.03</c:v>
                </c:pt>
                <c:pt idx="13">
                  <c:v>46.91</c:v>
                </c:pt>
                <c:pt idx="14">
                  <c:v>45.04</c:v>
                </c:pt>
                <c:pt idx="15">
                  <c:v>44.52</c:v>
                </c:pt>
                <c:pt idx="16">
                  <c:v>89.26</c:v>
                </c:pt>
                <c:pt idx="17">
                  <c:v>95.2</c:v>
                </c:pt>
                <c:pt idx="18">
                  <c:v>94.42</c:v>
                </c:pt>
                <c:pt idx="19">
                  <c:v>90.78</c:v>
                </c:pt>
                <c:pt idx="20">
                  <c:v>51.03</c:v>
                </c:pt>
                <c:pt idx="21">
                  <c:v>50.91</c:v>
                </c:pt>
                <c:pt idx="22">
                  <c:v>63.84</c:v>
                </c:pt>
                <c:pt idx="23">
                  <c:v>66.25</c:v>
                </c:pt>
                <c:pt idx="24">
                  <c:v>71.180000000000007</c:v>
                </c:pt>
                <c:pt idx="25">
                  <c:v>76.84</c:v>
                </c:pt>
                <c:pt idx="26">
                  <c:v>59.38</c:v>
                </c:pt>
                <c:pt idx="27">
                  <c:v>59.55</c:v>
                </c:pt>
                <c:pt idx="28">
                  <c:v>31.73</c:v>
                </c:pt>
                <c:pt idx="29">
                  <c:v>30.77</c:v>
                </c:pt>
                <c:pt idx="30">
                  <c:v>31.26</c:v>
                </c:pt>
                <c:pt idx="31">
                  <c:v>30.22</c:v>
                </c:pt>
                <c:pt idx="32">
                  <c:v>63.43</c:v>
                </c:pt>
                <c:pt idx="33">
                  <c:v>61.95</c:v>
                </c:pt>
                <c:pt idx="34">
                  <c:v>62.92</c:v>
                </c:pt>
                <c:pt idx="35">
                  <c:v>62.28</c:v>
                </c:pt>
                <c:pt idx="36">
                  <c:v>52.37</c:v>
                </c:pt>
                <c:pt idx="37">
                  <c:v>55.25</c:v>
                </c:pt>
                <c:pt idx="38">
                  <c:v>53.25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8-B542-A86E-FE1889E436A2}"/>
            </c:ext>
          </c:extLst>
        </c:ser>
        <c:ser>
          <c:idx val="8"/>
          <c:order val="8"/>
          <c:tx>
            <c:strRef>
              <c:f>'8'!$J$1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'8'!$J$2:$J$40</c:f>
              <c:numCache>
                <c:formatCode>General</c:formatCode>
                <c:ptCount val="39"/>
                <c:pt idx="0">
                  <c:v>5035</c:v>
                </c:pt>
                <c:pt idx="1">
                  <c:v>7757</c:v>
                </c:pt>
                <c:pt idx="2">
                  <c:v>8720</c:v>
                </c:pt>
                <c:pt idx="3">
                  <c:v>8268</c:v>
                </c:pt>
                <c:pt idx="4">
                  <c:v>5957</c:v>
                </c:pt>
                <c:pt idx="5">
                  <c:v>9314</c:v>
                </c:pt>
                <c:pt idx="6">
                  <c:v>9487</c:v>
                </c:pt>
                <c:pt idx="7">
                  <c:v>6728</c:v>
                </c:pt>
                <c:pt idx="8">
                  <c:v>7531</c:v>
                </c:pt>
                <c:pt idx="9">
                  <c:v>9617</c:v>
                </c:pt>
                <c:pt idx="10">
                  <c:v>11239</c:v>
                </c:pt>
                <c:pt idx="11">
                  <c:v>10431</c:v>
                </c:pt>
                <c:pt idx="12">
                  <c:v>7139</c:v>
                </c:pt>
                <c:pt idx="13">
                  <c:v>7665</c:v>
                </c:pt>
                <c:pt idx="14">
                  <c:v>8353</c:v>
                </c:pt>
                <c:pt idx="15">
                  <c:v>7474</c:v>
                </c:pt>
                <c:pt idx="16">
                  <c:v>10169</c:v>
                </c:pt>
                <c:pt idx="17">
                  <c:v>8737</c:v>
                </c:pt>
                <c:pt idx="18">
                  <c:v>9520</c:v>
                </c:pt>
                <c:pt idx="19">
                  <c:v>10504</c:v>
                </c:pt>
                <c:pt idx="20">
                  <c:v>7419</c:v>
                </c:pt>
                <c:pt idx="21">
                  <c:v>5411</c:v>
                </c:pt>
                <c:pt idx="22">
                  <c:v>4799</c:v>
                </c:pt>
                <c:pt idx="23">
                  <c:v>5086</c:v>
                </c:pt>
                <c:pt idx="24">
                  <c:v>1681</c:v>
                </c:pt>
                <c:pt idx="25">
                  <c:v>8237</c:v>
                </c:pt>
                <c:pt idx="26">
                  <c:v>7303</c:v>
                </c:pt>
                <c:pt idx="27">
                  <c:v>8084</c:v>
                </c:pt>
                <c:pt idx="28">
                  <c:v>6648</c:v>
                </c:pt>
                <c:pt idx="29">
                  <c:v>9785</c:v>
                </c:pt>
                <c:pt idx="30">
                  <c:v>9811</c:v>
                </c:pt>
                <c:pt idx="31">
                  <c:v>8095</c:v>
                </c:pt>
                <c:pt idx="32">
                  <c:v>7081</c:v>
                </c:pt>
                <c:pt idx="33">
                  <c:v>8755</c:v>
                </c:pt>
                <c:pt idx="34">
                  <c:v>10912</c:v>
                </c:pt>
                <c:pt idx="35">
                  <c:v>8998</c:v>
                </c:pt>
                <c:pt idx="36">
                  <c:v>8824</c:v>
                </c:pt>
                <c:pt idx="37">
                  <c:v>14728</c:v>
                </c:pt>
                <c:pt idx="38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81568"/>
        <c:axId val="77983104"/>
      </c:lineChart>
      <c:lineChart>
        <c:grouping val="standard"/>
        <c:varyColors val="0"/>
        <c:ser>
          <c:idx val="1"/>
          <c:order val="1"/>
          <c:tx>
            <c:strRef>
              <c:f>'8'!$C$1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'8'!$C$2:$C$40</c:f>
              <c:numCache>
                <c:formatCode>General</c:formatCode>
                <c:ptCount val="39"/>
                <c:pt idx="0">
                  <c:v>0.49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78-B542-A86E-FE1889E436A2}"/>
            </c:ext>
          </c:extLst>
        </c:ser>
        <c:ser>
          <c:idx val="5"/>
          <c:order val="5"/>
          <c:tx>
            <c:strRef>
              <c:f>'8'!$G$1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'8'!$G$2:$G$40</c:f>
              <c:numCache>
                <c:formatCode>General</c:formatCode>
                <c:ptCount val="39"/>
                <c:pt idx="0">
                  <c:v>16.5</c:v>
                </c:pt>
                <c:pt idx="1">
                  <c:v>17.77</c:v>
                </c:pt>
                <c:pt idx="2">
                  <c:v>16.649999999999999</c:v>
                </c:pt>
                <c:pt idx="3">
                  <c:v>-3.91</c:v>
                </c:pt>
                <c:pt idx="4">
                  <c:v>18.39</c:v>
                </c:pt>
                <c:pt idx="5">
                  <c:v>19.79</c:v>
                </c:pt>
                <c:pt idx="6">
                  <c:v>18.899999999999999</c:v>
                </c:pt>
                <c:pt idx="7">
                  <c:v>-10.55</c:v>
                </c:pt>
                <c:pt idx="8">
                  <c:v>21.15</c:v>
                </c:pt>
                <c:pt idx="9">
                  <c:v>22.01</c:v>
                </c:pt>
                <c:pt idx="10">
                  <c:v>23.54</c:v>
                </c:pt>
                <c:pt idx="11">
                  <c:v>38.83</c:v>
                </c:pt>
                <c:pt idx="12">
                  <c:v>23.23</c:v>
                </c:pt>
                <c:pt idx="13">
                  <c:v>24.41</c:v>
                </c:pt>
                <c:pt idx="14">
                  <c:v>21.81</c:v>
                </c:pt>
                <c:pt idx="15">
                  <c:v>-6.44</c:v>
                </c:pt>
                <c:pt idx="16">
                  <c:v>24.89</c:v>
                </c:pt>
                <c:pt idx="17">
                  <c:v>24.27</c:v>
                </c:pt>
                <c:pt idx="18">
                  <c:v>22.72</c:v>
                </c:pt>
                <c:pt idx="19">
                  <c:v>28.45</c:v>
                </c:pt>
                <c:pt idx="20">
                  <c:v>24.69</c:v>
                </c:pt>
                <c:pt idx="21">
                  <c:v>14.92</c:v>
                </c:pt>
                <c:pt idx="22">
                  <c:v>21.14</c:v>
                </c:pt>
                <c:pt idx="23">
                  <c:v>24.81</c:v>
                </c:pt>
                <c:pt idx="24">
                  <c:v>24.09</c:v>
                </c:pt>
                <c:pt idx="25">
                  <c:v>32.76</c:v>
                </c:pt>
                <c:pt idx="26">
                  <c:v>22.73</c:v>
                </c:pt>
                <c:pt idx="27">
                  <c:v>14.12</c:v>
                </c:pt>
                <c:pt idx="28">
                  <c:v>23.13</c:v>
                </c:pt>
                <c:pt idx="29">
                  <c:v>20.55</c:v>
                </c:pt>
                <c:pt idx="30">
                  <c:v>23.54</c:v>
                </c:pt>
                <c:pt idx="31">
                  <c:v>15.25</c:v>
                </c:pt>
                <c:pt idx="32">
                  <c:v>23.99</c:v>
                </c:pt>
                <c:pt idx="33">
                  <c:v>24.48</c:v>
                </c:pt>
                <c:pt idx="34">
                  <c:v>24.87</c:v>
                </c:pt>
                <c:pt idx="35">
                  <c:v>19.36</c:v>
                </c:pt>
                <c:pt idx="36">
                  <c:v>20.81</c:v>
                </c:pt>
                <c:pt idx="37">
                  <c:v>24.18</c:v>
                </c:pt>
                <c:pt idx="38">
                  <c:v>24.34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78-B542-A86E-FE1889E436A2}"/>
            </c:ext>
          </c:extLst>
        </c:ser>
        <c:ser>
          <c:idx val="6"/>
          <c:order val="6"/>
          <c:tx>
            <c:strRef>
              <c:f>'8'!$H$1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'8'!$H$2:$H$40</c:f>
              <c:numCache>
                <c:formatCode>General</c:formatCode>
                <c:ptCount val="39"/>
                <c:pt idx="0">
                  <c:v>5.33</c:v>
                </c:pt>
                <c:pt idx="1">
                  <c:v>5.84</c:v>
                </c:pt>
                <c:pt idx="2">
                  <c:v>4.9400000000000004</c:v>
                </c:pt>
                <c:pt idx="3">
                  <c:v>-7.11</c:v>
                </c:pt>
                <c:pt idx="4">
                  <c:v>5.97</c:v>
                </c:pt>
                <c:pt idx="5">
                  <c:v>6.39</c:v>
                </c:pt>
                <c:pt idx="6">
                  <c:v>5.49</c:v>
                </c:pt>
                <c:pt idx="7">
                  <c:v>-14.08</c:v>
                </c:pt>
                <c:pt idx="8">
                  <c:v>6.63</c:v>
                </c:pt>
                <c:pt idx="9">
                  <c:v>7.54</c:v>
                </c:pt>
                <c:pt idx="10">
                  <c:v>7.37</c:v>
                </c:pt>
                <c:pt idx="11">
                  <c:v>16.309999999999999</c:v>
                </c:pt>
                <c:pt idx="12">
                  <c:v>12.81</c:v>
                </c:pt>
                <c:pt idx="13">
                  <c:v>13.39</c:v>
                </c:pt>
                <c:pt idx="14">
                  <c:v>11.7</c:v>
                </c:pt>
                <c:pt idx="15">
                  <c:v>-6.72</c:v>
                </c:pt>
                <c:pt idx="16">
                  <c:v>13.19</c:v>
                </c:pt>
                <c:pt idx="17">
                  <c:v>13.13</c:v>
                </c:pt>
                <c:pt idx="18">
                  <c:v>12.18</c:v>
                </c:pt>
                <c:pt idx="19">
                  <c:v>15.74</c:v>
                </c:pt>
                <c:pt idx="20">
                  <c:v>13.4</c:v>
                </c:pt>
                <c:pt idx="21">
                  <c:v>2.2999999999999998</c:v>
                </c:pt>
                <c:pt idx="22">
                  <c:v>11.7</c:v>
                </c:pt>
                <c:pt idx="23">
                  <c:v>13.9</c:v>
                </c:pt>
                <c:pt idx="24">
                  <c:v>11.57</c:v>
                </c:pt>
                <c:pt idx="25">
                  <c:v>14.28</c:v>
                </c:pt>
                <c:pt idx="26">
                  <c:v>11.41</c:v>
                </c:pt>
                <c:pt idx="27">
                  <c:v>54.98</c:v>
                </c:pt>
                <c:pt idx="28">
                  <c:v>14.3</c:v>
                </c:pt>
                <c:pt idx="29">
                  <c:v>12.79</c:v>
                </c:pt>
                <c:pt idx="30">
                  <c:v>15.1</c:v>
                </c:pt>
                <c:pt idx="31">
                  <c:v>5.66</c:v>
                </c:pt>
                <c:pt idx="32">
                  <c:v>15.66</c:v>
                </c:pt>
                <c:pt idx="33">
                  <c:v>12.3</c:v>
                </c:pt>
                <c:pt idx="34">
                  <c:v>15.79</c:v>
                </c:pt>
                <c:pt idx="35">
                  <c:v>14.65</c:v>
                </c:pt>
                <c:pt idx="36">
                  <c:v>13.15</c:v>
                </c:pt>
                <c:pt idx="37">
                  <c:v>15.44</c:v>
                </c:pt>
                <c:pt idx="38">
                  <c:v>13.81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78-B542-A86E-FE1889E4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5840"/>
        <c:axId val="77874304"/>
      </c:lineChart>
      <c:catAx>
        <c:axId val="77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83104"/>
        <c:crosses val="autoZero"/>
        <c:auto val="1"/>
        <c:lblAlgn val="ctr"/>
        <c:lblOffset val="100"/>
        <c:tickMarkSkip val="1"/>
        <c:noMultiLvlLbl val="0"/>
      </c:catAx>
      <c:valAx>
        <c:axId val="77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81568"/>
        <c:crosses val="autoZero"/>
        <c:crossBetween val="between"/>
      </c:valAx>
      <c:valAx>
        <c:axId val="7787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7875840"/>
        <c:crosses val="max"/>
        <c:crossBetween val="between"/>
      </c:valAx>
      <c:catAx>
        <c:axId val="7787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430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'8'!$K$1</c:f>
              <c:strCache>
                <c:ptCount val="1"/>
                <c:pt idx="0">
                  <c:v>배당금 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'8'!$A$1:$A$39</c:f>
              <c:strCache>
                <c:ptCount val="39"/>
                <c:pt idx="0">
                  <c:v>날짜</c:v>
                </c:pt>
                <c:pt idx="1">
                  <c:v>2011/03/01</c:v>
                </c:pt>
                <c:pt idx="2">
                  <c:v>2011/06/01</c:v>
                </c:pt>
                <c:pt idx="3">
                  <c:v>2011/09/01</c:v>
                </c:pt>
                <c:pt idx="4">
                  <c:v>2011/12/01</c:v>
                </c:pt>
                <c:pt idx="5">
                  <c:v>2012/03/01</c:v>
                </c:pt>
                <c:pt idx="6">
                  <c:v>2012/06/01</c:v>
                </c:pt>
                <c:pt idx="7">
                  <c:v>2012/09/04</c:v>
                </c:pt>
                <c:pt idx="8">
                  <c:v>2012/12/03</c:v>
                </c:pt>
                <c:pt idx="9">
                  <c:v>2013/03/01</c:v>
                </c:pt>
                <c:pt idx="10">
                  <c:v>2013/06/03</c:v>
                </c:pt>
                <c:pt idx="11">
                  <c:v>2013/09/03</c:v>
                </c:pt>
                <c:pt idx="12">
                  <c:v>2013/12/02</c:v>
                </c:pt>
                <c:pt idx="13">
                  <c:v>2014/03/03</c:v>
                </c:pt>
                <c:pt idx="14">
                  <c:v>2014/06/02</c:v>
                </c:pt>
                <c:pt idx="15">
                  <c:v>2014/09/02</c:v>
                </c:pt>
                <c:pt idx="16">
                  <c:v>2014/12/01</c:v>
                </c:pt>
                <c:pt idx="17">
                  <c:v>2015/03/02</c:v>
                </c:pt>
                <c:pt idx="18">
                  <c:v>2015/06/01</c:v>
                </c:pt>
                <c:pt idx="19">
                  <c:v>2015/09/01</c:v>
                </c:pt>
                <c:pt idx="20">
                  <c:v>2015/12/01</c:v>
                </c:pt>
                <c:pt idx="21">
                  <c:v>2016/03/01</c:v>
                </c:pt>
                <c:pt idx="22">
                  <c:v>2016/06/01</c:v>
                </c:pt>
                <c:pt idx="23">
                  <c:v>2016/09/01</c:v>
                </c:pt>
                <c:pt idx="24">
                  <c:v>2016/12/01</c:v>
                </c:pt>
                <c:pt idx="25">
                  <c:v>2017/03/01</c:v>
                </c:pt>
                <c:pt idx="26">
                  <c:v>2017/06/01</c:v>
                </c:pt>
                <c:pt idx="27">
                  <c:v>2017/09/01</c:v>
                </c:pt>
                <c:pt idx="28">
                  <c:v>2017/12/01</c:v>
                </c:pt>
                <c:pt idx="29">
                  <c:v>2018/03/01</c:v>
                </c:pt>
                <c:pt idx="30">
                  <c:v>2018/06/01</c:v>
                </c:pt>
                <c:pt idx="31">
                  <c:v>2018/09/04</c:v>
                </c:pt>
                <c:pt idx="32">
                  <c:v>2018/12/03</c:v>
                </c:pt>
                <c:pt idx="33">
                  <c:v>2019/03/01</c:v>
                </c:pt>
                <c:pt idx="34">
                  <c:v>2019/06/03</c:v>
                </c:pt>
                <c:pt idx="35">
                  <c:v>2019/09/03</c:v>
                </c:pt>
                <c:pt idx="36">
                  <c:v>2019/12/02</c:v>
                </c:pt>
                <c:pt idx="37">
                  <c:v>2020/03/02</c:v>
                </c:pt>
                <c:pt idx="38">
                  <c:v>2020/06/01</c:v>
                </c:pt>
              </c:strCache>
            </c:strRef>
          </c:cat>
          <c:val>
            <c:numRef>
              <c:f>'8'!$K$2:$K$39</c:f>
              <c:numCache>
                <c:formatCode>General</c:formatCode>
                <c:ptCount val="38"/>
                <c:pt idx="0">
                  <c:v>0</c:v>
                </c:pt>
                <c:pt idx="1">
                  <c:v>2.0408163265306142E-2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1.9230769230769246E-2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3.7735849056603807E-2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3.6363636363636188E-2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1.7543859649122823E-2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1.7241379310344845E-2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1.6949152542372899E-2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3.3333333333333368E-2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1.612903225806453E-2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C-6F40-85C3-ADF99E36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4496"/>
        <c:axId val="77916032"/>
      </c:lineChart>
      <c:catAx>
        <c:axId val="77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16032"/>
        <c:crosses val="autoZero"/>
        <c:auto val="1"/>
        <c:lblAlgn val="ctr"/>
        <c:lblOffset val="100"/>
        <c:tickMarkSkip val="1"/>
        <c:noMultiLvlLbl val="0"/>
      </c:catAx>
      <c:valAx>
        <c:axId val="7791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14496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'9'!$B$2:$B$34</c:f>
              <c:numCache>
                <c:formatCode>General</c:formatCode>
                <c:ptCount val="33"/>
                <c:pt idx="0">
                  <c:v>23.825700000000001</c:v>
                </c:pt>
                <c:pt idx="1">
                  <c:v>19.006599999999999</c:v>
                </c:pt>
                <c:pt idx="2">
                  <c:v>15.8096</c:v>
                </c:pt>
                <c:pt idx="3">
                  <c:v>14.162100000000001</c:v>
                </c:pt>
                <c:pt idx="4">
                  <c:v>17.027100000000001</c:v>
                </c:pt>
                <c:pt idx="5">
                  <c:v>20.036799999999999</c:v>
                </c:pt>
                <c:pt idx="6">
                  <c:v>19.169699999999999</c:v>
                </c:pt>
                <c:pt idx="7">
                  <c:v>23.232500000000002</c:v>
                </c:pt>
                <c:pt idx="8">
                  <c:v>25.1875</c:v>
                </c:pt>
                <c:pt idx="9">
                  <c:v>27.594999999999999</c:v>
                </c:pt>
                <c:pt idx="10">
                  <c:v>31.107500000000002</c:v>
                </c:pt>
                <c:pt idx="11">
                  <c:v>31.356200000000001</c:v>
                </c:pt>
                <c:pt idx="12">
                  <c:v>27.574999999999999</c:v>
                </c:pt>
                <c:pt idx="13">
                  <c:v>26.315000000000001</c:v>
                </c:pt>
                <c:pt idx="14">
                  <c:v>27.247499999999999</c:v>
                </c:pt>
                <c:pt idx="15">
                  <c:v>23.9</c:v>
                </c:pt>
                <c:pt idx="16">
                  <c:v>28.262499999999999</c:v>
                </c:pt>
                <c:pt idx="17">
                  <c:v>28.954999999999998</c:v>
                </c:pt>
                <c:pt idx="18">
                  <c:v>35.914999999999999</c:v>
                </c:pt>
                <c:pt idx="19">
                  <c:v>36.005000000000003</c:v>
                </c:pt>
                <c:pt idx="20">
                  <c:v>38.53</c:v>
                </c:pt>
                <c:pt idx="21">
                  <c:v>42.307499999999997</c:v>
                </c:pt>
                <c:pt idx="22">
                  <c:v>41.945</c:v>
                </c:pt>
                <c:pt idx="23">
                  <c:v>46.277500000000003</c:v>
                </c:pt>
                <c:pt idx="24">
                  <c:v>56.435000000000002</c:v>
                </c:pt>
                <c:pt idx="25">
                  <c:v>39.435000000000002</c:v>
                </c:pt>
                <c:pt idx="26">
                  <c:v>47.487499999999997</c:v>
                </c:pt>
                <c:pt idx="27">
                  <c:v>49.48</c:v>
                </c:pt>
                <c:pt idx="28">
                  <c:v>55.9925</c:v>
                </c:pt>
                <c:pt idx="29">
                  <c:v>73.412499999999994</c:v>
                </c:pt>
                <c:pt idx="30">
                  <c:v>63.572499999999998</c:v>
                </c:pt>
                <c:pt idx="31">
                  <c:v>91.2</c:v>
                </c:pt>
                <c:pt idx="32">
                  <c:v>115.81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B548-A5A1-96FDD5C1B865}"/>
            </c:ext>
          </c:extLst>
        </c:ser>
        <c:ser>
          <c:idx val="1"/>
          <c:order val="1"/>
          <c:tx>
            <c:strRef>
              <c:f>'9'!$C$1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'9'!$C$2:$C$34</c:f>
              <c:numCache>
                <c:formatCode>General</c:formatCode>
                <c:ptCount val="33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0.21</c:v>
                </c:pt>
                <c:pt idx="3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A-B548-A5A1-96FDD5C1B865}"/>
            </c:ext>
          </c:extLst>
        </c:ser>
        <c:ser>
          <c:idx val="2"/>
          <c:order val="2"/>
          <c:tx>
            <c:strRef>
              <c:f>'9'!$D$1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'9'!$D$2:$D$34</c:f>
              <c:numCache>
                <c:formatCode>General</c:formatCode>
                <c:ptCount val="33"/>
                <c:pt idx="0">
                  <c:v>35966</c:v>
                </c:pt>
                <c:pt idx="1">
                  <c:v>54512</c:v>
                </c:pt>
                <c:pt idx="2">
                  <c:v>43603</c:v>
                </c:pt>
                <c:pt idx="3">
                  <c:v>35323</c:v>
                </c:pt>
                <c:pt idx="4">
                  <c:v>37472</c:v>
                </c:pt>
                <c:pt idx="5">
                  <c:v>57594</c:v>
                </c:pt>
                <c:pt idx="6">
                  <c:v>45646</c:v>
                </c:pt>
                <c:pt idx="7">
                  <c:v>37432</c:v>
                </c:pt>
                <c:pt idx="8">
                  <c:v>42123</c:v>
                </c:pt>
                <c:pt idx="9">
                  <c:v>74599</c:v>
                </c:pt>
                <c:pt idx="10">
                  <c:v>58010</c:v>
                </c:pt>
                <c:pt idx="11">
                  <c:v>49605</c:v>
                </c:pt>
                <c:pt idx="12">
                  <c:v>51501</c:v>
                </c:pt>
                <c:pt idx="13">
                  <c:v>75872</c:v>
                </c:pt>
                <c:pt idx="14">
                  <c:v>50557</c:v>
                </c:pt>
                <c:pt idx="15">
                  <c:v>42358</c:v>
                </c:pt>
                <c:pt idx="16">
                  <c:v>46852</c:v>
                </c:pt>
                <c:pt idx="17">
                  <c:v>78351</c:v>
                </c:pt>
                <c:pt idx="18">
                  <c:v>52896</c:v>
                </c:pt>
                <c:pt idx="19">
                  <c:v>45408</c:v>
                </c:pt>
                <c:pt idx="20">
                  <c:v>52579</c:v>
                </c:pt>
                <c:pt idx="21">
                  <c:v>88293</c:v>
                </c:pt>
                <c:pt idx="22">
                  <c:v>61137</c:v>
                </c:pt>
                <c:pt idx="23">
                  <c:v>53265</c:v>
                </c:pt>
                <c:pt idx="24">
                  <c:v>62900</c:v>
                </c:pt>
                <c:pt idx="25">
                  <c:v>84310</c:v>
                </c:pt>
                <c:pt idx="26">
                  <c:v>58015</c:v>
                </c:pt>
                <c:pt idx="27">
                  <c:v>53809</c:v>
                </c:pt>
                <c:pt idx="28">
                  <c:v>64040</c:v>
                </c:pt>
                <c:pt idx="29">
                  <c:v>91819</c:v>
                </c:pt>
                <c:pt idx="30">
                  <c:v>58313</c:v>
                </c:pt>
                <c:pt idx="31">
                  <c:v>59685</c:v>
                </c:pt>
                <c:pt idx="32">
                  <c:v>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A-B548-A5A1-96FDD5C1B865}"/>
            </c:ext>
          </c:extLst>
        </c:ser>
        <c:ser>
          <c:idx val="3"/>
          <c:order val="3"/>
          <c:tx>
            <c:strRef>
              <c:f>'9'!$E$1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'9'!$E$2:$E$34</c:f>
              <c:numCache>
                <c:formatCode>General</c:formatCode>
                <c:ptCount val="33"/>
                <c:pt idx="0">
                  <c:v>10944</c:v>
                </c:pt>
                <c:pt idx="1">
                  <c:v>17210</c:v>
                </c:pt>
                <c:pt idx="2">
                  <c:v>12558</c:v>
                </c:pt>
                <c:pt idx="3">
                  <c:v>9201</c:v>
                </c:pt>
                <c:pt idx="4">
                  <c:v>10030</c:v>
                </c:pt>
                <c:pt idx="5">
                  <c:v>17463</c:v>
                </c:pt>
                <c:pt idx="6">
                  <c:v>13593</c:v>
                </c:pt>
                <c:pt idx="7">
                  <c:v>10282</c:v>
                </c:pt>
                <c:pt idx="8">
                  <c:v>11165</c:v>
                </c:pt>
                <c:pt idx="9">
                  <c:v>24246</c:v>
                </c:pt>
                <c:pt idx="10">
                  <c:v>18278</c:v>
                </c:pt>
                <c:pt idx="11">
                  <c:v>14083</c:v>
                </c:pt>
                <c:pt idx="12">
                  <c:v>14623</c:v>
                </c:pt>
                <c:pt idx="13">
                  <c:v>24171</c:v>
                </c:pt>
                <c:pt idx="14">
                  <c:v>13987</c:v>
                </c:pt>
                <c:pt idx="15">
                  <c:v>10105</c:v>
                </c:pt>
                <c:pt idx="16">
                  <c:v>11761</c:v>
                </c:pt>
                <c:pt idx="17">
                  <c:v>23359</c:v>
                </c:pt>
                <c:pt idx="18">
                  <c:v>14097</c:v>
                </c:pt>
                <c:pt idx="19">
                  <c:v>10768</c:v>
                </c:pt>
                <c:pt idx="20">
                  <c:v>13120</c:v>
                </c:pt>
                <c:pt idx="21">
                  <c:v>26274</c:v>
                </c:pt>
                <c:pt idx="22">
                  <c:v>15894</c:v>
                </c:pt>
                <c:pt idx="23">
                  <c:v>12612</c:v>
                </c:pt>
                <c:pt idx="24">
                  <c:v>16118</c:v>
                </c:pt>
                <c:pt idx="25">
                  <c:v>23346</c:v>
                </c:pt>
                <c:pt idx="26">
                  <c:v>13415</c:v>
                </c:pt>
                <c:pt idx="27">
                  <c:v>11544</c:v>
                </c:pt>
                <c:pt idx="28">
                  <c:v>15625</c:v>
                </c:pt>
                <c:pt idx="29">
                  <c:v>25569</c:v>
                </c:pt>
                <c:pt idx="30">
                  <c:v>12853</c:v>
                </c:pt>
                <c:pt idx="31">
                  <c:v>13091</c:v>
                </c:pt>
                <c:pt idx="32">
                  <c:v>14775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BA-B548-A5A1-96FDD5C1B865}"/>
            </c:ext>
          </c:extLst>
        </c:ser>
        <c:ser>
          <c:idx val="4"/>
          <c:order val="4"/>
          <c:tx>
            <c:strRef>
              <c:f>'9'!$F$1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'9'!$F$2:$F$34</c:f>
              <c:numCache>
                <c:formatCode>General</c:formatCode>
                <c:ptCount val="33"/>
                <c:pt idx="0">
                  <c:v>8223</c:v>
                </c:pt>
                <c:pt idx="1">
                  <c:v>13078</c:v>
                </c:pt>
                <c:pt idx="2">
                  <c:v>9547</c:v>
                </c:pt>
                <c:pt idx="3">
                  <c:v>6900</c:v>
                </c:pt>
                <c:pt idx="4">
                  <c:v>7512</c:v>
                </c:pt>
                <c:pt idx="5">
                  <c:v>13072</c:v>
                </c:pt>
                <c:pt idx="6">
                  <c:v>10223</c:v>
                </c:pt>
                <c:pt idx="7">
                  <c:v>7748</c:v>
                </c:pt>
                <c:pt idx="8">
                  <c:v>8467</c:v>
                </c:pt>
                <c:pt idx="9">
                  <c:v>18024</c:v>
                </c:pt>
                <c:pt idx="10">
                  <c:v>13569</c:v>
                </c:pt>
                <c:pt idx="11">
                  <c:v>10677</c:v>
                </c:pt>
                <c:pt idx="12">
                  <c:v>11124</c:v>
                </c:pt>
                <c:pt idx="13">
                  <c:v>18361</c:v>
                </c:pt>
                <c:pt idx="14">
                  <c:v>10516</c:v>
                </c:pt>
                <c:pt idx="15">
                  <c:v>7796</c:v>
                </c:pt>
                <c:pt idx="16">
                  <c:v>9014</c:v>
                </c:pt>
                <c:pt idx="17">
                  <c:v>17891</c:v>
                </c:pt>
                <c:pt idx="18">
                  <c:v>11029</c:v>
                </c:pt>
                <c:pt idx="19">
                  <c:v>8717</c:v>
                </c:pt>
                <c:pt idx="20">
                  <c:v>10714</c:v>
                </c:pt>
                <c:pt idx="21">
                  <c:v>20065</c:v>
                </c:pt>
                <c:pt idx="22">
                  <c:v>13822</c:v>
                </c:pt>
                <c:pt idx="23">
                  <c:v>11519</c:v>
                </c:pt>
                <c:pt idx="24">
                  <c:v>14125</c:v>
                </c:pt>
                <c:pt idx="25">
                  <c:v>19965</c:v>
                </c:pt>
                <c:pt idx="26">
                  <c:v>11561</c:v>
                </c:pt>
                <c:pt idx="27">
                  <c:v>10044</c:v>
                </c:pt>
                <c:pt idx="28">
                  <c:v>13686</c:v>
                </c:pt>
                <c:pt idx="29">
                  <c:v>22236</c:v>
                </c:pt>
                <c:pt idx="30">
                  <c:v>11249</c:v>
                </c:pt>
                <c:pt idx="31">
                  <c:v>11253</c:v>
                </c:pt>
                <c:pt idx="32">
                  <c:v>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BA-B548-A5A1-96FDD5C1B865}"/>
            </c:ext>
          </c:extLst>
        </c:ser>
        <c:ser>
          <c:idx val="7"/>
          <c:order val="7"/>
          <c:tx>
            <c:strRef>
              <c:f>'9'!$I$1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'9'!$I$2:$I$34</c:f>
              <c:numCache>
                <c:formatCode>General</c:formatCode>
                <c:ptCount val="33"/>
                <c:pt idx="0">
                  <c:v>0</c:v>
                </c:pt>
                <c:pt idx="1">
                  <c:v>12.02</c:v>
                </c:pt>
                <c:pt idx="2">
                  <c:v>12.02</c:v>
                </c:pt>
                <c:pt idx="3">
                  <c:v>18.98</c:v>
                </c:pt>
                <c:pt idx="4">
                  <c:v>27.42</c:v>
                </c:pt>
                <c:pt idx="5">
                  <c:v>28.68</c:v>
                </c:pt>
                <c:pt idx="6">
                  <c:v>29.18</c:v>
                </c:pt>
                <c:pt idx="7">
                  <c:v>29.04</c:v>
                </c:pt>
                <c:pt idx="8">
                  <c:v>28.58</c:v>
                </c:pt>
                <c:pt idx="9">
                  <c:v>28.08</c:v>
                </c:pt>
                <c:pt idx="10">
                  <c:v>24.81</c:v>
                </c:pt>
                <c:pt idx="11">
                  <c:v>23.21</c:v>
                </c:pt>
                <c:pt idx="12">
                  <c:v>22.26</c:v>
                </c:pt>
                <c:pt idx="13">
                  <c:v>21.48</c:v>
                </c:pt>
                <c:pt idx="14">
                  <c:v>21.5</c:v>
                </c:pt>
                <c:pt idx="15">
                  <c:v>23.06</c:v>
                </c:pt>
                <c:pt idx="16">
                  <c:v>24.8</c:v>
                </c:pt>
                <c:pt idx="17">
                  <c:v>26.23</c:v>
                </c:pt>
                <c:pt idx="18">
                  <c:v>26.58</c:v>
                </c:pt>
                <c:pt idx="19">
                  <c:v>26.57</c:v>
                </c:pt>
                <c:pt idx="20">
                  <c:v>26.5</c:v>
                </c:pt>
                <c:pt idx="21">
                  <c:v>26.06</c:v>
                </c:pt>
                <c:pt idx="22">
                  <c:v>25.26</c:v>
                </c:pt>
                <c:pt idx="23">
                  <c:v>24.28</c:v>
                </c:pt>
                <c:pt idx="24">
                  <c:v>23.69</c:v>
                </c:pt>
                <c:pt idx="25">
                  <c:v>22.84</c:v>
                </c:pt>
                <c:pt idx="26">
                  <c:v>23.11</c:v>
                </c:pt>
                <c:pt idx="27">
                  <c:v>24.46</c:v>
                </c:pt>
                <c:pt idx="28">
                  <c:v>25.13</c:v>
                </c:pt>
                <c:pt idx="29">
                  <c:v>25.23</c:v>
                </c:pt>
                <c:pt idx="30">
                  <c:v>23.94</c:v>
                </c:pt>
                <c:pt idx="31">
                  <c:v>24.08</c:v>
                </c:pt>
                <c:pt idx="32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BA-B548-A5A1-96FDD5C1B865}"/>
            </c:ext>
          </c:extLst>
        </c:ser>
        <c:ser>
          <c:idx val="8"/>
          <c:order val="8"/>
          <c:tx>
            <c:strRef>
              <c:f>'9'!$J$1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'9'!$J$2:$J$34</c:f>
              <c:numCache>
                <c:formatCode>General</c:formatCode>
                <c:ptCount val="33"/>
                <c:pt idx="0">
                  <c:v>9136</c:v>
                </c:pt>
                <c:pt idx="1">
                  <c:v>23426</c:v>
                </c:pt>
                <c:pt idx="2">
                  <c:v>12504</c:v>
                </c:pt>
                <c:pt idx="3">
                  <c:v>7828</c:v>
                </c:pt>
                <c:pt idx="4">
                  <c:v>9908</c:v>
                </c:pt>
                <c:pt idx="5">
                  <c:v>22670</c:v>
                </c:pt>
                <c:pt idx="6">
                  <c:v>13538</c:v>
                </c:pt>
                <c:pt idx="7">
                  <c:v>10255</c:v>
                </c:pt>
                <c:pt idx="8">
                  <c:v>13250</c:v>
                </c:pt>
                <c:pt idx="9">
                  <c:v>33722</c:v>
                </c:pt>
                <c:pt idx="10">
                  <c:v>19081</c:v>
                </c:pt>
                <c:pt idx="11">
                  <c:v>14988</c:v>
                </c:pt>
                <c:pt idx="12">
                  <c:v>13475</c:v>
                </c:pt>
                <c:pt idx="13">
                  <c:v>27463</c:v>
                </c:pt>
                <c:pt idx="14">
                  <c:v>11601</c:v>
                </c:pt>
                <c:pt idx="15">
                  <c:v>10634</c:v>
                </c:pt>
                <c:pt idx="16">
                  <c:v>16126</c:v>
                </c:pt>
                <c:pt idx="17">
                  <c:v>27056</c:v>
                </c:pt>
                <c:pt idx="18">
                  <c:v>12523</c:v>
                </c:pt>
                <c:pt idx="19">
                  <c:v>8363</c:v>
                </c:pt>
                <c:pt idx="20">
                  <c:v>15656</c:v>
                </c:pt>
                <c:pt idx="21">
                  <c:v>28293</c:v>
                </c:pt>
                <c:pt idx="22">
                  <c:v>15130</c:v>
                </c:pt>
                <c:pt idx="23">
                  <c:v>14488</c:v>
                </c:pt>
                <c:pt idx="24">
                  <c:v>19523</c:v>
                </c:pt>
                <c:pt idx="25">
                  <c:v>26690</c:v>
                </c:pt>
                <c:pt idx="26">
                  <c:v>11155</c:v>
                </c:pt>
                <c:pt idx="27">
                  <c:v>11636</c:v>
                </c:pt>
                <c:pt idx="28">
                  <c:v>19910</c:v>
                </c:pt>
                <c:pt idx="29">
                  <c:v>30516</c:v>
                </c:pt>
                <c:pt idx="30">
                  <c:v>13311</c:v>
                </c:pt>
                <c:pt idx="31">
                  <c:v>16271</c:v>
                </c:pt>
                <c:pt idx="32">
                  <c:v>20576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88064"/>
        <c:axId val="78089600"/>
      </c:lineChart>
      <c:lineChart>
        <c:grouping val="standard"/>
        <c:varyColors val="0"/>
        <c:ser>
          <c:idx val="5"/>
          <c:order val="5"/>
          <c:tx>
            <c:strRef>
              <c:f>'9'!$G$1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'9'!$G$2:$G$34</c:f>
              <c:numCache>
                <c:formatCode>General</c:formatCode>
                <c:ptCount val="33"/>
                <c:pt idx="0">
                  <c:v>30.43</c:v>
                </c:pt>
                <c:pt idx="1">
                  <c:v>31.57</c:v>
                </c:pt>
                <c:pt idx="2">
                  <c:v>28.8</c:v>
                </c:pt>
                <c:pt idx="3">
                  <c:v>26.05</c:v>
                </c:pt>
                <c:pt idx="4">
                  <c:v>26.77</c:v>
                </c:pt>
                <c:pt idx="5">
                  <c:v>30.32</c:v>
                </c:pt>
                <c:pt idx="6">
                  <c:v>29.78</c:v>
                </c:pt>
                <c:pt idx="7">
                  <c:v>27.47</c:v>
                </c:pt>
                <c:pt idx="8">
                  <c:v>26.51</c:v>
                </c:pt>
                <c:pt idx="9">
                  <c:v>32.5</c:v>
                </c:pt>
                <c:pt idx="10">
                  <c:v>31.51</c:v>
                </c:pt>
                <c:pt idx="11">
                  <c:v>28.39</c:v>
                </c:pt>
                <c:pt idx="12">
                  <c:v>28.39</c:v>
                </c:pt>
                <c:pt idx="13">
                  <c:v>31.86</c:v>
                </c:pt>
                <c:pt idx="14">
                  <c:v>27.67</c:v>
                </c:pt>
                <c:pt idx="15">
                  <c:v>23.86</c:v>
                </c:pt>
                <c:pt idx="16">
                  <c:v>25.1</c:v>
                </c:pt>
                <c:pt idx="17">
                  <c:v>29.81</c:v>
                </c:pt>
                <c:pt idx="18">
                  <c:v>26.65</c:v>
                </c:pt>
                <c:pt idx="19">
                  <c:v>23.71</c:v>
                </c:pt>
                <c:pt idx="20">
                  <c:v>24.95</c:v>
                </c:pt>
                <c:pt idx="21">
                  <c:v>29.76</c:v>
                </c:pt>
                <c:pt idx="22">
                  <c:v>26</c:v>
                </c:pt>
                <c:pt idx="23">
                  <c:v>23.68</c:v>
                </c:pt>
                <c:pt idx="24">
                  <c:v>25.62</c:v>
                </c:pt>
                <c:pt idx="25">
                  <c:v>27.69</c:v>
                </c:pt>
                <c:pt idx="26">
                  <c:v>23.12</c:v>
                </c:pt>
                <c:pt idx="27">
                  <c:v>21.45</c:v>
                </c:pt>
                <c:pt idx="28">
                  <c:v>24.4</c:v>
                </c:pt>
                <c:pt idx="29">
                  <c:v>27.85</c:v>
                </c:pt>
                <c:pt idx="30">
                  <c:v>22.04</c:v>
                </c:pt>
                <c:pt idx="31">
                  <c:v>21.93</c:v>
                </c:pt>
                <c:pt idx="32">
                  <c:v>22.84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BA-B548-A5A1-96FDD5C1B865}"/>
            </c:ext>
          </c:extLst>
        </c:ser>
        <c:ser>
          <c:idx val="6"/>
          <c:order val="6"/>
          <c:tx>
            <c:strRef>
              <c:f>'9'!$H$1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'9'!$A$2:$A$34</c:f>
              <c:strCache>
                <c:ptCount val="33"/>
                <c:pt idx="0">
                  <c:v>2012/09/04</c:v>
                </c:pt>
                <c:pt idx="1">
                  <c:v>2012/12/03</c:v>
                </c:pt>
                <c:pt idx="2">
                  <c:v>2013/03/01</c:v>
                </c:pt>
                <c:pt idx="3">
                  <c:v>2013/06/03</c:v>
                </c:pt>
                <c:pt idx="4">
                  <c:v>2013/09/03</c:v>
                </c:pt>
                <c:pt idx="5">
                  <c:v>2013/12/02</c:v>
                </c:pt>
                <c:pt idx="6">
                  <c:v>2014/03/03</c:v>
                </c:pt>
                <c:pt idx="7">
                  <c:v>2014/06/02</c:v>
                </c:pt>
                <c:pt idx="8">
                  <c:v>2014/09/02</c:v>
                </c:pt>
                <c:pt idx="9">
                  <c:v>2014/12/01</c:v>
                </c:pt>
                <c:pt idx="10">
                  <c:v>2015/03/02</c:v>
                </c:pt>
                <c:pt idx="11">
                  <c:v>2015/06/01</c:v>
                </c:pt>
                <c:pt idx="12">
                  <c:v>2015/09/01</c:v>
                </c:pt>
                <c:pt idx="13">
                  <c:v>2015/12/01</c:v>
                </c:pt>
                <c:pt idx="14">
                  <c:v>2016/03/01</c:v>
                </c:pt>
                <c:pt idx="15">
                  <c:v>2016/06/01</c:v>
                </c:pt>
                <c:pt idx="16">
                  <c:v>2016/09/01</c:v>
                </c:pt>
                <c:pt idx="17">
                  <c:v>2016/12/01</c:v>
                </c:pt>
                <c:pt idx="18">
                  <c:v>2017/03/01</c:v>
                </c:pt>
                <c:pt idx="19">
                  <c:v>2017/06/01</c:v>
                </c:pt>
                <c:pt idx="20">
                  <c:v>2017/09/01</c:v>
                </c:pt>
                <c:pt idx="21">
                  <c:v>2017/12/01</c:v>
                </c:pt>
                <c:pt idx="22">
                  <c:v>2018/03/01</c:v>
                </c:pt>
                <c:pt idx="23">
                  <c:v>2018/06/01</c:v>
                </c:pt>
                <c:pt idx="24">
                  <c:v>2018/09/04</c:v>
                </c:pt>
                <c:pt idx="25">
                  <c:v>2018/12/03</c:v>
                </c:pt>
                <c:pt idx="26">
                  <c:v>2019/03/01</c:v>
                </c:pt>
                <c:pt idx="27">
                  <c:v>2019/06/03</c:v>
                </c:pt>
                <c:pt idx="28">
                  <c:v>2019/09/03</c:v>
                </c:pt>
                <c:pt idx="29">
                  <c:v>2019/12/02</c:v>
                </c:pt>
                <c:pt idx="30">
                  <c:v>2020/03/02</c:v>
                </c:pt>
                <c:pt idx="31">
                  <c:v>2020/06/01</c:v>
                </c:pt>
                <c:pt idx="32">
                  <c:v>2020/09/01</c:v>
                </c:pt>
              </c:strCache>
            </c:strRef>
          </c:cat>
          <c:val>
            <c:numRef>
              <c:f>'9'!$H$2:$H$34</c:f>
              <c:numCache>
                <c:formatCode>General</c:formatCode>
                <c:ptCount val="33"/>
                <c:pt idx="0">
                  <c:v>22.86</c:v>
                </c:pt>
                <c:pt idx="1">
                  <c:v>23.99</c:v>
                </c:pt>
                <c:pt idx="2">
                  <c:v>21.9</c:v>
                </c:pt>
                <c:pt idx="3">
                  <c:v>19.53</c:v>
                </c:pt>
                <c:pt idx="4">
                  <c:v>20.05</c:v>
                </c:pt>
                <c:pt idx="5">
                  <c:v>22.7</c:v>
                </c:pt>
                <c:pt idx="6">
                  <c:v>22.4</c:v>
                </c:pt>
                <c:pt idx="7">
                  <c:v>20.7</c:v>
                </c:pt>
                <c:pt idx="8">
                  <c:v>20.100000000000001</c:v>
                </c:pt>
                <c:pt idx="9">
                  <c:v>24.16</c:v>
                </c:pt>
                <c:pt idx="10">
                  <c:v>23.39</c:v>
                </c:pt>
                <c:pt idx="11">
                  <c:v>21.52</c:v>
                </c:pt>
                <c:pt idx="12">
                  <c:v>21.6</c:v>
                </c:pt>
                <c:pt idx="13">
                  <c:v>24.2</c:v>
                </c:pt>
                <c:pt idx="14">
                  <c:v>20.8</c:v>
                </c:pt>
                <c:pt idx="15">
                  <c:v>18.41</c:v>
                </c:pt>
                <c:pt idx="16">
                  <c:v>19.239999999999998</c:v>
                </c:pt>
                <c:pt idx="17">
                  <c:v>22.83</c:v>
                </c:pt>
                <c:pt idx="18">
                  <c:v>20.85</c:v>
                </c:pt>
                <c:pt idx="19">
                  <c:v>19.2</c:v>
                </c:pt>
                <c:pt idx="20">
                  <c:v>20.38</c:v>
                </c:pt>
                <c:pt idx="21">
                  <c:v>22.73</c:v>
                </c:pt>
                <c:pt idx="22">
                  <c:v>22.61</c:v>
                </c:pt>
                <c:pt idx="23">
                  <c:v>21.63</c:v>
                </c:pt>
                <c:pt idx="24">
                  <c:v>22.46</c:v>
                </c:pt>
                <c:pt idx="25">
                  <c:v>23.68</c:v>
                </c:pt>
                <c:pt idx="26">
                  <c:v>19.93</c:v>
                </c:pt>
                <c:pt idx="27">
                  <c:v>18.670000000000002</c:v>
                </c:pt>
                <c:pt idx="28">
                  <c:v>21.37</c:v>
                </c:pt>
                <c:pt idx="29">
                  <c:v>24.22</c:v>
                </c:pt>
                <c:pt idx="30">
                  <c:v>19.29</c:v>
                </c:pt>
                <c:pt idx="31">
                  <c:v>18.850000000000001</c:v>
                </c:pt>
                <c:pt idx="32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BA-B548-A5A1-96FDD5C1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87136"/>
        <c:axId val="78185600"/>
      </c:lineChart>
      <c:catAx>
        <c:axId val="780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9600"/>
        <c:crosses val="autoZero"/>
        <c:auto val="1"/>
        <c:lblAlgn val="ctr"/>
        <c:lblOffset val="100"/>
        <c:tickMarkSkip val="1"/>
        <c:noMultiLvlLbl val="0"/>
      </c:catAx>
      <c:valAx>
        <c:axId val="780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088064"/>
        <c:crosses val="autoZero"/>
        <c:crossBetween val="between"/>
      </c:valAx>
      <c:valAx>
        <c:axId val="7818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187136"/>
        <c:crosses val="max"/>
        <c:crossBetween val="between"/>
      </c:valAx>
      <c:catAx>
        <c:axId val="7818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18560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'9'!$K$3:$K$33</c:f>
              <c:numCache>
                <c:formatCode>General</c:formatCode>
                <c:ptCount val="31"/>
                <c:pt idx="0">
                  <c:v>0</c:v>
                </c:pt>
                <c:pt idx="1">
                  <c:v>0.18181818181818185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8.3333333333333301E-2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7.6923076923076983E-2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7.142857142857148E-2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0.12499999999999993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0.11111111111111106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5.2631578947368467E-2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9.5238095238095191E-2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A441-9F2A-EA0134B3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16576"/>
        <c:axId val="78222464"/>
      </c:lineChart>
      <c:catAx>
        <c:axId val="782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22464"/>
        <c:crosses val="autoZero"/>
        <c:auto val="1"/>
        <c:lblAlgn val="ctr"/>
        <c:lblOffset val="100"/>
        <c:tickMarkSkip val="1"/>
        <c:noMultiLvlLbl val="0"/>
      </c:catAx>
      <c:valAx>
        <c:axId val="782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2165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[1]Sheet1!$B$6:$B$301</c:f>
              <c:numCache>
                <c:formatCode>General</c:formatCode>
                <c:ptCount val="296"/>
                <c:pt idx="0">
                  <c:v>44773</c:v>
                </c:pt>
                <c:pt idx="1">
                  <c:v>44742</c:v>
                </c:pt>
                <c:pt idx="2">
                  <c:v>44712</c:v>
                </c:pt>
                <c:pt idx="3">
                  <c:v>44681</c:v>
                </c:pt>
                <c:pt idx="4">
                  <c:v>44651</c:v>
                </c:pt>
                <c:pt idx="5">
                  <c:v>44620</c:v>
                </c:pt>
                <c:pt idx="6">
                  <c:v>44592</c:v>
                </c:pt>
                <c:pt idx="7">
                  <c:v>44561</c:v>
                </c:pt>
                <c:pt idx="8">
                  <c:v>44530</c:v>
                </c:pt>
                <c:pt idx="9">
                  <c:v>44500</c:v>
                </c:pt>
                <c:pt idx="10">
                  <c:v>44469</c:v>
                </c:pt>
                <c:pt idx="11">
                  <c:v>44439</c:v>
                </c:pt>
                <c:pt idx="12">
                  <c:v>44408</c:v>
                </c:pt>
                <c:pt idx="13">
                  <c:v>44377</c:v>
                </c:pt>
                <c:pt idx="14">
                  <c:v>44347</c:v>
                </c:pt>
                <c:pt idx="15">
                  <c:v>44316</c:v>
                </c:pt>
                <c:pt idx="16">
                  <c:v>44286</c:v>
                </c:pt>
                <c:pt idx="17">
                  <c:v>44255</c:v>
                </c:pt>
                <c:pt idx="18">
                  <c:v>44227</c:v>
                </c:pt>
                <c:pt idx="19">
                  <c:v>44196</c:v>
                </c:pt>
                <c:pt idx="20">
                  <c:v>44165</c:v>
                </c:pt>
                <c:pt idx="21">
                  <c:v>44135</c:v>
                </c:pt>
                <c:pt idx="22">
                  <c:v>44104</c:v>
                </c:pt>
                <c:pt idx="23">
                  <c:v>44074</c:v>
                </c:pt>
                <c:pt idx="24">
                  <c:v>44043</c:v>
                </c:pt>
                <c:pt idx="25">
                  <c:v>44012</c:v>
                </c:pt>
                <c:pt idx="26">
                  <c:v>43982</c:v>
                </c:pt>
                <c:pt idx="27">
                  <c:v>43951</c:v>
                </c:pt>
                <c:pt idx="28">
                  <c:v>43921</c:v>
                </c:pt>
                <c:pt idx="29">
                  <c:v>43890</c:v>
                </c:pt>
                <c:pt idx="30">
                  <c:v>43861</c:v>
                </c:pt>
                <c:pt idx="31">
                  <c:v>43830</c:v>
                </c:pt>
                <c:pt idx="32">
                  <c:v>43799</c:v>
                </c:pt>
                <c:pt idx="33">
                  <c:v>43769</c:v>
                </c:pt>
                <c:pt idx="34">
                  <c:v>43738</c:v>
                </c:pt>
                <c:pt idx="35">
                  <c:v>43708</c:v>
                </c:pt>
                <c:pt idx="36">
                  <c:v>43677</c:v>
                </c:pt>
                <c:pt idx="37">
                  <c:v>43646</c:v>
                </c:pt>
                <c:pt idx="38">
                  <c:v>43616</c:v>
                </c:pt>
                <c:pt idx="39">
                  <c:v>43585</c:v>
                </c:pt>
                <c:pt idx="40">
                  <c:v>43555</c:v>
                </c:pt>
                <c:pt idx="41">
                  <c:v>43524</c:v>
                </c:pt>
                <c:pt idx="42">
                  <c:v>43496</c:v>
                </c:pt>
                <c:pt idx="43">
                  <c:v>43465</c:v>
                </c:pt>
                <c:pt idx="44">
                  <c:v>43434</c:v>
                </c:pt>
                <c:pt idx="45">
                  <c:v>43404</c:v>
                </c:pt>
                <c:pt idx="46">
                  <c:v>43373</c:v>
                </c:pt>
                <c:pt idx="47">
                  <c:v>43343</c:v>
                </c:pt>
                <c:pt idx="48">
                  <c:v>43312</c:v>
                </c:pt>
                <c:pt idx="49">
                  <c:v>43281</c:v>
                </c:pt>
                <c:pt idx="50">
                  <c:v>43251</c:v>
                </c:pt>
                <c:pt idx="51">
                  <c:v>43220</c:v>
                </c:pt>
                <c:pt idx="52">
                  <c:v>43190</c:v>
                </c:pt>
                <c:pt idx="53">
                  <c:v>43159</c:v>
                </c:pt>
                <c:pt idx="54">
                  <c:v>43131</c:v>
                </c:pt>
                <c:pt idx="55">
                  <c:v>43100</c:v>
                </c:pt>
                <c:pt idx="56">
                  <c:v>43069</c:v>
                </c:pt>
                <c:pt idx="57">
                  <c:v>43039</c:v>
                </c:pt>
                <c:pt idx="58">
                  <c:v>43008</c:v>
                </c:pt>
                <c:pt idx="59">
                  <c:v>42978</c:v>
                </c:pt>
                <c:pt idx="60">
                  <c:v>42947</c:v>
                </c:pt>
                <c:pt idx="61">
                  <c:v>42916</c:v>
                </c:pt>
                <c:pt idx="62">
                  <c:v>42886</c:v>
                </c:pt>
                <c:pt idx="63">
                  <c:v>42855</c:v>
                </c:pt>
                <c:pt idx="64">
                  <c:v>42825</c:v>
                </c:pt>
                <c:pt idx="65">
                  <c:v>42794</c:v>
                </c:pt>
                <c:pt idx="66">
                  <c:v>42766</c:v>
                </c:pt>
                <c:pt idx="67">
                  <c:v>42735</c:v>
                </c:pt>
                <c:pt idx="68">
                  <c:v>42704</c:v>
                </c:pt>
                <c:pt idx="69">
                  <c:v>42674</c:v>
                </c:pt>
                <c:pt idx="70">
                  <c:v>42643</c:v>
                </c:pt>
                <c:pt idx="71">
                  <c:v>42613</c:v>
                </c:pt>
                <c:pt idx="72">
                  <c:v>42582</c:v>
                </c:pt>
                <c:pt idx="73">
                  <c:v>42551</c:v>
                </c:pt>
                <c:pt idx="74">
                  <c:v>42521</c:v>
                </c:pt>
                <c:pt idx="75">
                  <c:v>42490</c:v>
                </c:pt>
                <c:pt idx="76">
                  <c:v>42460</c:v>
                </c:pt>
                <c:pt idx="77">
                  <c:v>42429</c:v>
                </c:pt>
                <c:pt idx="78">
                  <c:v>42400</c:v>
                </c:pt>
                <c:pt idx="79">
                  <c:v>42369</c:v>
                </c:pt>
                <c:pt idx="80">
                  <c:v>42338</c:v>
                </c:pt>
                <c:pt idx="81">
                  <c:v>42308</c:v>
                </c:pt>
                <c:pt idx="82">
                  <c:v>42277</c:v>
                </c:pt>
                <c:pt idx="83">
                  <c:v>42247</c:v>
                </c:pt>
                <c:pt idx="84">
                  <c:v>42216</c:v>
                </c:pt>
                <c:pt idx="85">
                  <c:v>42185</c:v>
                </c:pt>
                <c:pt idx="86">
                  <c:v>42155</c:v>
                </c:pt>
                <c:pt idx="87">
                  <c:v>42124</c:v>
                </c:pt>
                <c:pt idx="88">
                  <c:v>42094</c:v>
                </c:pt>
                <c:pt idx="89">
                  <c:v>42063</c:v>
                </c:pt>
                <c:pt idx="90">
                  <c:v>42035</c:v>
                </c:pt>
                <c:pt idx="91">
                  <c:v>42004</c:v>
                </c:pt>
                <c:pt idx="92">
                  <c:v>41973</c:v>
                </c:pt>
                <c:pt idx="93">
                  <c:v>41943</c:v>
                </c:pt>
                <c:pt idx="94">
                  <c:v>41912</c:v>
                </c:pt>
                <c:pt idx="95">
                  <c:v>41882</c:v>
                </c:pt>
                <c:pt idx="96">
                  <c:v>41851</c:v>
                </c:pt>
                <c:pt idx="97">
                  <c:v>41820</c:v>
                </c:pt>
                <c:pt idx="98">
                  <c:v>41790</c:v>
                </c:pt>
                <c:pt idx="99">
                  <c:v>41759</c:v>
                </c:pt>
                <c:pt idx="100">
                  <c:v>41729</c:v>
                </c:pt>
                <c:pt idx="101">
                  <c:v>41698</c:v>
                </c:pt>
                <c:pt idx="102">
                  <c:v>41670</c:v>
                </c:pt>
                <c:pt idx="103">
                  <c:v>41639</c:v>
                </c:pt>
                <c:pt idx="104">
                  <c:v>41608</c:v>
                </c:pt>
                <c:pt idx="105">
                  <c:v>41578</c:v>
                </c:pt>
                <c:pt idx="106">
                  <c:v>41547</c:v>
                </c:pt>
                <c:pt idx="107">
                  <c:v>41517</c:v>
                </c:pt>
                <c:pt idx="108">
                  <c:v>41486</c:v>
                </c:pt>
                <c:pt idx="109">
                  <c:v>41455</c:v>
                </c:pt>
                <c:pt idx="110">
                  <c:v>41425</c:v>
                </c:pt>
                <c:pt idx="111">
                  <c:v>41394</c:v>
                </c:pt>
                <c:pt idx="112">
                  <c:v>41364</c:v>
                </c:pt>
                <c:pt idx="113">
                  <c:v>41333</c:v>
                </c:pt>
                <c:pt idx="114">
                  <c:v>41305</c:v>
                </c:pt>
                <c:pt idx="115">
                  <c:v>41274</c:v>
                </c:pt>
                <c:pt idx="116">
                  <c:v>41243</c:v>
                </c:pt>
                <c:pt idx="117">
                  <c:v>41213</c:v>
                </c:pt>
                <c:pt idx="118">
                  <c:v>41182</c:v>
                </c:pt>
                <c:pt idx="119">
                  <c:v>41152</c:v>
                </c:pt>
                <c:pt idx="120">
                  <c:v>41121</c:v>
                </c:pt>
                <c:pt idx="121">
                  <c:v>41090</c:v>
                </c:pt>
                <c:pt idx="122">
                  <c:v>41060</c:v>
                </c:pt>
                <c:pt idx="123">
                  <c:v>41029</c:v>
                </c:pt>
                <c:pt idx="124">
                  <c:v>40999</c:v>
                </c:pt>
                <c:pt idx="125">
                  <c:v>40968</c:v>
                </c:pt>
                <c:pt idx="126">
                  <c:v>40939</c:v>
                </c:pt>
                <c:pt idx="127">
                  <c:v>40908</c:v>
                </c:pt>
                <c:pt idx="128">
                  <c:v>40877</c:v>
                </c:pt>
                <c:pt idx="129">
                  <c:v>40847</c:v>
                </c:pt>
                <c:pt idx="130">
                  <c:v>40816</c:v>
                </c:pt>
                <c:pt idx="131">
                  <c:v>40786</c:v>
                </c:pt>
                <c:pt idx="132">
                  <c:v>40755</c:v>
                </c:pt>
                <c:pt idx="133">
                  <c:v>40724</c:v>
                </c:pt>
                <c:pt idx="134">
                  <c:v>40694</c:v>
                </c:pt>
                <c:pt idx="135">
                  <c:v>40663</c:v>
                </c:pt>
                <c:pt idx="136">
                  <c:v>40633</c:v>
                </c:pt>
                <c:pt idx="137">
                  <c:v>40602</c:v>
                </c:pt>
                <c:pt idx="138">
                  <c:v>40574</c:v>
                </c:pt>
                <c:pt idx="139">
                  <c:v>40543</c:v>
                </c:pt>
                <c:pt idx="140">
                  <c:v>40512</c:v>
                </c:pt>
                <c:pt idx="141">
                  <c:v>40482</c:v>
                </c:pt>
                <c:pt idx="142">
                  <c:v>40451</c:v>
                </c:pt>
                <c:pt idx="143">
                  <c:v>40421</c:v>
                </c:pt>
                <c:pt idx="144">
                  <c:v>40390</c:v>
                </c:pt>
                <c:pt idx="145">
                  <c:v>40359</c:v>
                </c:pt>
                <c:pt idx="146">
                  <c:v>40329</c:v>
                </c:pt>
                <c:pt idx="147">
                  <c:v>40298</c:v>
                </c:pt>
                <c:pt idx="148">
                  <c:v>40268</c:v>
                </c:pt>
                <c:pt idx="149">
                  <c:v>40237</c:v>
                </c:pt>
                <c:pt idx="150">
                  <c:v>40209</c:v>
                </c:pt>
                <c:pt idx="151">
                  <c:v>40178</c:v>
                </c:pt>
                <c:pt idx="152">
                  <c:v>40147</c:v>
                </c:pt>
                <c:pt idx="153">
                  <c:v>40117</c:v>
                </c:pt>
                <c:pt idx="154">
                  <c:v>40086</c:v>
                </c:pt>
                <c:pt idx="155">
                  <c:v>40056</c:v>
                </c:pt>
                <c:pt idx="156">
                  <c:v>40025</c:v>
                </c:pt>
                <c:pt idx="157">
                  <c:v>39994</c:v>
                </c:pt>
                <c:pt idx="158">
                  <c:v>39964</c:v>
                </c:pt>
                <c:pt idx="159">
                  <c:v>39933</c:v>
                </c:pt>
                <c:pt idx="160">
                  <c:v>39903</c:v>
                </c:pt>
                <c:pt idx="161">
                  <c:v>39872</c:v>
                </c:pt>
                <c:pt idx="162">
                  <c:v>39844</c:v>
                </c:pt>
                <c:pt idx="163">
                  <c:v>39813</c:v>
                </c:pt>
                <c:pt idx="164">
                  <c:v>39782</c:v>
                </c:pt>
                <c:pt idx="165">
                  <c:v>39752</c:v>
                </c:pt>
                <c:pt idx="166">
                  <c:v>39721</c:v>
                </c:pt>
                <c:pt idx="167">
                  <c:v>39691</c:v>
                </c:pt>
                <c:pt idx="168">
                  <c:v>39660</c:v>
                </c:pt>
                <c:pt idx="169">
                  <c:v>39629</c:v>
                </c:pt>
                <c:pt idx="170">
                  <c:v>39599</c:v>
                </c:pt>
                <c:pt idx="171">
                  <c:v>39568</c:v>
                </c:pt>
                <c:pt idx="172">
                  <c:v>39538</c:v>
                </c:pt>
                <c:pt idx="173">
                  <c:v>39507</c:v>
                </c:pt>
                <c:pt idx="174">
                  <c:v>39478</c:v>
                </c:pt>
                <c:pt idx="175">
                  <c:v>39447</c:v>
                </c:pt>
                <c:pt idx="176">
                  <c:v>39416</c:v>
                </c:pt>
                <c:pt idx="177">
                  <c:v>39386</c:v>
                </c:pt>
                <c:pt idx="178">
                  <c:v>39355</c:v>
                </c:pt>
                <c:pt idx="179">
                  <c:v>39325</c:v>
                </c:pt>
                <c:pt idx="180">
                  <c:v>39294</c:v>
                </c:pt>
                <c:pt idx="181">
                  <c:v>39263</c:v>
                </c:pt>
                <c:pt idx="182">
                  <c:v>39233</c:v>
                </c:pt>
                <c:pt idx="183">
                  <c:v>39202</c:v>
                </c:pt>
                <c:pt idx="184">
                  <c:v>39172</c:v>
                </c:pt>
                <c:pt idx="185">
                  <c:v>39141</c:v>
                </c:pt>
                <c:pt idx="186">
                  <c:v>39113</c:v>
                </c:pt>
                <c:pt idx="187">
                  <c:v>39082</c:v>
                </c:pt>
                <c:pt idx="188">
                  <c:v>39051</c:v>
                </c:pt>
                <c:pt idx="189">
                  <c:v>39021</c:v>
                </c:pt>
                <c:pt idx="190">
                  <c:v>38990</c:v>
                </c:pt>
                <c:pt idx="191">
                  <c:v>38960</c:v>
                </c:pt>
                <c:pt idx="192">
                  <c:v>38929</c:v>
                </c:pt>
                <c:pt idx="193">
                  <c:v>38898</c:v>
                </c:pt>
                <c:pt idx="194">
                  <c:v>38868</c:v>
                </c:pt>
                <c:pt idx="195">
                  <c:v>38837</c:v>
                </c:pt>
                <c:pt idx="196">
                  <c:v>38807</c:v>
                </c:pt>
                <c:pt idx="197">
                  <c:v>38776</c:v>
                </c:pt>
                <c:pt idx="198">
                  <c:v>38748</c:v>
                </c:pt>
                <c:pt idx="199">
                  <c:v>38717</c:v>
                </c:pt>
                <c:pt idx="200">
                  <c:v>38686</c:v>
                </c:pt>
                <c:pt idx="201">
                  <c:v>38656</c:v>
                </c:pt>
                <c:pt idx="202">
                  <c:v>38625</c:v>
                </c:pt>
                <c:pt idx="203">
                  <c:v>38595</c:v>
                </c:pt>
                <c:pt idx="204">
                  <c:v>38564</c:v>
                </c:pt>
                <c:pt idx="205">
                  <c:v>38533</c:v>
                </c:pt>
                <c:pt idx="206">
                  <c:v>38503</c:v>
                </c:pt>
                <c:pt idx="207">
                  <c:v>38472</c:v>
                </c:pt>
                <c:pt idx="208">
                  <c:v>38442</c:v>
                </c:pt>
                <c:pt idx="209">
                  <c:v>38411</c:v>
                </c:pt>
                <c:pt idx="210">
                  <c:v>38383</c:v>
                </c:pt>
                <c:pt idx="211">
                  <c:v>38352</c:v>
                </c:pt>
                <c:pt idx="212">
                  <c:v>38321</c:v>
                </c:pt>
                <c:pt idx="213">
                  <c:v>38291</c:v>
                </c:pt>
                <c:pt idx="214">
                  <c:v>38260</c:v>
                </c:pt>
                <c:pt idx="215">
                  <c:v>38230</c:v>
                </c:pt>
                <c:pt idx="216">
                  <c:v>38199</c:v>
                </c:pt>
                <c:pt idx="217">
                  <c:v>38168</c:v>
                </c:pt>
                <c:pt idx="218">
                  <c:v>38138</c:v>
                </c:pt>
                <c:pt idx="219">
                  <c:v>38107</c:v>
                </c:pt>
                <c:pt idx="220">
                  <c:v>38077</c:v>
                </c:pt>
                <c:pt idx="221">
                  <c:v>38046</c:v>
                </c:pt>
                <c:pt idx="222">
                  <c:v>38017</c:v>
                </c:pt>
                <c:pt idx="223">
                  <c:v>37986</c:v>
                </c:pt>
                <c:pt idx="224">
                  <c:v>37955</c:v>
                </c:pt>
                <c:pt idx="225">
                  <c:v>37925</c:v>
                </c:pt>
                <c:pt idx="226">
                  <c:v>37894</c:v>
                </c:pt>
                <c:pt idx="227">
                  <c:v>37864</c:v>
                </c:pt>
                <c:pt idx="228">
                  <c:v>37833</c:v>
                </c:pt>
                <c:pt idx="229">
                  <c:v>37802</c:v>
                </c:pt>
                <c:pt idx="230">
                  <c:v>37772</c:v>
                </c:pt>
                <c:pt idx="231">
                  <c:v>37741</c:v>
                </c:pt>
                <c:pt idx="232">
                  <c:v>37711</c:v>
                </c:pt>
                <c:pt idx="233">
                  <c:v>37680</c:v>
                </c:pt>
                <c:pt idx="234">
                  <c:v>37652</c:v>
                </c:pt>
                <c:pt idx="235">
                  <c:v>37621</c:v>
                </c:pt>
                <c:pt idx="236">
                  <c:v>37590</c:v>
                </c:pt>
                <c:pt idx="237">
                  <c:v>37560</c:v>
                </c:pt>
                <c:pt idx="238">
                  <c:v>37529</c:v>
                </c:pt>
                <c:pt idx="239">
                  <c:v>37499</c:v>
                </c:pt>
                <c:pt idx="240">
                  <c:v>37468</c:v>
                </c:pt>
                <c:pt idx="241">
                  <c:v>37437</c:v>
                </c:pt>
                <c:pt idx="242">
                  <c:v>37407</c:v>
                </c:pt>
                <c:pt idx="243">
                  <c:v>37376</c:v>
                </c:pt>
                <c:pt idx="244">
                  <c:v>37346</c:v>
                </c:pt>
                <c:pt idx="245">
                  <c:v>37315</c:v>
                </c:pt>
                <c:pt idx="246">
                  <c:v>37287</c:v>
                </c:pt>
                <c:pt idx="247">
                  <c:v>37256</c:v>
                </c:pt>
                <c:pt idx="248">
                  <c:v>37225</c:v>
                </c:pt>
                <c:pt idx="249">
                  <c:v>37195</c:v>
                </c:pt>
                <c:pt idx="250">
                  <c:v>37164</c:v>
                </c:pt>
                <c:pt idx="251">
                  <c:v>37134</c:v>
                </c:pt>
                <c:pt idx="252">
                  <c:v>37103</c:v>
                </c:pt>
                <c:pt idx="253">
                  <c:v>37072</c:v>
                </c:pt>
                <c:pt idx="254">
                  <c:v>37042</c:v>
                </c:pt>
                <c:pt idx="255">
                  <c:v>37011</c:v>
                </c:pt>
                <c:pt idx="256">
                  <c:v>36981</c:v>
                </c:pt>
                <c:pt idx="257">
                  <c:v>36950</c:v>
                </c:pt>
                <c:pt idx="258">
                  <c:v>36922</c:v>
                </c:pt>
                <c:pt idx="259">
                  <c:v>36891</c:v>
                </c:pt>
                <c:pt idx="260">
                  <c:v>36860</c:v>
                </c:pt>
                <c:pt idx="261">
                  <c:v>36830</c:v>
                </c:pt>
                <c:pt idx="262">
                  <c:v>36799</c:v>
                </c:pt>
                <c:pt idx="263">
                  <c:v>36769</c:v>
                </c:pt>
                <c:pt idx="264">
                  <c:v>36738</c:v>
                </c:pt>
                <c:pt idx="265">
                  <c:v>36707</c:v>
                </c:pt>
                <c:pt idx="266">
                  <c:v>36677</c:v>
                </c:pt>
                <c:pt idx="267">
                  <c:v>36646</c:v>
                </c:pt>
                <c:pt idx="268">
                  <c:v>36616</c:v>
                </c:pt>
                <c:pt idx="269">
                  <c:v>36585</c:v>
                </c:pt>
                <c:pt idx="270">
                  <c:v>36556</c:v>
                </c:pt>
                <c:pt idx="271">
                  <c:v>36525</c:v>
                </c:pt>
                <c:pt idx="272">
                  <c:v>36494</c:v>
                </c:pt>
                <c:pt idx="273">
                  <c:v>36464</c:v>
                </c:pt>
                <c:pt idx="274">
                  <c:v>36433</c:v>
                </c:pt>
                <c:pt idx="275">
                  <c:v>36403</c:v>
                </c:pt>
                <c:pt idx="276">
                  <c:v>36372</c:v>
                </c:pt>
                <c:pt idx="277">
                  <c:v>36341</c:v>
                </c:pt>
                <c:pt idx="278">
                  <c:v>36311</c:v>
                </c:pt>
                <c:pt idx="279">
                  <c:v>36280</c:v>
                </c:pt>
                <c:pt idx="280">
                  <c:v>36250</c:v>
                </c:pt>
                <c:pt idx="281">
                  <c:v>36219</c:v>
                </c:pt>
                <c:pt idx="282">
                  <c:v>36191</c:v>
                </c:pt>
                <c:pt idx="283">
                  <c:v>36160</c:v>
                </c:pt>
                <c:pt idx="284">
                  <c:v>36129</c:v>
                </c:pt>
                <c:pt idx="285">
                  <c:v>36099</c:v>
                </c:pt>
                <c:pt idx="286">
                  <c:v>36068</c:v>
                </c:pt>
                <c:pt idx="287">
                  <c:v>36038</c:v>
                </c:pt>
                <c:pt idx="288">
                  <c:v>36007</c:v>
                </c:pt>
                <c:pt idx="289">
                  <c:v>35976</c:v>
                </c:pt>
                <c:pt idx="290">
                  <c:v>35946</c:v>
                </c:pt>
                <c:pt idx="291">
                  <c:v>35915</c:v>
                </c:pt>
                <c:pt idx="292">
                  <c:v>35885</c:v>
                </c:pt>
                <c:pt idx="293">
                  <c:v>35854</c:v>
                </c:pt>
                <c:pt idx="294">
                  <c:v>35826</c:v>
                </c:pt>
                <c:pt idx="295">
                  <c:v>35795</c:v>
                </c:pt>
              </c:numCache>
            </c:numRef>
          </c:cat>
          <c:val>
            <c:numRef>
              <c:f>[1]Sheet1!$C$6:$C$301</c:f>
              <c:numCache>
                <c:formatCode>General</c:formatCode>
                <c:ptCount val="296"/>
                <c:pt idx="0">
                  <c:v>172.12</c:v>
                </c:pt>
                <c:pt idx="1">
                  <c:v>162.51</c:v>
                </c:pt>
                <c:pt idx="2">
                  <c:v>136.72</c:v>
                </c:pt>
                <c:pt idx="3">
                  <c:v>148.84</c:v>
                </c:pt>
                <c:pt idx="4">
                  <c:v>157.65</c:v>
                </c:pt>
                <c:pt idx="5">
                  <c:v>174.61</c:v>
                </c:pt>
                <c:pt idx="6">
                  <c:v>165.12</c:v>
                </c:pt>
                <c:pt idx="7">
                  <c:v>174.78</c:v>
                </c:pt>
                <c:pt idx="8">
                  <c:v>177.57</c:v>
                </c:pt>
                <c:pt idx="9">
                  <c:v>165.3</c:v>
                </c:pt>
                <c:pt idx="10">
                  <c:v>149.80000000000001</c:v>
                </c:pt>
                <c:pt idx="11">
                  <c:v>141.5</c:v>
                </c:pt>
                <c:pt idx="12">
                  <c:v>151.83000000000001</c:v>
                </c:pt>
                <c:pt idx="13">
                  <c:v>145.86000000000001</c:v>
                </c:pt>
                <c:pt idx="14">
                  <c:v>136.96</c:v>
                </c:pt>
                <c:pt idx="15">
                  <c:v>124.61</c:v>
                </c:pt>
                <c:pt idx="16">
                  <c:v>131.46</c:v>
                </c:pt>
                <c:pt idx="17">
                  <c:v>122.15</c:v>
                </c:pt>
                <c:pt idx="18">
                  <c:v>121.26</c:v>
                </c:pt>
                <c:pt idx="19">
                  <c:v>131.96</c:v>
                </c:pt>
                <c:pt idx="20">
                  <c:v>132.69</c:v>
                </c:pt>
                <c:pt idx="21">
                  <c:v>119.05</c:v>
                </c:pt>
                <c:pt idx="22">
                  <c:v>108.86</c:v>
                </c:pt>
                <c:pt idx="23">
                  <c:v>115.81</c:v>
                </c:pt>
                <c:pt idx="24">
                  <c:v>129.04</c:v>
                </c:pt>
                <c:pt idx="25">
                  <c:v>106.26</c:v>
                </c:pt>
                <c:pt idx="26">
                  <c:v>91.2</c:v>
                </c:pt>
                <c:pt idx="27">
                  <c:v>79.48</c:v>
                </c:pt>
                <c:pt idx="28">
                  <c:v>73.45</c:v>
                </c:pt>
                <c:pt idx="29">
                  <c:v>63.57</c:v>
                </c:pt>
                <c:pt idx="30">
                  <c:v>68.34</c:v>
                </c:pt>
                <c:pt idx="31">
                  <c:v>77.38</c:v>
                </c:pt>
                <c:pt idx="32">
                  <c:v>73.41</c:v>
                </c:pt>
                <c:pt idx="33">
                  <c:v>66.81</c:v>
                </c:pt>
                <c:pt idx="34">
                  <c:v>62.19</c:v>
                </c:pt>
                <c:pt idx="35">
                  <c:v>55.99</c:v>
                </c:pt>
                <c:pt idx="36">
                  <c:v>52.19</c:v>
                </c:pt>
                <c:pt idx="37">
                  <c:v>53.26</c:v>
                </c:pt>
                <c:pt idx="38">
                  <c:v>49.48</c:v>
                </c:pt>
                <c:pt idx="39">
                  <c:v>43.77</c:v>
                </c:pt>
                <c:pt idx="40">
                  <c:v>50.17</c:v>
                </c:pt>
                <c:pt idx="41">
                  <c:v>47.49</c:v>
                </c:pt>
                <c:pt idx="42">
                  <c:v>43.29</c:v>
                </c:pt>
                <c:pt idx="43">
                  <c:v>41.61</c:v>
                </c:pt>
                <c:pt idx="44">
                  <c:v>39.44</c:v>
                </c:pt>
                <c:pt idx="45">
                  <c:v>44.65</c:v>
                </c:pt>
                <c:pt idx="46">
                  <c:v>54.72</c:v>
                </c:pt>
                <c:pt idx="47">
                  <c:v>56.44</c:v>
                </c:pt>
                <c:pt idx="48">
                  <c:v>56.91</c:v>
                </c:pt>
                <c:pt idx="49">
                  <c:v>47.57</c:v>
                </c:pt>
                <c:pt idx="50">
                  <c:v>46.28</c:v>
                </c:pt>
                <c:pt idx="51">
                  <c:v>46.72</c:v>
                </c:pt>
                <c:pt idx="52">
                  <c:v>41.31</c:v>
                </c:pt>
                <c:pt idx="53">
                  <c:v>41.95</c:v>
                </c:pt>
                <c:pt idx="54">
                  <c:v>44.53</c:v>
                </c:pt>
                <c:pt idx="55">
                  <c:v>41.86</c:v>
                </c:pt>
                <c:pt idx="56">
                  <c:v>42.31</c:v>
                </c:pt>
                <c:pt idx="57">
                  <c:v>42.96</c:v>
                </c:pt>
                <c:pt idx="58">
                  <c:v>42.26</c:v>
                </c:pt>
                <c:pt idx="59">
                  <c:v>38.53</c:v>
                </c:pt>
                <c:pt idx="60">
                  <c:v>41</c:v>
                </c:pt>
                <c:pt idx="61">
                  <c:v>37.18</c:v>
                </c:pt>
                <c:pt idx="62">
                  <c:v>36.01</c:v>
                </c:pt>
                <c:pt idx="63">
                  <c:v>38.19</c:v>
                </c:pt>
                <c:pt idx="64">
                  <c:v>35.909999999999997</c:v>
                </c:pt>
                <c:pt idx="65">
                  <c:v>35.909999999999997</c:v>
                </c:pt>
                <c:pt idx="66">
                  <c:v>34.25</c:v>
                </c:pt>
                <c:pt idx="67">
                  <c:v>30.34</c:v>
                </c:pt>
                <c:pt idx="68">
                  <c:v>28.95</c:v>
                </c:pt>
                <c:pt idx="69">
                  <c:v>27.63</c:v>
                </c:pt>
                <c:pt idx="70">
                  <c:v>28.39</c:v>
                </c:pt>
                <c:pt idx="71">
                  <c:v>28.26</c:v>
                </c:pt>
                <c:pt idx="72">
                  <c:v>26.52</c:v>
                </c:pt>
                <c:pt idx="73">
                  <c:v>26.05</c:v>
                </c:pt>
                <c:pt idx="74">
                  <c:v>23.9</c:v>
                </c:pt>
                <c:pt idx="75">
                  <c:v>24.96</c:v>
                </c:pt>
                <c:pt idx="76">
                  <c:v>23.43</c:v>
                </c:pt>
                <c:pt idx="77">
                  <c:v>27.25</c:v>
                </c:pt>
                <c:pt idx="78">
                  <c:v>24.17</c:v>
                </c:pt>
                <c:pt idx="79">
                  <c:v>24.34</c:v>
                </c:pt>
                <c:pt idx="80">
                  <c:v>26.32</c:v>
                </c:pt>
                <c:pt idx="81">
                  <c:v>29.57</c:v>
                </c:pt>
                <c:pt idx="82">
                  <c:v>29.88</c:v>
                </c:pt>
                <c:pt idx="83">
                  <c:v>27.57</c:v>
                </c:pt>
                <c:pt idx="84">
                  <c:v>28.19</c:v>
                </c:pt>
                <c:pt idx="85">
                  <c:v>30.32</c:v>
                </c:pt>
                <c:pt idx="86">
                  <c:v>31.36</c:v>
                </c:pt>
                <c:pt idx="87">
                  <c:v>32.57</c:v>
                </c:pt>
                <c:pt idx="88">
                  <c:v>31.29</c:v>
                </c:pt>
                <c:pt idx="89">
                  <c:v>31.11</c:v>
                </c:pt>
                <c:pt idx="90">
                  <c:v>32.119999999999997</c:v>
                </c:pt>
                <c:pt idx="91">
                  <c:v>29.29</c:v>
                </c:pt>
                <c:pt idx="92">
                  <c:v>27.59</c:v>
                </c:pt>
                <c:pt idx="93">
                  <c:v>29.73</c:v>
                </c:pt>
                <c:pt idx="94">
                  <c:v>27</c:v>
                </c:pt>
                <c:pt idx="95">
                  <c:v>25.19</c:v>
                </c:pt>
                <c:pt idx="96">
                  <c:v>25.62</c:v>
                </c:pt>
                <c:pt idx="97">
                  <c:v>23.9</c:v>
                </c:pt>
                <c:pt idx="98">
                  <c:v>23.23</c:v>
                </c:pt>
                <c:pt idx="99">
                  <c:v>22.61</c:v>
                </c:pt>
                <c:pt idx="100">
                  <c:v>21.07</c:v>
                </c:pt>
                <c:pt idx="101">
                  <c:v>19.170000000000002</c:v>
                </c:pt>
                <c:pt idx="102">
                  <c:v>18.79</c:v>
                </c:pt>
                <c:pt idx="103">
                  <c:v>17.88</c:v>
                </c:pt>
                <c:pt idx="104">
                  <c:v>20.04</c:v>
                </c:pt>
                <c:pt idx="105">
                  <c:v>19.86</c:v>
                </c:pt>
                <c:pt idx="106">
                  <c:v>18.670000000000002</c:v>
                </c:pt>
                <c:pt idx="107">
                  <c:v>17.03</c:v>
                </c:pt>
                <c:pt idx="108">
                  <c:v>17.399999999999999</c:v>
                </c:pt>
                <c:pt idx="109">
                  <c:v>16.16</c:v>
                </c:pt>
                <c:pt idx="110">
                  <c:v>14.16</c:v>
                </c:pt>
                <c:pt idx="111">
                  <c:v>16.059999999999999</c:v>
                </c:pt>
                <c:pt idx="112">
                  <c:v>15.81</c:v>
                </c:pt>
                <c:pt idx="113">
                  <c:v>15.81</c:v>
                </c:pt>
                <c:pt idx="114">
                  <c:v>15.76</c:v>
                </c:pt>
                <c:pt idx="115">
                  <c:v>16.27</c:v>
                </c:pt>
                <c:pt idx="116">
                  <c:v>19.010000000000002</c:v>
                </c:pt>
                <c:pt idx="117">
                  <c:v>20.9</c:v>
                </c:pt>
                <c:pt idx="118">
                  <c:v>21.26</c:v>
                </c:pt>
                <c:pt idx="119">
                  <c:v>23.83</c:v>
                </c:pt>
                <c:pt idx="120">
                  <c:v>23.76</c:v>
                </c:pt>
                <c:pt idx="121">
                  <c:v>21.81</c:v>
                </c:pt>
                <c:pt idx="122">
                  <c:v>20.86</c:v>
                </c:pt>
                <c:pt idx="123">
                  <c:v>20.63</c:v>
                </c:pt>
                <c:pt idx="124">
                  <c:v>20.86</c:v>
                </c:pt>
                <c:pt idx="125">
                  <c:v>21.41</c:v>
                </c:pt>
                <c:pt idx="126">
                  <c:v>19.37</c:v>
                </c:pt>
                <c:pt idx="127">
                  <c:v>16.3</c:v>
                </c:pt>
                <c:pt idx="128">
                  <c:v>14.46</c:v>
                </c:pt>
                <c:pt idx="129">
                  <c:v>13.65</c:v>
                </c:pt>
                <c:pt idx="130">
                  <c:v>14.46</c:v>
                </c:pt>
                <c:pt idx="131">
                  <c:v>13.62</c:v>
                </c:pt>
                <c:pt idx="132">
                  <c:v>13.74</c:v>
                </c:pt>
                <c:pt idx="133">
                  <c:v>13.95</c:v>
                </c:pt>
                <c:pt idx="134">
                  <c:v>11.99</c:v>
                </c:pt>
                <c:pt idx="135">
                  <c:v>12.42</c:v>
                </c:pt>
                <c:pt idx="136">
                  <c:v>12.5</c:v>
                </c:pt>
                <c:pt idx="137">
                  <c:v>12.45</c:v>
                </c:pt>
                <c:pt idx="138">
                  <c:v>12.61</c:v>
                </c:pt>
                <c:pt idx="139">
                  <c:v>12.12</c:v>
                </c:pt>
                <c:pt idx="140">
                  <c:v>11.52</c:v>
                </c:pt>
                <c:pt idx="141">
                  <c:v>11.11</c:v>
                </c:pt>
                <c:pt idx="142">
                  <c:v>10.75</c:v>
                </c:pt>
                <c:pt idx="143">
                  <c:v>10.130000000000001</c:v>
                </c:pt>
                <c:pt idx="144">
                  <c:v>8.68</c:v>
                </c:pt>
                <c:pt idx="145">
                  <c:v>9.19</c:v>
                </c:pt>
                <c:pt idx="146">
                  <c:v>8.98</c:v>
                </c:pt>
                <c:pt idx="147">
                  <c:v>9.17</c:v>
                </c:pt>
                <c:pt idx="148">
                  <c:v>9.32</c:v>
                </c:pt>
                <c:pt idx="149">
                  <c:v>8.39</c:v>
                </c:pt>
                <c:pt idx="150">
                  <c:v>7.31</c:v>
                </c:pt>
                <c:pt idx="151">
                  <c:v>6.86</c:v>
                </c:pt>
                <c:pt idx="152">
                  <c:v>7.53</c:v>
                </c:pt>
                <c:pt idx="153">
                  <c:v>7.14</c:v>
                </c:pt>
                <c:pt idx="154">
                  <c:v>6.73</c:v>
                </c:pt>
                <c:pt idx="155">
                  <c:v>6.62</c:v>
                </c:pt>
                <c:pt idx="156">
                  <c:v>6.01</c:v>
                </c:pt>
                <c:pt idx="157">
                  <c:v>5.84</c:v>
                </c:pt>
                <c:pt idx="158">
                  <c:v>5.09</c:v>
                </c:pt>
                <c:pt idx="159">
                  <c:v>4.8499999999999996</c:v>
                </c:pt>
                <c:pt idx="160">
                  <c:v>4.49</c:v>
                </c:pt>
                <c:pt idx="161">
                  <c:v>3.75</c:v>
                </c:pt>
                <c:pt idx="162">
                  <c:v>3.19</c:v>
                </c:pt>
                <c:pt idx="163">
                  <c:v>3.22</c:v>
                </c:pt>
                <c:pt idx="164">
                  <c:v>3.05</c:v>
                </c:pt>
                <c:pt idx="165">
                  <c:v>3.31</c:v>
                </c:pt>
                <c:pt idx="166">
                  <c:v>3.84</c:v>
                </c:pt>
                <c:pt idx="167">
                  <c:v>4.0599999999999996</c:v>
                </c:pt>
                <c:pt idx="168">
                  <c:v>6.05</c:v>
                </c:pt>
                <c:pt idx="169">
                  <c:v>5.68</c:v>
                </c:pt>
                <c:pt idx="170">
                  <c:v>5.98</c:v>
                </c:pt>
                <c:pt idx="171">
                  <c:v>6.74</c:v>
                </c:pt>
                <c:pt idx="172">
                  <c:v>6.21</c:v>
                </c:pt>
                <c:pt idx="173">
                  <c:v>5.12</c:v>
                </c:pt>
                <c:pt idx="174">
                  <c:v>4.46</c:v>
                </c:pt>
                <c:pt idx="175">
                  <c:v>4.83</c:v>
                </c:pt>
                <c:pt idx="176">
                  <c:v>7.07</c:v>
                </c:pt>
                <c:pt idx="177">
                  <c:v>6.51</c:v>
                </c:pt>
                <c:pt idx="178">
                  <c:v>6.78</c:v>
                </c:pt>
                <c:pt idx="179">
                  <c:v>5.48</c:v>
                </c:pt>
                <c:pt idx="180">
                  <c:v>4.95</c:v>
                </c:pt>
                <c:pt idx="181">
                  <c:v>4.71</c:v>
                </c:pt>
                <c:pt idx="182">
                  <c:v>4.3600000000000003</c:v>
                </c:pt>
                <c:pt idx="183">
                  <c:v>4.33</c:v>
                </c:pt>
                <c:pt idx="184">
                  <c:v>3.56</c:v>
                </c:pt>
                <c:pt idx="185">
                  <c:v>3.32</c:v>
                </c:pt>
                <c:pt idx="186">
                  <c:v>3.02</c:v>
                </c:pt>
                <c:pt idx="187">
                  <c:v>3.06</c:v>
                </c:pt>
                <c:pt idx="188">
                  <c:v>3.03</c:v>
                </c:pt>
                <c:pt idx="189">
                  <c:v>3.27</c:v>
                </c:pt>
                <c:pt idx="190">
                  <c:v>2.9</c:v>
                </c:pt>
                <c:pt idx="191">
                  <c:v>2.75</c:v>
                </c:pt>
                <c:pt idx="192">
                  <c:v>2.42</c:v>
                </c:pt>
                <c:pt idx="193">
                  <c:v>2.4300000000000002</c:v>
                </c:pt>
                <c:pt idx="194">
                  <c:v>2.0499999999999998</c:v>
                </c:pt>
                <c:pt idx="195">
                  <c:v>2.13</c:v>
                </c:pt>
                <c:pt idx="196">
                  <c:v>2.5099999999999998</c:v>
                </c:pt>
                <c:pt idx="197">
                  <c:v>2.2400000000000002</c:v>
                </c:pt>
                <c:pt idx="198">
                  <c:v>2.4500000000000002</c:v>
                </c:pt>
                <c:pt idx="199">
                  <c:v>2.7</c:v>
                </c:pt>
                <c:pt idx="200">
                  <c:v>2.57</c:v>
                </c:pt>
                <c:pt idx="201">
                  <c:v>2.42</c:v>
                </c:pt>
                <c:pt idx="202">
                  <c:v>2.06</c:v>
                </c:pt>
                <c:pt idx="203">
                  <c:v>1.91</c:v>
                </c:pt>
                <c:pt idx="204">
                  <c:v>1.67</c:v>
                </c:pt>
                <c:pt idx="205">
                  <c:v>1.52</c:v>
                </c:pt>
                <c:pt idx="206">
                  <c:v>1.31</c:v>
                </c:pt>
                <c:pt idx="207">
                  <c:v>1.42</c:v>
                </c:pt>
                <c:pt idx="208">
                  <c:v>1.29</c:v>
                </c:pt>
                <c:pt idx="209">
                  <c:v>1.49</c:v>
                </c:pt>
                <c:pt idx="210">
                  <c:v>1.6</c:v>
                </c:pt>
                <c:pt idx="211">
                  <c:v>1.37</c:v>
                </c:pt>
                <c:pt idx="212">
                  <c:v>1.1499999999999999</c:v>
                </c:pt>
                <c:pt idx="213">
                  <c:v>1.2</c:v>
                </c:pt>
                <c:pt idx="214">
                  <c:v>0.94</c:v>
                </c:pt>
                <c:pt idx="215">
                  <c:v>0.69</c:v>
                </c:pt>
                <c:pt idx="216">
                  <c:v>0.62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</c:v>
                </c:pt>
                <c:pt idx="220">
                  <c:v>0.46</c:v>
                </c:pt>
                <c:pt idx="221">
                  <c:v>0.48</c:v>
                </c:pt>
                <c:pt idx="222">
                  <c:v>0.43</c:v>
                </c:pt>
                <c:pt idx="223">
                  <c:v>0.4</c:v>
                </c:pt>
                <c:pt idx="224">
                  <c:v>0.38</c:v>
                </c:pt>
                <c:pt idx="225">
                  <c:v>0.37</c:v>
                </c:pt>
                <c:pt idx="226">
                  <c:v>0.41</c:v>
                </c:pt>
                <c:pt idx="227">
                  <c:v>0.37</c:v>
                </c:pt>
                <c:pt idx="228">
                  <c:v>0.4</c:v>
                </c:pt>
                <c:pt idx="229">
                  <c:v>0.38</c:v>
                </c:pt>
                <c:pt idx="230">
                  <c:v>0.34</c:v>
                </c:pt>
                <c:pt idx="231">
                  <c:v>0.32</c:v>
                </c:pt>
                <c:pt idx="232">
                  <c:v>0.25</c:v>
                </c:pt>
                <c:pt idx="233">
                  <c:v>0.25</c:v>
                </c:pt>
                <c:pt idx="234">
                  <c:v>0.27</c:v>
                </c:pt>
                <c:pt idx="235">
                  <c:v>0.26</c:v>
                </c:pt>
                <c:pt idx="236">
                  <c:v>0.26</c:v>
                </c:pt>
                <c:pt idx="237">
                  <c:v>0.28000000000000003</c:v>
                </c:pt>
                <c:pt idx="238">
                  <c:v>0.28999999999999998</c:v>
                </c:pt>
                <c:pt idx="239">
                  <c:v>0.26</c:v>
                </c:pt>
                <c:pt idx="240">
                  <c:v>0.26</c:v>
                </c:pt>
                <c:pt idx="241">
                  <c:v>0.27</c:v>
                </c:pt>
                <c:pt idx="242">
                  <c:v>0.32</c:v>
                </c:pt>
                <c:pt idx="243">
                  <c:v>0.42</c:v>
                </c:pt>
                <c:pt idx="244">
                  <c:v>0.43</c:v>
                </c:pt>
                <c:pt idx="245">
                  <c:v>0.42</c:v>
                </c:pt>
                <c:pt idx="246">
                  <c:v>0.39</c:v>
                </c:pt>
                <c:pt idx="247">
                  <c:v>0.44</c:v>
                </c:pt>
                <c:pt idx="248">
                  <c:v>0.39</c:v>
                </c:pt>
                <c:pt idx="249">
                  <c:v>0.38</c:v>
                </c:pt>
                <c:pt idx="250">
                  <c:v>0.31</c:v>
                </c:pt>
                <c:pt idx="251">
                  <c:v>0.28000000000000003</c:v>
                </c:pt>
                <c:pt idx="252">
                  <c:v>0.33</c:v>
                </c:pt>
                <c:pt idx="253">
                  <c:v>0.34</c:v>
                </c:pt>
                <c:pt idx="254">
                  <c:v>0.42</c:v>
                </c:pt>
                <c:pt idx="255">
                  <c:v>0.36</c:v>
                </c:pt>
                <c:pt idx="256">
                  <c:v>0.46</c:v>
                </c:pt>
                <c:pt idx="257">
                  <c:v>0.39</c:v>
                </c:pt>
                <c:pt idx="258">
                  <c:v>0.33</c:v>
                </c:pt>
                <c:pt idx="259">
                  <c:v>0.39</c:v>
                </c:pt>
                <c:pt idx="260">
                  <c:v>0.27</c:v>
                </c:pt>
                <c:pt idx="261">
                  <c:v>0.28999999999999998</c:v>
                </c:pt>
                <c:pt idx="262">
                  <c:v>0.35</c:v>
                </c:pt>
                <c:pt idx="263">
                  <c:v>0.46</c:v>
                </c:pt>
                <c:pt idx="264">
                  <c:v>1.0900000000000001</c:v>
                </c:pt>
                <c:pt idx="265">
                  <c:v>0.91</c:v>
                </c:pt>
                <c:pt idx="266">
                  <c:v>0.94</c:v>
                </c:pt>
                <c:pt idx="267">
                  <c:v>0.75</c:v>
                </c:pt>
                <c:pt idx="268">
                  <c:v>1.1100000000000001</c:v>
                </c:pt>
                <c:pt idx="269">
                  <c:v>1.21</c:v>
                </c:pt>
                <c:pt idx="270">
                  <c:v>1.02</c:v>
                </c:pt>
                <c:pt idx="271">
                  <c:v>0.93</c:v>
                </c:pt>
                <c:pt idx="272">
                  <c:v>0.92</c:v>
                </c:pt>
                <c:pt idx="273">
                  <c:v>0.87</c:v>
                </c:pt>
                <c:pt idx="274">
                  <c:v>0.72</c:v>
                </c:pt>
                <c:pt idx="275">
                  <c:v>0.56999999999999995</c:v>
                </c:pt>
                <c:pt idx="276">
                  <c:v>0.57999999999999996</c:v>
                </c:pt>
                <c:pt idx="277">
                  <c:v>0.5</c:v>
                </c:pt>
                <c:pt idx="278">
                  <c:v>0.41</c:v>
                </c:pt>
                <c:pt idx="279">
                  <c:v>0.39</c:v>
                </c:pt>
                <c:pt idx="280">
                  <c:v>0.41</c:v>
                </c:pt>
                <c:pt idx="281">
                  <c:v>0.32</c:v>
                </c:pt>
                <c:pt idx="282">
                  <c:v>0.31</c:v>
                </c:pt>
                <c:pt idx="283">
                  <c:v>0.37</c:v>
                </c:pt>
                <c:pt idx="284">
                  <c:v>0.37</c:v>
                </c:pt>
                <c:pt idx="285">
                  <c:v>0.28999999999999998</c:v>
                </c:pt>
                <c:pt idx="286">
                  <c:v>0.33</c:v>
                </c:pt>
                <c:pt idx="287">
                  <c:v>0.34</c:v>
                </c:pt>
                <c:pt idx="288">
                  <c:v>0.28000000000000003</c:v>
                </c:pt>
                <c:pt idx="289">
                  <c:v>0.31</c:v>
                </c:pt>
                <c:pt idx="290">
                  <c:v>0.26</c:v>
                </c:pt>
                <c:pt idx="291">
                  <c:v>0.24</c:v>
                </c:pt>
                <c:pt idx="292">
                  <c:v>0.24</c:v>
                </c:pt>
                <c:pt idx="293">
                  <c:v>0.25</c:v>
                </c:pt>
                <c:pt idx="294">
                  <c:v>0.21</c:v>
                </c:pt>
                <c:pt idx="2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9-9B43-AE89-93567BA4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41824"/>
        <c:axId val="1183376336"/>
      </c:lineChart>
      <c:catAx>
        <c:axId val="126174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3376336"/>
        <c:crosses val="autoZero"/>
        <c:auto val="1"/>
        <c:lblAlgn val="ctr"/>
        <c:lblOffset val="100"/>
        <c:noMultiLvlLbl val="1"/>
      </c:catAx>
      <c:valAx>
        <c:axId val="11833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17418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'10'!$B$2:$B$40</c:f>
              <c:numCache>
                <c:formatCode>General</c:formatCode>
                <c:ptCount val="39"/>
                <c:pt idx="0">
                  <c:v>40.380000000000003</c:v>
                </c:pt>
                <c:pt idx="1">
                  <c:v>43.704999999999998</c:v>
                </c:pt>
                <c:pt idx="2">
                  <c:v>44.34</c:v>
                </c:pt>
                <c:pt idx="3">
                  <c:v>46.195</c:v>
                </c:pt>
                <c:pt idx="4">
                  <c:v>48.89</c:v>
                </c:pt>
                <c:pt idx="5">
                  <c:v>52.05</c:v>
                </c:pt>
                <c:pt idx="6">
                  <c:v>53.61</c:v>
                </c:pt>
                <c:pt idx="7">
                  <c:v>52.27</c:v>
                </c:pt>
                <c:pt idx="8">
                  <c:v>59.015000000000001</c:v>
                </c:pt>
                <c:pt idx="9">
                  <c:v>57.29</c:v>
                </c:pt>
                <c:pt idx="10">
                  <c:v>59.3</c:v>
                </c:pt>
                <c:pt idx="11">
                  <c:v>65.209999999999994</c:v>
                </c:pt>
                <c:pt idx="12">
                  <c:v>64.87</c:v>
                </c:pt>
                <c:pt idx="13">
                  <c:v>68.180000000000007</c:v>
                </c:pt>
                <c:pt idx="14">
                  <c:v>65.22</c:v>
                </c:pt>
                <c:pt idx="15">
                  <c:v>69.19</c:v>
                </c:pt>
                <c:pt idx="16">
                  <c:v>69.34</c:v>
                </c:pt>
                <c:pt idx="17">
                  <c:v>65.41</c:v>
                </c:pt>
                <c:pt idx="18">
                  <c:v>63.46</c:v>
                </c:pt>
                <c:pt idx="19">
                  <c:v>66.62</c:v>
                </c:pt>
                <c:pt idx="20">
                  <c:v>70.650000000000006</c:v>
                </c:pt>
                <c:pt idx="21">
                  <c:v>73.2</c:v>
                </c:pt>
                <c:pt idx="22">
                  <c:v>74.14</c:v>
                </c:pt>
                <c:pt idx="23">
                  <c:v>65.44</c:v>
                </c:pt>
                <c:pt idx="24">
                  <c:v>73.19</c:v>
                </c:pt>
                <c:pt idx="25">
                  <c:v>74.13</c:v>
                </c:pt>
                <c:pt idx="26">
                  <c:v>72.849999999999994</c:v>
                </c:pt>
                <c:pt idx="27">
                  <c:v>75.45</c:v>
                </c:pt>
                <c:pt idx="28">
                  <c:v>71.680000000000007</c:v>
                </c:pt>
                <c:pt idx="29">
                  <c:v>64.81</c:v>
                </c:pt>
                <c:pt idx="30">
                  <c:v>66.95</c:v>
                </c:pt>
                <c:pt idx="31">
                  <c:v>59.52</c:v>
                </c:pt>
                <c:pt idx="32">
                  <c:v>68.540000000000006</c:v>
                </c:pt>
                <c:pt idx="33">
                  <c:v>71.67</c:v>
                </c:pt>
                <c:pt idx="34">
                  <c:v>73.510000000000005</c:v>
                </c:pt>
                <c:pt idx="35">
                  <c:v>68.84</c:v>
                </c:pt>
                <c:pt idx="36">
                  <c:v>66.36</c:v>
                </c:pt>
                <c:pt idx="37">
                  <c:v>73.260000000000005</c:v>
                </c:pt>
                <c:pt idx="38">
                  <c:v>77.150000000000006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D-9F4B-98C8-6E33EEFDD0ED}"/>
            </c:ext>
          </c:extLst>
        </c:ser>
        <c:ser>
          <c:idx val="1"/>
          <c:order val="1"/>
          <c:tx>
            <c:strRef>
              <c:f>'10'!$C$1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'10'!$C$2:$C$40</c:f>
              <c:numCache>
                <c:formatCode>General</c:formatCode>
                <c:ptCount val="39"/>
                <c:pt idx="0">
                  <c:v>0.27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0.38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0.42</c:v>
                </c:pt>
                <c:pt idx="30">
                  <c:v>0.42</c:v>
                </c:pt>
                <c:pt idx="31">
                  <c:v>0.42</c:v>
                </c:pt>
                <c:pt idx="32">
                  <c:v>0.42</c:v>
                </c:pt>
                <c:pt idx="33">
                  <c:v>0.43</c:v>
                </c:pt>
                <c:pt idx="34">
                  <c:v>0.43</c:v>
                </c:pt>
                <c:pt idx="35">
                  <c:v>0.43</c:v>
                </c:pt>
                <c:pt idx="36">
                  <c:v>0.43</c:v>
                </c:pt>
                <c:pt idx="37">
                  <c:v>0.44</c:v>
                </c:pt>
                <c:pt idx="38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D-9F4B-98C8-6E33EEFDD0ED}"/>
            </c:ext>
          </c:extLst>
        </c:ser>
        <c:ser>
          <c:idx val="2"/>
          <c:order val="2"/>
          <c:tx>
            <c:strRef>
              <c:f>'10'!$D$1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'10'!$D$2:$D$40</c:f>
              <c:numCache>
                <c:formatCode>General</c:formatCode>
                <c:ptCount val="39"/>
                <c:pt idx="0">
                  <c:v>3994</c:v>
                </c:pt>
                <c:pt idx="1">
                  <c:v>4185</c:v>
                </c:pt>
                <c:pt idx="2">
                  <c:v>4383</c:v>
                </c:pt>
                <c:pt idx="3">
                  <c:v>4172</c:v>
                </c:pt>
                <c:pt idx="4">
                  <c:v>4200</c:v>
                </c:pt>
                <c:pt idx="5">
                  <c:v>4267</c:v>
                </c:pt>
                <c:pt idx="6">
                  <c:v>4332</c:v>
                </c:pt>
                <c:pt idx="7">
                  <c:v>4286</c:v>
                </c:pt>
                <c:pt idx="8">
                  <c:v>4315</c:v>
                </c:pt>
                <c:pt idx="9">
                  <c:v>4346</c:v>
                </c:pt>
                <c:pt idx="10">
                  <c:v>4398</c:v>
                </c:pt>
                <c:pt idx="11">
                  <c:v>4361</c:v>
                </c:pt>
                <c:pt idx="12">
                  <c:v>4325</c:v>
                </c:pt>
                <c:pt idx="13">
                  <c:v>4352</c:v>
                </c:pt>
                <c:pt idx="14">
                  <c:v>4379</c:v>
                </c:pt>
                <c:pt idx="15">
                  <c:v>4221</c:v>
                </c:pt>
                <c:pt idx="16">
                  <c:v>4070</c:v>
                </c:pt>
                <c:pt idx="17">
                  <c:v>4066</c:v>
                </c:pt>
                <c:pt idx="18">
                  <c:v>3999</c:v>
                </c:pt>
                <c:pt idx="19">
                  <c:v>3899</c:v>
                </c:pt>
                <c:pt idx="20">
                  <c:v>3762</c:v>
                </c:pt>
                <c:pt idx="21">
                  <c:v>3845</c:v>
                </c:pt>
                <c:pt idx="22">
                  <c:v>3867</c:v>
                </c:pt>
                <c:pt idx="23">
                  <c:v>3721</c:v>
                </c:pt>
                <c:pt idx="24">
                  <c:v>3762</c:v>
                </c:pt>
                <c:pt idx="25">
                  <c:v>3826</c:v>
                </c:pt>
                <c:pt idx="26">
                  <c:v>3974</c:v>
                </c:pt>
                <c:pt idx="27">
                  <c:v>3892</c:v>
                </c:pt>
                <c:pt idx="28">
                  <c:v>4002</c:v>
                </c:pt>
                <c:pt idx="29">
                  <c:v>3886</c:v>
                </c:pt>
                <c:pt idx="30">
                  <c:v>3845</c:v>
                </c:pt>
                <c:pt idx="31">
                  <c:v>3811</c:v>
                </c:pt>
                <c:pt idx="32">
                  <c:v>3884</c:v>
                </c:pt>
                <c:pt idx="33">
                  <c:v>3866</c:v>
                </c:pt>
                <c:pt idx="34">
                  <c:v>3928</c:v>
                </c:pt>
                <c:pt idx="35">
                  <c:v>4015</c:v>
                </c:pt>
                <c:pt idx="36">
                  <c:v>4097</c:v>
                </c:pt>
                <c:pt idx="37">
                  <c:v>3897</c:v>
                </c:pt>
                <c:pt idx="38">
                  <c:v>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D-9F4B-98C8-6E33EEFDD0ED}"/>
            </c:ext>
          </c:extLst>
        </c:ser>
        <c:ser>
          <c:idx val="3"/>
          <c:order val="3"/>
          <c:tx>
            <c:strRef>
              <c:f>'10'!$E$1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'10'!$E$2:$E$40</c:f>
              <c:numCache>
                <c:formatCode>General</c:formatCode>
                <c:ptCount val="39"/>
                <c:pt idx="0">
                  <c:v>915</c:v>
                </c:pt>
                <c:pt idx="1">
                  <c:v>968</c:v>
                </c:pt>
                <c:pt idx="2">
                  <c:v>1035</c:v>
                </c:pt>
                <c:pt idx="3">
                  <c:v>923</c:v>
                </c:pt>
                <c:pt idx="4">
                  <c:v>938</c:v>
                </c:pt>
                <c:pt idx="5">
                  <c:v>982</c:v>
                </c:pt>
                <c:pt idx="6">
                  <c:v>1028</c:v>
                </c:pt>
                <c:pt idx="7">
                  <c:v>988</c:v>
                </c:pt>
                <c:pt idx="8">
                  <c:v>742</c:v>
                </c:pt>
                <c:pt idx="9">
                  <c:v>906</c:v>
                </c:pt>
                <c:pt idx="10">
                  <c:v>1016</c:v>
                </c:pt>
                <c:pt idx="11">
                  <c:v>1287</c:v>
                </c:pt>
                <c:pt idx="12">
                  <c:v>634</c:v>
                </c:pt>
                <c:pt idx="13">
                  <c:v>980</c:v>
                </c:pt>
                <c:pt idx="14">
                  <c:v>948</c:v>
                </c:pt>
                <c:pt idx="15">
                  <c:v>1551</c:v>
                </c:pt>
                <c:pt idx="16">
                  <c:v>860</c:v>
                </c:pt>
                <c:pt idx="17">
                  <c:v>932</c:v>
                </c:pt>
                <c:pt idx="18">
                  <c:v>1136</c:v>
                </c:pt>
                <c:pt idx="19">
                  <c:v>968</c:v>
                </c:pt>
                <c:pt idx="20">
                  <c:v>867</c:v>
                </c:pt>
                <c:pt idx="21">
                  <c:v>944</c:v>
                </c:pt>
                <c:pt idx="22">
                  <c:v>1071</c:v>
                </c:pt>
                <c:pt idx="23">
                  <c:v>970</c:v>
                </c:pt>
                <c:pt idx="24">
                  <c:v>885</c:v>
                </c:pt>
                <c:pt idx="25">
                  <c:v>853</c:v>
                </c:pt>
                <c:pt idx="26">
                  <c:v>927</c:v>
                </c:pt>
                <c:pt idx="27">
                  <c:v>1082</c:v>
                </c:pt>
                <c:pt idx="28">
                  <c:v>983</c:v>
                </c:pt>
                <c:pt idx="29">
                  <c:v>946</c:v>
                </c:pt>
                <c:pt idx="30">
                  <c:v>874</c:v>
                </c:pt>
                <c:pt idx="31">
                  <c:v>969</c:v>
                </c:pt>
                <c:pt idx="32">
                  <c:v>879</c:v>
                </c:pt>
                <c:pt idx="33">
                  <c:v>888</c:v>
                </c:pt>
                <c:pt idx="34">
                  <c:v>856</c:v>
                </c:pt>
                <c:pt idx="35">
                  <c:v>994</c:v>
                </c:pt>
                <c:pt idx="36">
                  <c:v>952</c:v>
                </c:pt>
                <c:pt idx="37">
                  <c:v>946</c:v>
                </c:pt>
                <c:pt idx="38">
                  <c:v>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D-9F4B-98C8-6E33EEFDD0ED}"/>
            </c:ext>
          </c:extLst>
        </c:ser>
        <c:ser>
          <c:idx val="4"/>
          <c:order val="4"/>
          <c:tx>
            <c:strRef>
              <c:f>'10'!$F$1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'10'!$F$2:$F$40</c:f>
              <c:numCache>
                <c:formatCode>General</c:formatCode>
                <c:ptCount val="39"/>
                <c:pt idx="0">
                  <c:v>576</c:v>
                </c:pt>
                <c:pt idx="1">
                  <c:v>622</c:v>
                </c:pt>
                <c:pt idx="2">
                  <c:v>643</c:v>
                </c:pt>
                <c:pt idx="3">
                  <c:v>590</c:v>
                </c:pt>
                <c:pt idx="4">
                  <c:v>593</c:v>
                </c:pt>
                <c:pt idx="5">
                  <c:v>627</c:v>
                </c:pt>
                <c:pt idx="6">
                  <c:v>654</c:v>
                </c:pt>
                <c:pt idx="7">
                  <c:v>598</c:v>
                </c:pt>
                <c:pt idx="8">
                  <c:v>460</c:v>
                </c:pt>
                <c:pt idx="9">
                  <c:v>561</c:v>
                </c:pt>
                <c:pt idx="10">
                  <c:v>656</c:v>
                </c:pt>
                <c:pt idx="11">
                  <c:v>564</c:v>
                </c:pt>
                <c:pt idx="12">
                  <c:v>388</c:v>
                </c:pt>
                <c:pt idx="13">
                  <c:v>622</c:v>
                </c:pt>
                <c:pt idx="14">
                  <c:v>542</c:v>
                </c:pt>
                <c:pt idx="15">
                  <c:v>628</c:v>
                </c:pt>
                <c:pt idx="16">
                  <c:v>542</c:v>
                </c:pt>
                <c:pt idx="17">
                  <c:v>574</c:v>
                </c:pt>
                <c:pt idx="18">
                  <c:v>726</c:v>
                </c:pt>
                <c:pt idx="19">
                  <c:v>-458</c:v>
                </c:pt>
                <c:pt idx="20">
                  <c:v>533</c:v>
                </c:pt>
                <c:pt idx="21">
                  <c:v>600</c:v>
                </c:pt>
                <c:pt idx="22">
                  <c:v>702</c:v>
                </c:pt>
                <c:pt idx="23">
                  <c:v>606</c:v>
                </c:pt>
                <c:pt idx="24">
                  <c:v>570</c:v>
                </c:pt>
                <c:pt idx="25">
                  <c:v>524</c:v>
                </c:pt>
                <c:pt idx="26">
                  <c:v>607</c:v>
                </c:pt>
                <c:pt idx="27">
                  <c:v>323</c:v>
                </c:pt>
                <c:pt idx="28">
                  <c:v>634</c:v>
                </c:pt>
                <c:pt idx="29">
                  <c:v>637</c:v>
                </c:pt>
                <c:pt idx="30">
                  <c:v>523</c:v>
                </c:pt>
                <c:pt idx="31">
                  <c:v>606</c:v>
                </c:pt>
                <c:pt idx="32">
                  <c:v>560</c:v>
                </c:pt>
                <c:pt idx="33">
                  <c:v>586</c:v>
                </c:pt>
                <c:pt idx="34">
                  <c:v>578</c:v>
                </c:pt>
                <c:pt idx="35">
                  <c:v>643</c:v>
                </c:pt>
                <c:pt idx="36">
                  <c:v>715</c:v>
                </c:pt>
                <c:pt idx="37">
                  <c:v>635</c:v>
                </c:pt>
                <c:pt idx="38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D-9F4B-98C8-6E33EEFDD0ED}"/>
            </c:ext>
          </c:extLst>
        </c:ser>
        <c:ser>
          <c:idx val="7"/>
          <c:order val="7"/>
          <c:tx>
            <c:strRef>
              <c:f>'10'!$I$1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'10'!$I$2:$I$40</c:f>
              <c:numCache>
                <c:formatCode>General</c:formatCode>
                <c:ptCount val="39"/>
                <c:pt idx="0">
                  <c:v>44.35</c:v>
                </c:pt>
                <c:pt idx="1">
                  <c:v>44.56</c:v>
                </c:pt>
                <c:pt idx="2">
                  <c:v>44.67</c:v>
                </c:pt>
                <c:pt idx="3">
                  <c:v>44.67</c:v>
                </c:pt>
                <c:pt idx="4">
                  <c:v>45.95</c:v>
                </c:pt>
                <c:pt idx="5">
                  <c:v>46.31</c:v>
                </c:pt>
                <c:pt idx="6">
                  <c:v>46.73</c:v>
                </c:pt>
                <c:pt idx="7">
                  <c:v>47.38</c:v>
                </c:pt>
                <c:pt idx="8">
                  <c:v>47.38</c:v>
                </c:pt>
                <c:pt idx="9">
                  <c:v>50.72</c:v>
                </c:pt>
                <c:pt idx="10">
                  <c:v>53.03</c:v>
                </c:pt>
                <c:pt idx="11">
                  <c:v>54.05</c:v>
                </c:pt>
                <c:pt idx="12">
                  <c:v>55.88</c:v>
                </c:pt>
                <c:pt idx="13">
                  <c:v>58.62</c:v>
                </c:pt>
                <c:pt idx="14">
                  <c:v>57.74</c:v>
                </c:pt>
                <c:pt idx="15">
                  <c:v>61.4</c:v>
                </c:pt>
                <c:pt idx="16">
                  <c:v>60.17</c:v>
                </c:pt>
                <c:pt idx="17">
                  <c:v>56.92</c:v>
                </c:pt>
                <c:pt idx="18">
                  <c:v>58.63</c:v>
                </c:pt>
                <c:pt idx="19">
                  <c:v>54.81</c:v>
                </c:pt>
                <c:pt idx="20">
                  <c:v>98.68</c:v>
                </c:pt>
                <c:pt idx="21">
                  <c:v>100</c:v>
                </c:pt>
                <c:pt idx="22">
                  <c:v>98.08</c:v>
                </c:pt>
                <c:pt idx="23">
                  <c:v>100</c:v>
                </c:pt>
                <c:pt idx="24">
                  <c:v>56.99</c:v>
                </c:pt>
                <c:pt idx="25">
                  <c:v>56.32</c:v>
                </c:pt>
                <c:pt idx="26">
                  <c:v>58.36</c:v>
                </c:pt>
                <c:pt idx="27">
                  <c:v>61</c:v>
                </c:pt>
                <c:pt idx="28">
                  <c:v>69.739999999999995</c:v>
                </c:pt>
                <c:pt idx="29">
                  <c:v>67.8</c:v>
                </c:pt>
                <c:pt idx="30">
                  <c:v>64.8</c:v>
                </c:pt>
                <c:pt idx="31">
                  <c:v>67.77</c:v>
                </c:pt>
                <c:pt idx="32">
                  <c:v>60.36</c:v>
                </c:pt>
                <c:pt idx="33">
                  <c:v>62.69</c:v>
                </c:pt>
                <c:pt idx="34">
                  <c:v>64.260000000000005</c:v>
                </c:pt>
                <c:pt idx="35">
                  <c:v>62.96</c:v>
                </c:pt>
                <c:pt idx="36">
                  <c:v>62.18</c:v>
                </c:pt>
                <c:pt idx="37">
                  <c:v>58.7</c:v>
                </c:pt>
                <c:pt idx="38">
                  <c:v>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4D-9F4B-98C8-6E33EEFDD0ED}"/>
            </c:ext>
          </c:extLst>
        </c:ser>
        <c:ser>
          <c:idx val="8"/>
          <c:order val="8"/>
          <c:tx>
            <c:strRef>
              <c:f>'10'!$J$1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'10'!$J$2:$J$40</c:f>
              <c:numCache>
                <c:formatCode>General</c:formatCode>
                <c:ptCount val="39"/>
                <c:pt idx="0">
                  <c:v>680</c:v>
                </c:pt>
                <c:pt idx="1">
                  <c:v>474</c:v>
                </c:pt>
                <c:pt idx="2">
                  <c:v>903</c:v>
                </c:pt>
                <c:pt idx="3">
                  <c:v>839</c:v>
                </c:pt>
                <c:pt idx="4">
                  <c:v>662</c:v>
                </c:pt>
                <c:pt idx="5">
                  <c:v>531</c:v>
                </c:pt>
                <c:pt idx="6">
                  <c:v>940</c:v>
                </c:pt>
                <c:pt idx="7">
                  <c:v>1063</c:v>
                </c:pt>
                <c:pt idx="8">
                  <c:v>777</c:v>
                </c:pt>
                <c:pt idx="9">
                  <c:v>548</c:v>
                </c:pt>
                <c:pt idx="10">
                  <c:v>1040</c:v>
                </c:pt>
                <c:pt idx="11">
                  <c:v>839</c:v>
                </c:pt>
                <c:pt idx="12">
                  <c:v>820</c:v>
                </c:pt>
                <c:pt idx="13">
                  <c:v>569</c:v>
                </c:pt>
                <c:pt idx="14">
                  <c:v>1003</c:v>
                </c:pt>
                <c:pt idx="15">
                  <c:v>906</c:v>
                </c:pt>
                <c:pt idx="16">
                  <c:v>727</c:v>
                </c:pt>
                <c:pt idx="17">
                  <c:v>496</c:v>
                </c:pt>
                <c:pt idx="18">
                  <c:v>885</c:v>
                </c:pt>
                <c:pt idx="19">
                  <c:v>841</c:v>
                </c:pt>
                <c:pt idx="20">
                  <c:v>614</c:v>
                </c:pt>
                <c:pt idx="21">
                  <c:v>706</c:v>
                </c:pt>
                <c:pt idx="22">
                  <c:v>997</c:v>
                </c:pt>
                <c:pt idx="23">
                  <c:v>824</c:v>
                </c:pt>
                <c:pt idx="24">
                  <c:v>691</c:v>
                </c:pt>
                <c:pt idx="25">
                  <c:v>614</c:v>
                </c:pt>
                <c:pt idx="26">
                  <c:v>990</c:v>
                </c:pt>
                <c:pt idx="27">
                  <c:v>759</c:v>
                </c:pt>
                <c:pt idx="28">
                  <c:v>616</c:v>
                </c:pt>
                <c:pt idx="29">
                  <c:v>681</c:v>
                </c:pt>
                <c:pt idx="30">
                  <c:v>897</c:v>
                </c:pt>
                <c:pt idx="31">
                  <c:v>862</c:v>
                </c:pt>
                <c:pt idx="32">
                  <c:v>605</c:v>
                </c:pt>
                <c:pt idx="33">
                  <c:v>644</c:v>
                </c:pt>
                <c:pt idx="34">
                  <c:v>914</c:v>
                </c:pt>
                <c:pt idx="35">
                  <c:v>970</c:v>
                </c:pt>
                <c:pt idx="36">
                  <c:v>768</c:v>
                </c:pt>
                <c:pt idx="37">
                  <c:v>1026</c:v>
                </c:pt>
                <c:pt idx="38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44960"/>
        <c:axId val="78346496"/>
      </c:lineChart>
      <c:lineChart>
        <c:grouping val="standard"/>
        <c:varyColors val="0"/>
        <c:ser>
          <c:idx val="5"/>
          <c:order val="5"/>
          <c:tx>
            <c:strRef>
              <c:f>'10'!$G$1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'10'!$G$2:$G$40</c:f>
              <c:numCache>
                <c:formatCode>General</c:formatCode>
                <c:ptCount val="39"/>
                <c:pt idx="0">
                  <c:v>22.91</c:v>
                </c:pt>
                <c:pt idx="1">
                  <c:v>23.13</c:v>
                </c:pt>
                <c:pt idx="2">
                  <c:v>23.61</c:v>
                </c:pt>
                <c:pt idx="3">
                  <c:v>22.12</c:v>
                </c:pt>
                <c:pt idx="4">
                  <c:v>22.33</c:v>
                </c:pt>
                <c:pt idx="5">
                  <c:v>23.01</c:v>
                </c:pt>
                <c:pt idx="6">
                  <c:v>23.73</c:v>
                </c:pt>
                <c:pt idx="7">
                  <c:v>23.05</c:v>
                </c:pt>
                <c:pt idx="8">
                  <c:v>17.2</c:v>
                </c:pt>
                <c:pt idx="9">
                  <c:v>20.85</c:v>
                </c:pt>
                <c:pt idx="10">
                  <c:v>23.1</c:v>
                </c:pt>
                <c:pt idx="11">
                  <c:v>29.51</c:v>
                </c:pt>
                <c:pt idx="12">
                  <c:v>14.66</c:v>
                </c:pt>
                <c:pt idx="13">
                  <c:v>22.52</c:v>
                </c:pt>
                <c:pt idx="14">
                  <c:v>21.65</c:v>
                </c:pt>
                <c:pt idx="15">
                  <c:v>36.74</c:v>
                </c:pt>
                <c:pt idx="16">
                  <c:v>21.13</c:v>
                </c:pt>
                <c:pt idx="17">
                  <c:v>22.92</c:v>
                </c:pt>
                <c:pt idx="18">
                  <c:v>28.41</c:v>
                </c:pt>
                <c:pt idx="19">
                  <c:v>24.83</c:v>
                </c:pt>
                <c:pt idx="20">
                  <c:v>23.05</c:v>
                </c:pt>
                <c:pt idx="21">
                  <c:v>24.55</c:v>
                </c:pt>
                <c:pt idx="22">
                  <c:v>27.7</c:v>
                </c:pt>
                <c:pt idx="23">
                  <c:v>26.07</c:v>
                </c:pt>
                <c:pt idx="24">
                  <c:v>23.52</c:v>
                </c:pt>
                <c:pt idx="25">
                  <c:v>22.29</c:v>
                </c:pt>
                <c:pt idx="26">
                  <c:v>23.33</c:v>
                </c:pt>
                <c:pt idx="27">
                  <c:v>27.8</c:v>
                </c:pt>
                <c:pt idx="28">
                  <c:v>24.56</c:v>
                </c:pt>
                <c:pt idx="29">
                  <c:v>24.34</c:v>
                </c:pt>
                <c:pt idx="30">
                  <c:v>22.73</c:v>
                </c:pt>
                <c:pt idx="31">
                  <c:v>25.43</c:v>
                </c:pt>
                <c:pt idx="32">
                  <c:v>22.63</c:v>
                </c:pt>
                <c:pt idx="33">
                  <c:v>22.97</c:v>
                </c:pt>
                <c:pt idx="34">
                  <c:v>21.79</c:v>
                </c:pt>
                <c:pt idx="35">
                  <c:v>24.76</c:v>
                </c:pt>
                <c:pt idx="36">
                  <c:v>23.24</c:v>
                </c:pt>
                <c:pt idx="37">
                  <c:v>24.28</c:v>
                </c:pt>
                <c:pt idx="38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4D-9F4B-98C8-6E33EEFDD0ED}"/>
            </c:ext>
          </c:extLst>
        </c:ser>
        <c:ser>
          <c:idx val="6"/>
          <c:order val="6"/>
          <c:tx>
            <c:strRef>
              <c:f>'10'!$H$1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'10'!$H$2:$H$40</c:f>
              <c:numCache>
                <c:formatCode>General</c:formatCode>
                <c:ptCount val="39"/>
                <c:pt idx="0">
                  <c:v>14.42</c:v>
                </c:pt>
                <c:pt idx="1">
                  <c:v>14.86</c:v>
                </c:pt>
                <c:pt idx="2">
                  <c:v>14.67</c:v>
                </c:pt>
                <c:pt idx="3">
                  <c:v>14.14</c:v>
                </c:pt>
                <c:pt idx="4">
                  <c:v>14.12</c:v>
                </c:pt>
                <c:pt idx="5">
                  <c:v>14.69</c:v>
                </c:pt>
                <c:pt idx="6">
                  <c:v>15.1</c:v>
                </c:pt>
                <c:pt idx="7">
                  <c:v>13.95</c:v>
                </c:pt>
                <c:pt idx="8">
                  <c:v>10.66</c:v>
                </c:pt>
                <c:pt idx="9">
                  <c:v>12.91</c:v>
                </c:pt>
                <c:pt idx="10">
                  <c:v>14.92</c:v>
                </c:pt>
                <c:pt idx="11">
                  <c:v>12.93</c:v>
                </c:pt>
                <c:pt idx="12">
                  <c:v>8.9700000000000006</c:v>
                </c:pt>
                <c:pt idx="13">
                  <c:v>14.29</c:v>
                </c:pt>
                <c:pt idx="14">
                  <c:v>12.38</c:v>
                </c:pt>
                <c:pt idx="15">
                  <c:v>14.88</c:v>
                </c:pt>
                <c:pt idx="16">
                  <c:v>13.32</c:v>
                </c:pt>
                <c:pt idx="17">
                  <c:v>14.12</c:v>
                </c:pt>
                <c:pt idx="18">
                  <c:v>18.149999999999999</c:v>
                </c:pt>
                <c:pt idx="19">
                  <c:v>-11.75</c:v>
                </c:pt>
                <c:pt idx="20">
                  <c:v>14.17</c:v>
                </c:pt>
                <c:pt idx="21">
                  <c:v>15.6</c:v>
                </c:pt>
                <c:pt idx="22">
                  <c:v>18.149999999999999</c:v>
                </c:pt>
                <c:pt idx="23">
                  <c:v>16.29</c:v>
                </c:pt>
                <c:pt idx="24">
                  <c:v>15.15</c:v>
                </c:pt>
                <c:pt idx="25">
                  <c:v>13.7</c:v>
                </c:pt>
                <c:pt idx="26">
                  <c:v>15.27</c:v>
                </c:pt>
                <c:pt idx="27">
                  <c:v>8.3000000000000007</c:v>
                </c:pt>
                <c:pt idx="28">
                  <c:v>15.84</c:v>
                </c:pt>
                <c:pt idx="29">
                  <c:v>16.39</c:v>
                </c:pt>
                <c:pt idx="30">
                  <c:v>13.6</c:v>
                </c:pt>
                <c:pt idx="31">
                  <c:v>15.9</c:v>
                </c:pt>
                <c:pt idx="32">
                  <c:v>14.42</c:v>
                </c:pt>
                <c:pt idx="33">
                  <c:v>15.16</c:v>
                </c:pt>
                <c:pt idx="34">
                  <c:v>14.71</c:v>
                </c:pt>
                <c:pt idx="35">
                  <c:v>16.010000000000002</c:v>
                </c:pt>
                <c:pt idx="36">
                  <c:v>17.45</c:v>
                </c:pt>
                <c:pt idx="37">
                  <c:v>16.29</c:v>
                </c:pt>
                <c:pt idx="38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4D-9F4B-98C8-6E33EEFD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62112"/>
        <c:axId val="78360576"/>
      </c:lineChart>
      <c:catAx>
        <c:axId val="783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6496"/>
        <c:crosses val="autoZero"/>
        <c:auto val="1"/>
        <c:lblAlgn val="ctr"/>
        <c:lblOffset val="100"/>
        <c:tickMarkSkip val="1"/>
        <c:noMultiLvlLbl val="0"/>
      </c:catAx>
      <c:valAx>
        <c:axId val="783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44960"/>
        <c:crosses val="autoZero"/>
        <c:crossBetween val="between"/>
      </c:valAx>
      <c:valAx>
        <c:axId val="78360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362112"/>
        <c:crosses val="max"/>
        <c:crossBetween val="between"/>
      </c:valAx>
      <c:catAx>
        <c:axId val="7836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360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'10'!$K$2:$K$39</c:f>
              <c:numCache>
                <c:formatCode>General</c:formatCode>
                <c:ptCount val="38"/>
                <c:pt idx="0">
                  <c:v>7.4074074074073931E-2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6.8965517241379379E-2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9.6774193548387177E-2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5.8823529411764594E-2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5.5555555555555608E-2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2.6315789473684233E-2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2.5641025641025664E-2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4.9999999999999906E-2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2.3809523809523832E-2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2.3255813953488393E-2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94D-9B52-80C16C80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73472"/>
        <c:axId val="78479360"/>
      </c:lineChart>
      <c:catAx>
        <c:axId val="784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9360"/>
        <c:crosses val="autoZero"/>
        <c:auto val="1"/>
        <c:lblAlgn val="ctr"/>
        <c:lblOffset val="100"/>
        <c:tickMarkSkip val="1"/>
        <c:noMultiLvlLbl val="0"/>
      </c:catAx>
      <c:valAx>
        <c:axId val="78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473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'11'!$B$2:$B$41</c:f>
              <c:numCache>
                <c:formatCode>General</c:formatCode>
                <c:ptCount val="40"/>
                <c:pt idx="0">
                  <c:v>73.319999999999993</c:v>
                </c:pt>
                <c:pt idx="1">
                  <c:v>81.239999999999995</c:v>
                </c:pt>
                <c:pt idx="2">
                  <c:v>82.13</c:v>
                </c:pt>
                <c:pt idx="3">
                  <c:v>83.32</c:v>
                </c:pt>
                <c:pt idx="4">
                  <c:v>90.8</c:v>
                </c:pt>
                <c:pt idx="5">
                  <c:v>95</c:v>
                </c:pt>
                <c:pt idx="6">
                  <c:v>100.16</c:v>
                </c:pt>
                <c:pt idx="7">
                  <c:v>98.73</c:v>
                </c:pt>
                <c:pt idx="8">
                  <c:v>106.11</c:v>
                </c:pt>
                <c:pt idx="9">
                  <c:v>110.57</c:v>
                </c:pt>
                <c:pt idx="10">
                  <c:v>115.17</c:v>
                </c:pt>
                <c:pt idx="11">
                  <c:v>119.02</c:v>
                </c:pt>
                <c:pt idx="12">
                  <c:v>111.68</c:v>
                </c:pt>
                <c:pt idx="13">
                  <c:v>115.16</c:v>
                </c:pt>
                <c:pt idx="14">
                  <c:v>125.32</c:v>
                </c:pt>
                <c:pt idx="15">
                  <c:v>141.75</c:v>
                </c:pt>
                <c:pt idx="16">
                  <c:v>151.495</c:v>
                </c:pt>
                <c:pt idx="17">
                  <c:v>135.06</c:v>
                </c:pt>
                <c:pt idx="18">
                  <c:v>144.57</c:v>
                </c:pt>
                <c:pt idx="19">
                  <c:v>161.5</c:v>
                </c:pt>
                <c:pt idx="20">
                  <c:v>157.58000000000001</c:v>
                </c:pt>
                <c:pt idx="21">
                  <c:v>157.04</c:v>
                </c:pt>
                <c:pt idx="22">
                  <c:v>152.51</c:v>
                </c:pt>
                <c:pt idx="23">
                  <c:v>160.11000000000001</c:v>
                </c:pt>
                <c:pt idx="24">
                  <c:v>167.69</c:v>
                </c:pt>
                <c:pt idx="25">
                  <c:v>159.93</c:v>
                </c:pt>
                <c:pt idx="26">
                  <c:v>164.29</c:v>
                </c:pt>
                <c:pt idx="27">
                  <c:v>186.12</c:v>
                </c:pt>
                <c:pt idx="28">
                  <c:v>188.43</c:v>
                </c:pt>
                <c:pt idx="29">
                  <c:v>208.98</c:v>
                </c:pt>
                <c:pt idx="30">
                  <c:v>234.88</c:v>
                </c:pt>
                <c:pt idx="31">
                  <c:v>203.71</c:v>
                </c:pt>
                <c:pt idx="32">
                  <c:v>242.14</c:v>
                </c:pt>
                <c:pt idx="33">
                  <c:v>264.26</c:v>
                </c:pt>
                <c:pt idx="34">
                  <c:v>288.11</c:v>
                </c:pt>
                <c:pt idx="35">
                  <c:v>293.92</c:v>
                </c:pt>
                <c:pt idx="36">
                  <c:v>285.13</c:v>
                </c:pt>
                <c:pt idx="37">
                  <c:v>303.20999999999998</c:v>
                </c:pt>
                <c:pt idx="38">
                  <c:v>355</c:v>
                </c:pt>
                <c:pt idx="39">
                  <c:v>376.78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DB43-8C89-6634A436E925}"/>
            </c:ext>
          </c:extLst>
        </c:ser>
        <c:ser>
          <c:idx val="1"/>
          <c:order val="1"/>
          <c:tx>
            <c:strRef>
              <c:f>'11'!$C$1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'11'!$C$2:$C$41</c:f>
              <c:numCache>
                <c:formatCode>General</c:formatCode>
                <c:ptCount val="40"/>
                <c:pt idx="0">
                  <c:v>0.21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D-DB43-8C89-6634A436E925}"/>
            </c:ext>
          </c:extLst>
        </c:ser>
        <c:ser>
          <c:idx val="2"/>
          <c:order val="2"/>
          <c:tx>
            <c:strRef>
              <c:f>'11'!$D$1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'11'!$D$2:$D$41</c:f>
              <c:numCache>
                <c:formatCode>General</c:formatCode>
                <c:ptCount val="40"/>
                <c:pt idx="0">
                  <c:v>20875</c:v>
                </c:pt>
                <c:pt idx="1">
                  <c:v>20623</c:v>
                </c:pt>
                <c:pt idx="2">
                  <c:v>28178</c:v>
                </c:pt>
                <c:pt idx="3">
                  <c:v>21628</c:v>
                </c:pt>
                <c:pt idx="4">
                  <c:v>22967</c:v>
                </c:pt>
                <c:pt idx="5">
                  <c:v>22324</c:v>
                </c:pt>
                <c:pt idx="6">
                  <c:v>32218</c:v>
                </c:pt>
                <c:pt idx="7">
                  <c:v>23715</c:v>
                </c:pt>
                <c:pt idx="8">
                  <c:v>24871</c:v>
                </c:pt>
                <c:pt idx="9">
                  <c:v>24083</c:v>
                </c:pt>
                <c:pt idx="10">
                  <c:v>32487</c:v>
                </c:pt>
                <c:pt idx="11">
                  <c:v>25017</c:v>
                </c:pt>
                <c:pt idx="12">
                  <c:v>26306</c:v>
                </c:pt>
                <c:pt idx="13">
                  <c:v>25794</c:v>
                </c:pt>
                <c:pt idx="14">
                  <c:v>35523</c:v>
                </c:pt>
                <c:pt idx="15">
                  <c:v>26866</c:v>
                </c:pt>
                <c:pt idx="16">
                  <c:v>27454</c:v>
                </c:pt>
                <c:pt idx="17">
                  <c:v>26101</c:v>
                </c:pt>
                <c:pt idx="18">
                  <c:v>35778</c:v>
                </c:pt>
                <c:pt idx="19">
                  <c:v>27220</c:v>
                </c:pt>
                <c:pt idx="20">
                  <c:v>28170</c:v>
                </c:pt>
                <c:pt idx="21">
                  <c:v>26769</c:v>
                </c:pt>
                <c:pt idx="22">
                  <c:v>36560</c:v>
                </c:pt>
                <c:pt idx="23">
                  <c:v>28099</c:v>
                </c:pt>
                <c:pt idx="24">
                  <c:v>29766</c:v>
                </c:pt>
                <c:pt idx="25">
                  <c:v>28860</c:v>
                </c:pt>
                <c:pt idx="26">
                  <c:v>42300</c:v>
                </c:pt>
                <c:pt idx="27">
                  <c:v>31809</c:v>
                </c:pt>
                <c:pt idx="28">
                  <c:v>32995</c:v>
                </c:pt>
                <c:pt idx="29">
                  <c:v>32361</c:v>
                </c:pt>
                <c:pt idx="30">
                  <c:v>44411</c:v>
                </c:pt>
                <c:pt idx="31">
                  <c:v>35069</c:v>
                </c:pt>
                <c:pt idx="32">
                  <c:v>35396</c:v>
                </c:pt>
                <c:pt idx="33">
                  <c:v>34740</c:v>
                </c:pt>
                <c:pt idx="34">
                  <c:v>47498</c:v>
                </c:pt>
                <c:pt idx="35">
                  <c:v>37040</c:v>
                </c:pt>
                <c:pt idx="36">
                  <c:v>39072</c:v>
                </c:pt>
                <c:pt idx="37">
                  <c:v>37266</c:v>
                </c:pt>
                <c:pt idx="38">
                  <c:v>53383</c:v>
                </c:pt>
                <c:pt idx="39">
                  <c:v>43208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D-DB43-8C89-6634A436E925}"/>
            </c:ext>
          </c:extLst>
        </c:ser>
        <c:ser>
          <c:idx val="3"/>
          <c:order val="3"/>
          <c:tx>
            <c:strRef>
              <c:f>'11'!$E$1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'11'!$E$2:$E$41</c:f>
              <c:numCache>
                <c:formatCode>General</c:formatCode>
                <c:ptCount val="40"/>
                <c:pt idx="0">
                  <c:v>596</c:v>
                </c:pt>
                <c:pt idx="1">
                  <c:v>556</c:v>
                </c:pt>
                <c:pt idx="2">
                  <c:v>762</c:v>
                </c:pt>
                <c:pt idx="3">
                  <c:v>543</c:v>
                </c:pt>
                <c:pt idx="4">
                  <c:v>644</c:v>
                </c:pt>
                <c:pt idx="5">
                  <c:v>623</c:v>
                </c:pt>
                <c:pt idx="6">
                  <c:v>949</c:v>
                </c:pt>
                <c:pt idx="7">
                  <c:v>639</c:v>
                </c:pt>
                <c:pt idx="8">
                  <c:v>738</c:v>
                </c:pt>
                <c:pt idx="9">
                  <c:v>722</c:v>
                </c:pt>
                <c:pt idx="10">
                  <c:v>954</c:v>
                </c:pt>
                <c:pt idx="11">
                  <c:v>668</c:v>
                </c:pt>
                <c:pt idx="12">
                  <c:v>724</c:v>
                </c:pt>
                <c:pt idx="13">
                  <c:v>737</c:v>
                </c:pt>
                <c:pt idx="14">
                  <c:v>1091</c:v>
                </c:pt>
                <c:pt idx="15">
                  <c:v>770</c:v>
                </c:pt>
                <c:pt idx="16">
                  <c:v>877</c:v>
                </c:pt>
                <c:pt idx="17">
                  <c:v>821</c:v>
                </c:pt>
                <c:pt idx="18">
                  <c:v>1156</c:v>
                </c:pt>
                <c:pt idx="19">
                  <c:v>767</c:v>
                </c:pt>
                <c:pt idx="20">
                  <c:v>856</c:v>
                </c:pt>
                <c:pt idx="21">
                  <c:v>858</c:v>
                </c:pt>
                <c:pt idx="22">
                  <c:v>1191</c:v>
                </c:pt>
                <c:pt idx="23">
                  <c:v>849</c:v>
                </c:pt>
                <c:pt idx="24">
                  <c:v>844</c:v>
                </c:pt>
                <c:pt idx="25">
                  <c:v>968</c:v>
                </c:pt>
                <c:pt idx="26">
                  <c:v>1450</c:v>
                </c:pt>
                <c:pt idx="27">
                  <c:v>951</c:v>
                </c:pt>
                <c:pt idx="28">
                  <c:v>1016</c:v>
                </c:pt>
                <c:pt idx="29">
                  <c:v>1067</c:v>
                </c:pt>
                <c:pt idx="30">
                  <c:v>1446</c:v>
                </c:pt>
                <c:pt idx="31">
                  <c:v>949</c:v>
                </c:pt>
                <c:pt idx="32">
                  <c:v>1203</c:v>
                </c:pt>
                <c:pt idx="33">
                  <c:v>1122</c:v>
                </c:pt>
                <c:pt idx="34">
                  <c:v>1463</c:v>
                </c:pt>
                <c:pt idx="35">
                  <c:v>1061</c:v>
                </c:pt>
                <c:pt idx="36">
                  <c:v>1266</c:v>
                </c:pt>
                <c:pt idx="37">
                  <c:v>1179</c:v>
                </c:pt>
                <c:pt idx="38">
                  <c:v>1929</c:v>
                </c:pt>
                <c:pt idx="39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D-DB43-8C89-6634A436E925}"/>
            </c:ext>
          </c:extLst>
        </c:ser>
        <c:ser>
          <c:idx val="4"/>
          <c:order val="4"/>
          <c:tx>
            <c:strRef>
              <c:f>'11'!$F$1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'11'!$F$2:$F$41</c:f>
              <c:numCache>
                <c:formatCode>General</c:formatCode>
                <c:ptCount val="40"/>
                <c:pt idx="0">
                  <c:v>348</c:v>
                </c:pt>
                <c:pt idx="1">
                  <c:v>324</c:v>
                </c:pt>
                <c:pt idx="2">
                  <c:v>478</c:v>
                </c:pt>
                <c:pt idx="3">
                  <c:v>320</c:v>
                </c:pt>
                <c:pt idx="4">
                  <c:v>394</c:v>
                </c:pt>
                <c:pt idx="5">
                  <c:v>386</c:v>
                </c:pt>
                <c:pt idx="6">
                  <c:v>609</c:v>
                </c:pt>
                <c:pt idx="7">
                  <c:v>416</c:v>
                </c:pt>
                <c:pt idx="8">
                  <c:v>547</c:v>
                </c:pt>
                <c:pt idx="9">
                  <c:v>459</c:v>
                </c:pt>
                <c:pt idx="10">
                  <c:v>617</c:v>
                </c:pt>
                <c:pt idx="11">
                  <c:v>425</c:v>
                </c:pt>
                <c:pt idx="12">
                  <c:v>463</c:v>
                </c:pt>
                <c:pt idx="13">
                  <c:v>473</c:v>
                </c:pt>
                <c:pt idx="14">
                  <c:v>697</c:v>
                </c:pt>
                <c:pt idx="15">
                  <c:v>496</c:v>
                </c:pt>
                <c:pt idx="16">
                  <c:v>598</c:v>
                </c:pt>
                <c:pt idx="17">
                  <c:v>516</c:v>
                </c:pt>
                <c:pt idx="18">
                  <c:v>767</c:v>
                </c:pt>
                <c:pt idx="19">
                  <c:v>480</c:v>
                </c:pt>
                <c:pt idx="20">
                  <c:v>546</c:v>
                </c:pt>
                <c:pt idx="21">
                  <c:v>545</c:v>
                </c:pt>
                <c:pt idx="22">
                  <c:v>779</c:v>
                </c:pt>
                <c:pt idx="23">
                  <c:v>545</c:v>
                </c:pt>
                <c:pt idx="24">
                  <c:v>515</c:v>
                </c:pt>
                <c:pt idx="25">
                  <c:v>700</c:v>
                </c:pt>
                <c:pt idx="26">
                  <c:v>919</c:v>
                </c:pt>
                <c:pt idx="27">
                  <c:v>640</c:v>
                </c:pt>
                <c:pt idx="28">
                  <c:v>701</c:v>
                </c:pt>
                <c:pt idx="29">
                  <c:v>750</c:v>
                </c:pt>
                <c:pt idx="30">
                  <c:v>1043</c:v>
                </c:pt>
                <c:pt idx="31">
                  <c:v>767</c:v>
                </c:pt>
                <c:pt idx="32">
                  <c:v>889</c:v>
                </c:pt>
                <c:pt idx="33">
                  <c:v>906</c:v>
                </c:pt>
                <c:pt idx="34">
                  <c:v>1097</c:v>
                </c:pt>
                <c:pt idx="35">
                  <c:v>844</c:v>
                </c:pt>
                <c:pt idx="36">
                  <c:v>931</c:v>
                </c:pt>
                <c:pt idx="37">
                  <c:v>838</c:v>
                </c:pt>
                <c:pt idx="38">
                  <c:v>1389</c:v>
                </c:pt>
                <c:pt idx="39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ED-DB43-8C89-6634A436E925}"/>
            </c:ext>
          </c:extLst>
        </c:ser>
        <c:ser>
          <c:idx val="7"/>
          <c:order val="7"/>
          <c:tx>
            <c:strRef>
              <c:f>'11'!$I$1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'11'!$I$2:$I$41</c:f>
              <c:numCache>
                <c:formatCode>General</c:formatCode>
                <c:ptCount val="40"/>
                <c:pt idx="0">
                  <c:v>26.11</c:v>
                </c:pt>
                <c:pt idx="1">
                  <c:v>26.8</c:v>
                </c:pt>
                <c:pt idx="2">
                  <c:v>26.97</c:v>
                </c:pt>
                <c:pt idx="3">
                  <c:v>27.86</c:v>
                </c:pt>
                <c:pt idx="4">
                  <c:v>27.99</c:v>
                </c:pt>
                <c:pt idx="5">
                  <c:v>27.79</c:v>
                </c:pt>
                <c:pt idx="6">
                  <c:v>26.48</c:v>
                </c:pt>
                <c:pt idx="7">
                  <c:v>25.91</c:v>
                </c:pt>
                <c:pt idx="8">
                  <c:v>25.91</c:v>
                </c:pt>
                <c:pt idx="9">
                  <c:v>24.57</c:v>
                </c:pt>
                <c:pt idx="10">
                  <c:v>24.57</c:v>
                </c:pt>
                <c:pt idx="11">
                  <c:v>25.27</c:v>
                </c:pt>
                <c:pt idx="12">
                  <c:v>25.97</c:v>
                </c:pt>
                <c:pt idx="13">
                  <c:v>27.87</c:v>
                </c:pt>
                <c:pt idx="14">
                  <c:v>28.75</c:v>
                </c:pt>
                <c:pt idx="15">
                  <c:v>28.6</c:v>
                </c:pt>
                <c:pt idx="16">
                  <c:v>28.59</c:v>
                </c:pt>
                <c:pt idx="17">
                  <c:v>27.79</c:v>
                </c:pt>
                <c:pt idx="18">
                  <c:v>28.07</c:v>
                </c:pt>
                <c:pt idx="19">
                  <c:v>28.12</c:v>
                </c:pt>
                <c:pt idx="20">
                  <c:v>29.12</c:v>
                </c:pt>
                <c:pt idx="21">
                  <c:v>31.19</c:v>
                </c:pt>
                <c:pt idx="22">
                  <c:v>31.19</c:v>
                </c:pt>
                <c:pt idx="23">
                  <c:v>31.89</c:v>
                </c:pt>
                <c:pt idx="24">
                  <c:v>31.93</c:v>
                </c:pt>
                <c:pt idx="25">
                  <c:v>32.119999999999997</c:v>
                </c:pt>
                <c:pt idx="26">
                  <c:v>32.119999999999997</c:v>
                </c:pt>
                <c:pt idx="27">
                  <c:v>31.25</c:v>
                </c:pt>
                <c:pt idx="28">
                  <c:v>31</c:v>
                </c:pt>
                <c:pt idx="29">
                  <c:v>29.81</c:v>
                </c:pt>
                <c:pt idx="30">
                  <c:v>30.31</c:v>
                </c:pt>
                <c:pt idx="31">
                  <c:v>30.18</c:v>
                </c:pt>
                <c:pt idx="32">
                  <c:v>29.99</c:v>
                </c:pt>
                <c:pt idx="33">
                  <c:v>29.27</c:v>
                </c:pt>
                <c:pt idx="34">
                  <c:v>28.99</c:v>
                </c:pt>
                <c:pt idx="35">
                  <c:v>29.54</c:v>
                </c:pt>
                <c:pt idx="36">
                  <c:v>29.89</c:v>
                </c:pt>
                <c:pt idx="37">
                  <c:v>30.52</c:v>
                </c:pt>
                <c:pt idx="38">
                  <c:v>31.7</c:v>
                </c:pt>
                <c:pt idx="39">
                  <c:v>29.93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ED-DB43-8C89-6634A436E925}"/>
            </c:ext>
          </c:extLst>
        </c:ser>
        <c:ser>
          <c:idx val="8"/>
          <c:order val="8"/>
          <c:tx>
            <c:strRef>
              <c:f>'11'!$J$1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'11'!$J$2:$J$41</c:f>
              <c:numCache>
                <c:formatCode>General</c:formatCode>
                <c:ptCount val="40"/>
                <c:pt idx="0">
                  <c:v>726</c:v>
                </c:pt>
                <c:pt idx="1">
                  <c:v>811</c:v>
                </c:pt>
                <c:pt idx="2">
                  <c:v>941</c:v>
                </c:pt>
                <c:pt idx="3">
                  <c:v>664</c:v>
                </c:pt>
                <c:pt idx="4">
                  <c:v>580</c:v>
                </c:pt>
                <c:pt idx="5">
                  <c:v>1083</c:v>
                </c:pt>
                <c:pt idx="6">
                  <c:v>730</c:v>
                </c:pt>
                <c:pt idx="7">
                  <c:v>1102</c:v>
                </c:pt>
                <c:pt idx="8">
                  <c:v>423</c:v>
                </c:pt>
                <c:pt idx="9">
                  <c:v>2874</c:v>
                </c:pt>
                <c:pt idx="10">
                  <c:v>563</c:v>
                </c:pt>
                <c:pt idx="11">
                  <c:v>939</c:v>
                </c:pt>
                <c:pt idx="12">
                  <c:v>713</c:v>
                </c:pt>
                <c:pt idx="13">
                  <c:v>3142</c:v>
                </c:pt>
                <c:pt idx="14">
                  <c:v>-810</c:v>
                </c:pt>
                <c:pt idx="15">
                  <c:v>1128</c:v>
                </c:pt>
                <c:pt idx="16">
                  <c:v>900</c:v>
                </c:pt>
                <c:pt idx="17">
                  <c:v>3257</c:v>
                </c:pt>
                <c:pt idx="18">
                  <c:v>1028</c:v>
                </c:pt>
                <c:pt idx="19">
                  <c:v>811</c:v>
                </c:pt>
                <c:pt idx="20">
                  <c:v>791</c:v>
                </c:pt>
                <c:pt idx="21">
                  <c:v>1859</c:v>
                </c:pt>
                <c:pt idx="22">
                  <c:v>-169</c:v>
                </c:pt>
                <c:pt idx="23">
                  <c:v>2793</c:v>
                </c:pt>
                <c:pt idx="24">
                  <c:v>493</c:v>
                </c:pt>
                <c:pt idx="25">
                  <c:v>1606</c:v>
                </c:pt>
                <c:pt idx="26">
                  <c:v>1834</c:v>
                </c:pt>
                <c:pt idx="27">
                  <c:v>2006</c:v>
                </c:pt>
                <c:pt idx="28">
                  <c:v>109</c:v>
                </c:pt>
                <c:pt idx="29">
                  <c:v>2105</c:v>
                </c:pt>
                <c:pt idx="30">
                  <c:v>1554</c:v>
                </c:pt>
                <c:pt idx="31">
                  <c:v>2177</c:v>
                </c:pt>
                <c:pt idx="32">
                  <c:v>-219</c:v>
                </c:pt>
                <c:pt idx="33">
                  <c:v>2105</c:v>
                </c:pt>
                <c:pt idx="34">
                  <c:v>2293</c:v>
                </c:pt>
                <c:pt idx="35">
                  <c:v>2102</c:v>
                </c:pt>
                <c:pt idx="36">
                  <c:v>619</c:v>
                </c:pt>
                <c:pt idx="37">
                  <c:v>1898</c:v>
                </c:pt>
                <c:pt idx="38">
                  <c:v>4242</c:v>
                </c:pt>
                <c:pt idx="39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29504"/>
        <c:axId val="78639488"/>
      </c:lineChart>
      <c:lineChart>
        <c:grouping val="standard"/>
        <c:varyColors val="0"/>
        <c:ser>
          <c:idx val="5"/>
          <c:order val="5"/>
          <c:tx>
            <c:strRef>
              <c:f>'11'!$G$1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'11'!$G$2:$G$41</c:f>
              <c:numCache>
                <c:formatCode>General</c:formatCode>
                <c:ptCount val="40"/>
                <c:pt idx="0">
                  <c:v>2.86</c:v>
                </c:pt>
                <c:pt idx="1">
                  <c:v>2.7</c:v>
                </c:pt>
                <c:pt idx="2">
                  <c:v>2.7</c:v>
                </c:pt>
                <c:pt idx="3">
                  <c:v>2.5099999999999998</c:v>
                </c:pt>
                <c:pt idx="4">
                  <c:v>2.8</c:v>
                </c:pt>
                <c:pt idx="5">
                  <c:v>2.79</c:v>
                </c:pt>
                <c:pt idx="6">
                  <c:v>2.95</c:v>
                </c:pt>
                <c:pt idx="7">
                  <c:v>2.69</c:v>
                </c:pt>
                <c:pt idx="8">
                  <c:v>2.97</c:v>
                </c:pt>
                <c:pt idx="9">
                  <c:v>3</c:v>
                </c:pt>
                <c:pt idx="10">
                  <c:v>2.94</c:v>
                </c:pt>
                <c:pt idx="11">
                  <c:v>2.67</c:v>
                </c:pt>
                <c:pt idx="12">
                  <c:v>2.75</c:v>
                </c:pt>
                <c:pt idx="13">
                  <c:v>2.86</c:v>
                </c:pt>
                <c:pt idx="14">
                  <c:v>3.07</c:v>
                </c:pt>
                <c:pt idx="15">
                  <c:v>2.87</c:v>
                </c:pt>
                <c:pt idx="16">
                  <c:v>3.19</c:v>
                </c:pt>
                <c:pt idx="17">
                  <c:v>3.15</c:v>
                </c:pt>
                <c:pt idx="18">
                  <c:v>3.23</c:v>
                </c:pt>
                <c:pt idx="19">
                  <c:v>2.82</c:v>
                </c:pt>
                <c:pt idx="20">
                  <c:v>3.04</c:v>
                </c:pt>
                <c:pt idx="21">
                  <c:v>3.21</c:v>
                </c:pt>
                <c:pt idx="22">
                  <c:v>3.26</c:v>
                </c:pt>
                <c:pt idx="23">
                  <c:v>3.02</c:v>
                </c:pt>
                <c:pt idx="24">
                  <c:v>2.84</c:v>
                </c:pt>
                <c:pt idx="25">
                  <c:v>3.35</c:v>
                </c:pt>
                <c:pt idx="26">
                  <c:v>3.43</c:v>
                </c:pt>
                <c:pt idx="27">
                  <c:v>2.99</c:v>
                </c:pt>
                <c:pt idx="28">
                  <c:v>3.08</c:v>
                </c:pt>
                <c:pt idx="29">
                  <c:v>3.3</c:v>
                </c:pt>
                <c:pt idx="30">
                  <c:v>3.26</c:v>
                </c:pt>
                <c:pt idx="31">
                  <c:v>2.71</c:v>
                </c:pt>
                <c:pt idx="32">
                  <c:v>3.4</c:v>
                </c:pt>
                <c:pt idx="33">
                  <c:v>3.23</c:v>
                </c:pt>
                <c:pt idx="34">
                  <c:v>3.08</c:v>
                </c:pt>
                <c:pt idx="35">
                  <c:v>2.86</c:v>
                </c:pt>
                <c:pt idx="36">
                  <c:v>3.24</c:v>
                </c:pt>
                <c:pt idx="37">
                  <c:v>3.16</c:v>
                </c:pt>
                <c:pt idx="38">
                  <c:v>3.61</c:v>
                </c:pt>
                <c:pt idx="39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ED-DB43-8C89-6634A436E925}"/>
            </c:ext>
          </c:extLst>
        </c:ser>
        <c:ser>
          <c:idx val="6"/>
          <c:order val="6"/>
          <c:tx>
            <c:strRef>
              <c:f>'11'!$H$1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'11'!$A$2:$A$41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'11'!$H$2:$H$41</c:f>
              <c:numCache>
                <c:formatCode>General</c:formatCode>
                <c:ptCount val="40"/>
                <c:pt idx="0">
                  <c:v>1.67</c:v>
                </c:pt>
                <c:pt idx="1">
                  <c:v>1.57</c:v>
                </c:pt>
                <c:pt idx="2">
                  <c:v>1.7</c:v>
                </c:pt>
                <c:pt idx="3">
                  <c:v>1.48</c:v>
                </c:pt>
                <c:pt idx="4">
                  <c:v>1.72</c:v>
                </c:pt>
                <c:pt idx="5">
                  <c:v>1.73</c:v>
                </c:pt>
                <c:pt idx="6">
                  <c:v>1.89</c:v>
                </c:pt>
                <c:pt idx="7">
                  <c:v>1.75</c:v>
                </c:pt>
                <c:pt idx="8">
                  <c:v>2.2000000000000002</c:v>
                </c:pt>
                <c:pt idx="9">
                  <c:v>1.91</c:v>
                </c:pt>
                <c:pt idx="10">
                  <c:v>1.9</c:v>
                </c:pt>
                <c:pt idx="11">
                  <c:v>1.7</c:v>
                </c:pt>
                <c:pt idx="12">
                  <c:v>1.76</c:v>
                </c:pt>
                <c:pt idx="13">
                  <c:v>1.83</c:v>
                </c:pt>
                <c:pt idx="14">
                  <c:v>1.96</c:v>
                </c:pt>
                <c:pt idx="15">
                  <c:v>1.85</c:v>
                </c:pt>
                <c:pt idx="16">
                  <c:v>2.1800000000000002</c:v>
                </c:pt>
                <c:pt idx="17">
                  <c:v>1.98</c:v>
                </c:pt>
                <c:pt idx="18">
                  <c:v>2.14</c:v>
                </c:pt>
                <c:pt idx="19">
                  <c:v>1.76</c:v>
                </c:pt>
                <c:pt idx="20">
                  <c:v>1.94</c:v>
                </c:pt>
                <c:pt idx="21">
                  <c:v>2.04</c:v>
                </c:pt>
                <c:pt idx="22">
                  <c:v>2.13</c:v>
                </c:pt>
                <c:pt idx="23">
                  <c:v>1.94</c:v>
                </c:pt>
                <c:pt idx="24">
                  <c:v>1.73</c:v>
                </c:pt>
                <c:pt idx="25">
                  <c:v>2.4300000000000002</c:v>
                </c:pt>
                <c:pt idx="26">
                  <c:v>2.17</c:v>
                </c:pt>
                <c:pt idx="27">
                  <c:v>2.0099999999999998</c:v>
                </c:pt>
                <c:pt idx="28">
                  <c:v>2.12</c:v>
                </c:pt>
                <c:pt idx="29">
                  <c:v>2.3199999999999998</c:v>
                </c:pt>
                <c:pt idx="30">
                  <c:v>2.35</c:v>
                </c:pt>
                <c:pt idx="31">
                  <c:v>2.19</c:v>
                </c:pt>
                <c:pt idx="32">
                  <c:v>2.5099999999999998</c:v>
                </c:pt>
                <c:pt idx="33">
                  <c:v>2.61</c:v>
                </c:pt>
                <c:pt idx="34">
                  <c:v>2.31</c:v>
                </c:pt>
                <c:pt idx="35">
                  <c:v>2.2799999999999998</c:v>
                </c:pt>
                <c:pt idx="36">
                  <c:v>2.38</c:v>
                </c:pt>
                <c:pt idx="37">
                  <c:v>2.25</c:v>
                </c:pt>
                <c:pt idx="38">
                  <c:v>2.6</c:v>
                </c:pt>
                <c:pt idx="39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ED-DB43-8C89-6634A436E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42560"/>
        <c:axId val="78641024"/>
      </c:lineChart>
      <c:catAx>
        <c:axId val="786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39488"/>
        <c:crosses val="autoZero"/>
        <c:auto val="1"/>
        <c:lblAlgn val="ctr"/>
        <c:lblOffset val="100"/>
        <c:tickMarkSkip val="1"/>
        <c:noMultiLvlLbl val="0"/>
      </c:catAx>
      <c:valAx>
        <c:axId val="78639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29504"/>
        <c:crosses val="autoZero"/>
        <c:crossBetween val="between"/>
      </c:valAx>
      <c:valAx>
        <c:axId val="7864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642560"/>
        <c:crosses val="max"/>
        <c:crossBetween val="between"/>
      </c:valAx>
      <c:catAx>
        <c:axId val="7864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64102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'11'!$K$2:$K$40</c:f>
              <c:numCache>
                <c:formatCode>General</c:formatCode>
                <c:ptCount val="39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9.6774193548387011E-2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0.13888888888888887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0.10000000000000009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0.11111111111111108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9.9999999999999978E-2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0.12280701754385957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0.12307692307692318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7.1428571428571341E-2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3-9342-97F5-61657514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7792"/>
        <c:axId val="78739328"/>
      </c:lineChart>
      <c:catAx>
        <c:axId val="7873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9328"/>
        <c:crosses val="autoZero"/>
        <c:auto val="1"/>
        <c:lblAlgn val="ctr"/>
        <c:lblOffset val="100"/>
        <c:tickMarkSkip val="1"/>
        <c:noMultiLvlLbl val="0"/>
      </c:catAx>
      <c:valAx>
        <c:axId val="787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87377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'12'!$B$2:$B$41</c:f>
              <c:numCache>
                <c:formatCode>General</c:formatCode>
                <c:ptCount val="40"/>
                <c:pt idx="0">
                  <c:v>37.06</c:v>
                </c:pt>
                <c:pt idx="1">
                  <c:v>36.22</c:v>
                </c:pt>
                <c:pt idx="2">
                  <c:v>32.869999999999997</c:v>
                </c:pt>
                <c:pt idx="3">
                  <c:v>42.04</c:v>
                </c:pt>
                <c:pt idx="4">
                  <c:v>50.31</c:v>
                </c:pt>
                <c:pt idx="5">
                  <c:v>52.99</c:v>
                </c:pt>
                <c:pt idx="6">
                  <c:v>60.37</c:v>
                </c:pt>
                <c:pt idx="7">
                  <c:v>61.85</c:v>
                </c:pt>
                <c:pt idx="8">
                  <c:v>69.78</c:v>
                </c:pt>
                <c:pt idx="9">
                  <c:v>77.47</c:v>
                </c:pt>
                <c:pt idx="10">
                  <c:v>75.849999999999994</c:v>
                </c:pt>
                <c:pt idx="11">
                  <c:v>82.34</c:v>
                </c:pt>
                <c:pt idx="12">
                  <c:v>79.13</c:v>
                </c:pt>
                <c:pt idx="13">
                  <c:v>80.959999999999994</c:v>
                </c:pt>
                <c:pt idx="14">
                  <c:v>91.74</c:v>
                </c:pt>
                <c:pt idx="15">
                  <c:v>104.97</c:v>
                </c:pt>
                <c:pt idx="16">
                  <c:v>113.61</c:v>
                </c:pt>
                <c:pt idx="17">
                  <c:v>111.13</c:v>
                </c:pt>
                <c:pt idx="18">
                  <c:v>115.49</c:v>
                </c:pt>
                <c:pt idx="19">
                  <c:v>132.25</c:v>
                </c:pt>
                <c:pt idx="20">
                  <c:v>133.43</c:v>
                </c:pt>
                <c:pt idx="21">
                  <c:v>127.69</c:v>
                </c:pt>
                <c:pt idx="22">
                  <c:v>128.68</c:v>
                </c:pt>
                <c:pt idx="23">
                  <c:v>134.08000000000001</c:v>
                </c:pt>
                <c:pt idx="24">
                  <c:v>146.83000000000001</c:v>
                </c:pt>
                <c:pt idx="25">
                  <c:v>153.4</c:v>
                </c:pt>
                <c:pt idx="26">
                  <c:v>163.56</c:v>
                </c:pt>
                <c:pt idx="27">
                  <c:v>189.53</c:v>
                </c:pt>
                <c:pt idx="28">
                  <c:v>178.24</c:v>
                </c:pt>
                <c:pt idx="29">
                  <c:v>195.1</c:v>
                </c:pt>
                <c:pt idx="30">
                  <c:v>207.15</c:v>
                </c:pt>
                <c:pt idx="31">
                  <c:v>171.82</c:v>
                </c:pt>
                <c:pt idx="32">
                  <c:v>191.89</c:v>
                </c:pt>
                <c:pt idx="33">
                  <c:v>207.97</c:v>
                </c:pt>
                <c:pt idx="34">
                  <c:v>232.02</c:v>
                </c:pt>
                <c:pt idx="35">
                  <c:v>218.38</c:v>
                </c:pt>
                <c:pt idx="36">
                  <c:v>186.71</c:v>
                </c:pt>
                <c:pt idx="37">
                  <c:v>250.51</c:v>
                </c:pt>
                <c:pt idx="38">
                  <c:v>277.70999999999998</c:v>
                </c:pt>
                <c:pt idx="39">
                  <c:v>265.62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0-4140-AFE1-3355B5BC740B}"/>
            </c:ext>
          </c:extLst>
        </c:ser>
        <c:ser>
          <c:idx val="1"/>
          <c:order val="1"/>
          <c:tx>
            <c:strRef>
              <c:f>'12'!$C$1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'12'!$C$2:$C$41</c:f>
              <c:numCache>
                <c:formatCode>General</c:formatCode>
                <c:ptCount val="40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0.47</c:v>
                </c:pt>
                <c:pt idx="14">
                  <c:v>0.47</c:v>
                </c:pt>
                <c:pt idx="15">
                  <c:v>0.47</c:v>
                </c:pt>
                <c:pt idx="16">
                  <c:v>0.47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0.69</c:v>
                </c:pt>
                <c:pt idx="22">
                  <c:v>0.69</c:v>
                </c:pt>
                <c:pt idx="23">
                  <c:v>0.69</c:v>
                </c:pt>
                <c:pt idx="24">
                  <c:v>0.69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1.36</c:v>
                </c:pt>
                <c:pt idx="34">
                  <c:v>1.36</c:v>
                </c:pt>
                <c:pt idx="35">
                  <c:v>1.36</c:v>
                </c:pt>
                <c:pt idx="36">
                  <c:v>1.36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0-4140-AFE1-3355B5BC740B}"/>
            </c:ext>
          </c:extLst>
        </c:ser>
        <c:ser>
          <c:idx val="2"/>
          <c:order val="2"/>
          <c:tx>
            <c:strRef>
              <c:f>'12'!$D$1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'12'!$D$2:$D$41</c:f>
              <c:numCache>
                <c:formatCode>General</c:formatCode>
                <c:ptCount val="40"/>
                <c:pt idx="0">
                  <c:v>15126</c:v>
                </c:pt>
                <c:pt idx="1">
                  <c:v>16823</c:v>
                </c:pt>
                <c:pt idx="2">
                  <c:v>20232</c:v>
                </c:pt>
                <c:pt idx="3">
                  <c:v>17326</c:v>
                </c:pt>
                <c:pt idx="4">
                  <c:v>16014</c:v>
                </c:pt>
                <c:pt idx="5">
                  <c:v>17808</c:v>
                </c:pt>
                <c:pt idx="6">
                  <c:v>20570</c:v>
                </c:pt>
                <c:pt idx="7">
                  <c:v>18130</c:v>
                </c:pt>
                <c:pt idx="8">
                  <c:v>18246</c:v>
                </c:pt>
                <c:pt idx="9">
                  <c:v>19124</c:v>
                </c:pt>
                <c:pt idx="10">
                  <c:v>22522</c:v>
                </c:pt>
                <c:pt idx="11">
                  <c:v>19470</c:v>
                </c:pt>
                <c:pt idx="12">
                  <c:v>17696</c:v>
                </c:pt>
                <c:pt idx="13">
                  <c:v>19687</c:v>
                </c:pt>
                <c:pt idx="14">
                  <c:v>23811</c:v>
                </c:pt>
                <c:pt idx="15">
                  <c:v>20516</c:v>
                </c:pt>
                <c:pt idx="16">
                  <c:v>19162</c:v>
                </c:pt>
                <c:pt idx="17">
                  <c:v>20891</c:v>
                </c:pt>
                <c:pt idx="18">
                  <c:v>24829</c:v>
                </c:pt>
                <c:pt idx="19">
                  <c:v>21819</c:v>
                </c:pt>
                <c:pt idx="20">
                  <c:v>20980</c:v>
                </c:pt>
                <c:pt idx="21">
                  <c:v>22762</c:v>
                </c:pt>
                <c:pt idx="22">
                  <c:v>26472</c:v>
                </c:pt>
                <c:pt idx="23">
                  <c:v>23154</c:v>
                </c:pt>
                <c:pt idx="24">
                  <c:v>22207</c:v>
                </c:pt>
                <c:pt idx="25">
                  <c:v>23887</c:v>
                </c:pt>
                <c:pt idx="26">
                  <c:v>28108</c:v>
                </c:pt>
                <c:pt idx="27">
                  <c:v>25026</c:v>
                </c:pt>
                <c:pt idx="28">
                  <c:v>23883</c:v>
                </c:pt>
                <c:pt idx="29">
                  <c:v>24947</c:v>
                </c:pt>
                <c:pt idx="30">
                  <c:v>30463</c:v>
                </c:pt>
                <c:pt idx="31">
                  <c:v>26302</c:v>
                </c:pt>
                <c:pt idx="32">
                  <c:v>26491</c:v>
                </c:pt>
                <c:pt idx="33">
                  <c:v>26381</c:v>
                </c:pt>
                <c:pt idx="34">
                  <c:v>30839</c:v>
                </c:pt>
                <c:pt idx="35">
                  <c:v>27223</c:v>
                </c:pt>
                <c:pt idx="36">
                  <c:v>25782</c:v>
                </c:pt>
                <c:pt idx="37">
                  <c:v>28260</c:v>
                </c:pt>
                <c:pt idx="38">
                  <c:v>38053</c:v>
                </c:pt>
                <c:pt idx="39">
                  <c:v>33536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0-4140-AFE1-3355B5BC740B}"/>
            </c:ext>
          </c:extLst>
        </c:ser>
        <c:ser>
          <c:idx val="3"/>
          <c:order val="3"/>
          <c:tx>
            <c:strRef>
              <c:f>'12'!$E$1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'12'!$E$2:$E$41</c:f>
              <c:numCache>
                <c:formatCode>General</c:formatCode>
                <c:ptCount val="40"/>
                <c:pt idx="0">
                  <c:v>1037</c:v>
                </c:pt>
                <c:pt idx="1">
                  <c:v>1422</c:v>
                </c:pt>
                <c:pt idx="2">
                  <c:v>2294</c:v>
                </c:pt>
                <c:pt idx="3">
                  <c:v>1615</c:v>
                </c:pt>
                <c:pt idx="4">
                  <c:v>1330</c:v>
                </c:pt>
                <c:pt idx="5">
                  <c:v>1714</c:v>
                </c:pt>
                <c:pt idx="6">
                  <c:v>2569</c:v>
                </c:pt>
                <c:pt idx="7">
                  <c:v>1733</c:v>
                </c:pt>
                <c:pt idx="8">
                  <c:v>1750</c:v>
                </c:pt>
                <c:pt idx="9">
                  <c:v>2094</c:v>
                </c:pt>
                <c:pt idx="10">
                  <c:v>3018</c:v>
                </c:pt>
                <c:pt idx="11">
                  <c:v>2293</c:v>
                </c:pt>
                <c:pt idx="12">
                  <c:v>1761</c:v>
                </c:pt>
                <c:pt idx="13">
                  <c:v>2277</c:v>
                </c:pt>
                <c:pt idx="14">
                  <c:v>3448</c:v>
                </c:pt>
                <c:pt idx="15">
                  <c:v>2553</c:v>
                </c:pt>
                <c:pt idx="16">
                  <c:v>2191</c:v>
                </c:pt>
                <c:pt idx="17">
                  <c:v>2597</c:v>
                </c:pt>
                <c:pt idx="18">
                  <c:v>3647</c:v>
                </c:pt>
                <c:pt idx="19">
                  <c:v>2981</c:v>
                </c:pt>
                <c:pt idx="20">
                  <c:v>2549</c:v>
                </c:pt>
                <c:pt idx="21">
                  <c:v>3077</c:v>
                </c:pt>
                <c:pt idx="22">
                  <c:v>4103</c:v>
                </c:pt>
                <c:pt idx="23">
                  <c:v>3320</c:v>
                </c:pt>
                <c:pt idx="24">
                  <c:v>2927</c:v>
                </c:pt>
                <c:pt idx="25">
                  <c:v>3349</c:v>
                </c:pt>
                <c:pt idx="26">
                  <c:v>4463</c:v>
                </c:pt>
                <c:pt idx="27">
                  <c:v>3680</c:v>
                </c:pt>
                <c:pt idx="28">
                  <c:v>3189</c:v>
                </c:pt>
                <c:pt idx="29">
                  <c:v>3381</c:v>
                </c:pt>
                <c:pt idx="30">
                  <c:v>4901</c:v>
                </c:pt>
                <c:pt idx="31">
                  <c:v>3870</c:v>
                </c:pt>
                <c:pt idx="32">
                  <c:v>3625</c:v>
                </c:pt>
                <c:pt idx="33">
                  <c:v>3597</c:v>
                </c:pt>
                <c:pt idx="34">
                  <c:v>4896</c:v>
                </c:pt>
                <c:pt idx="35">
                  <c:v>3947</c:v>
                </c:pt>
                <c:pt idx="36">
                  <c:v>3403</c:v>
                </c:pt>
                <c:pt idx="37">
                  <c:v>3276</c:v>
                </c:pt>
                <c:pt idx="38">
                  <c:v>6067</c:v>
                </c:pt>
                <c:pt idx="39">
                  <c:v>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0-4140-AFE1-3355B5BC740B}"/>
            </c:ext>
          </c:extLst>
        </c:ser>
        <c:ser>
          <c:idx val="4"/>
          <c:order val="4"/>
          <c:tx>
            <c:strRef>
              <c:f>'12'!$F$1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'12'!$F$2:$F$41</c:f>
              <c:numCache>
                <c:formatCode>General</c:formatCode>
                <c:ptCount val="40"/>
                <c:pt idx="0">
                  <c:v>587</c:v>
                </c:pt>
                <c:pt idx="1">
                  <c:v>812</c:v>
                </c:pt>
                <c:pt idx="2">
                  <c:v>1363</c:v>
                </c:pt>
                <c:pt idx="3">
                  <c:v>934</c:v>
                </c:pt>
                <c:pt idx="4">
                  <c:v>774</c:v>
                </c:pt>
                <c:pt idx="5">
                  <c:v>1035</c:v>
                </c:pt>
                <c:pt idx="6">
                  <c:v>1532</c:v>
                </c:pt>
                <c:pt idx="7">
                  <c:v>947</c:v>
                </c:pt>
                <c:pt idx="8">
                  <c:v>1021</c:v>
                </c:pt>
                <c:pt idx="9">
                  <c:v>1226</c:v>
                </c:pt>
                <c:pt idx="10">
                  <c:v>1795</c:v>
                </c:pt>
                <c:pt idx="11">
                  <c:v>1351</c:v>
                </c:pt>
                <c:pt idx="12">
                  <c:v>1013</c:v>
                </c:pt>
                <c:pt idx="13">
                  <c:v>1379</c:v>
                </c:pt>
                <c:pt idx="14">
                  <c:v>2050</c:v>
                </c:pt>
                <c:pt idx="15">
                  <c:v>1537</c:v>
                </c:pt>
                <c:pt idx="16">
                  <c:v>1379</c:v>
                </c:pt>
                <c:pt idx="17">
                  <c:v>1579</c:v>
                </c:pt>
                <c:pt idx="18">
                  <c:v>2234</c:v>
                </c:pt>
                <c:pt idx="19">
                  <c:v>1725</c:v>
                </c:pt>
                <c:pt idx="20">
                  <c:v>1471</c:v>
                </c:pt>
                <c:pt idx="21">
                  <c:v>1803</c:v>
                </c:pt>
                <c:pt idx="22">
                  <c:v>2441</c:v>
                </c:pt>
                <c:pt idx="23">
                  <c:v>1969</c:v>
                </c:pt>
                <c:pt idx="24">
                  <c:v>1744</c:v>
                </c:pt>
                <c:pt idx="25">
                  <c:v>2014</c:v>
                </c:pt>
                <c:pt idx="26">
                  <c:v>2672</c:v>
                </c:pt>
                <c:pt idx="27">
                  <c:v>2165</c:v>
                </c:pt>
                <c:pt idx="28">
                  <c:v>1779</c:v>
                </c:pt>
                <c:pt idx="29">
                  <c:v>2404</c:v>
                </c:pt>
                <c:pt idx="30">
                  <c:v>3506</c:v>
                </c:pt>
                <c:pt idx="31">
                  <c:v>2867</c:v>
                </c:pt>
                <c:pt idx="32">
                  <c:v>2344</c:v>
                </c:pt>
                <c:pt idx="33">
                  <c:v>2513</c:v>
                </c:pt>
                <c:pt idx="34">
                  <c:v>3479</c:v>
                </c:pt>
                <c:pt idx="35">
                  <c:v>2769</c:v>
                </c:pt>
                <c:pt idx="36">
                  <c:v>2481</c:v>
                </c:pt>
                <c:pt idx="37">
                  <c:v>2245</c:v>
                </c:pt>
                <c:pt idx="38">
                  <c:v>4332</c:v>
                </c:pt>
                <c:pt idx="39">
                  <c:v>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0-4140-AFE1-3355B5BC740B}"/>
            </c:ext>
          </c:extLst>
        </c:ser>
        <c:ser>
          <c:idx val="7"/>
          <c:order val="7"/>
          <c:tx>
            <c:strRef>
              <c:f>'12'!$I$1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'12'!$I$2:$I$41</c:f>
              <c:numCache>
                <c:formatCode>General</c:formatCode>
                <c:ptCount val="40"/>
                <c:pt idx="0">
                  <c:v>47.01</c:v>
                </c:pt>
                <c:pt idx="1">
                  <c:v>47.01</c:v>
                </c:pt>
                <c:pt idx="2">
                  <c:v>46.09</c:v>
                </c:pt>
                <c:pt idx="3">
                  <c:v>42.33</c:v>
                </c:pt>
                <c:pt idx="4">
                  <c:v>42.11</c:v>
                </c:pt>
                <c:pt idx="5">
                  <c:v>40.75</c:v>
                </c:pt>
                <c:pt idx="6">
                  <c:v>40.14</c:v>
                </c:pt>
                <c:pt idx="7">
                  <c:v>41.13</c:v>
                </c:pt>
                <c:pt idx="8">
                  <c:v>41.13</c:v>
                </c:pt>
                <c:pt idx="9">
                  <c:v>38.67</c:v>
                </c:pt>
                <c:pt idx="10">
                  <c:v>40</c:v>
                </c:pt>
                <c:pt idx="11">
                  <c:v>40.119999999999997</c:v>
                </c:pt>
                <c:pt idx="12">
                  <c:v>39.46</c:v>
                </c:pt>
                <c:pt idx="13">
                  <c:v>41.49</c:v>
                </c:pt>
                <c:pt idx="14">
                  <c:v>41.73</c:v>
                </c:pt>
                <c:pt idx="15">
                  <c:v>40.950000000000003</c:v>
                </c:pt>
                <c:pt idx="16">
                  <c:v>40.909999999999997</c:v>
                </c:pt>
                <c:pt idx="17">
                  <c:v>39.92</c:v>
                </c:pt>
                <c:pt idx="18">
                  <c:v>40.65</c:v>
                </c:pt>
                <c:pt idx="19">
                  <c:v>41.25</c:v>
                </c:pt>
                <c:pt idx="20">
                  <c:v>41.95</c:v>
                </c:pt>
                <c:pt idx="21">
                  <c:v>43.22</c:v>
                </c:pt>
                <c:pt idx="22">
                  <c:v>43.23</c:v>
                </c:pt>
                <c:pt idx="23">
                  <c:v>43.24</c:v>
                </c:pt>
                <c:pt idx="24">
                  <c:v>43.11</c:v>
                </c:pt>
                <c:pt idx="25">
                  <c:v>42.79</c:v>
                </c:pt>
                <c:pt idx="26">
                  <c:v>44.31</c:v>
                </c:pt>
                <c:pt idx="27">
                  <c:v>45.4</c:v>
                </c:pt>
                <c:pt idx="28">
                  <c:v>46.6</c:v>
                </c:pt>
                <c:pt idx="29">
                  <c:v>48.83</c:v>
                </c:pt>
                <c:pt idx="30">
                  <c:v>48.05</c:v>
                </c:pt>
                <c:pt idx="31">
                  <c:v>45.18</c:v>
                </c:pt>
                <c:pt idx="32">
                  <c:v>43.45</c:v>
                </c:pt>
                <c:pt idx="33">
                  <c:v>42.34</c:v>
                </c:pt>
                <c:pt idx="34">
                  <c:v>44.86</c:v>
                </c:pt>
                <c:pt idx="35">
                  <c:v>47.61</c:v>
                </c:pt>
                <c:pt idx="36">
                  <c:v>50.8</c:v>
                </c:pt>
                <c:pt idx="37">
                  <c:v>53.07</c:v>
                </c:pt>
                <c:pt idx="38">
                  <c:v>55.47</c:v>
                </c:pt>
                <c:pt idx="39">
                  <c:v>52.33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0-4140-AFE1-3355B5BC740B}"/>
            </c:ext>
          </c:extLst>
        </c:ser>
        <c:ser>
          <c:idx val="8"/>
          <c:order val="8"/>
          <c:tx>
            <c:strRef>
              <c:f>'12'!$J$1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'12'!$J$2:$J$41</c:f>
              <c:numCache>
                <c:formatCode>General</c:formatCode>
                <c:ptCount val="40"/>
                <c:pt idx="0">
                  <c:v>599</c:v>
                </c:pt>
                <c:pt idx="1">
                  <c:v>2098</c:v>
                </c:pt>
                <c:pt idx="2">
                  <c:v>2389</c:v>
                </c:pt>
                <c:pt idx="3">
                  <c:v>1204</c:v>
                </c:pt>
                <c:pt idx="4">
                  <c:v>960</c:v>
                </c:pt>
                <c:pt idx="5">
                  <c:v>2490</c:v>
                </c:pt>
                <c:pt idx="6">
                  <c:v>1771</c:v>
                </c:pt>
                <c:pt idx="7">
                  <c:v>1123</c:v>
                </c:pt>
                <c:pt idx="8">
                  <c:v>1591</c:v>
                </c:pt>
                <c:pt idx="9">
                  <c:v>2697</c:v>
                </c:pt>
                <c:pt idx="10">
                  <c:v>2021</c:v>
                </c:pt>
                <c:pt idx="11">
                  <c:v>1263</c:v>
                </c:pt>
                <c:pt idx="12">
                  <c:v>1647</c:v>
                </c:pt>
                <c:pt idx="13">
                  <c:v>2568</c:v>
                </c:pt>
                <c:pt idx="14">
                  <c:v>2717</c:v>
                </c:pt>
                <c:pt idx="15">
                  <c:v>962</c:v>
                </c:pt>
                <c:pt idx="16">
                  <c:v>1995</c:v>
                </c:pt>
                <c:pt idx="17">
                  <c:v>3404</c:v>
                </c:pt>
                <c:pt idx="18">
                  <c:v>2530</c:v>
                </c:pt>
                <c:pt idx="19">
                  <c:v>1432</c:v>
                </c:pt>
                <c:pt idx="20">
                  <c:v>2007</c:v>
                </c:pt>
                <c:pt idx="21">
                  <c:v>3636</c:v>
                </c:pt>
                <c:pt idx="22">
                  <c:v>3241</c:v>
                </c:pt>
                <c:pt idx="23">
                  <c:v>1042</c:v>
                </c:pt>
                <c:pt idx="24">
                  <c:v>1864</c:v>
                </c:pt>
                <c:pt idx="25">
                  <c:v>4564</c:v>
                </c:pt>
                <c:pt idx="26">
                  <c:v>3298</c:v>
                </c:pt>
                <c:pt idx="27">
                  <c:v>1879</c:v>
                </c:pt>
                <c:pt idx="28">
                  <c:v>2290</c:v>
                </c:pt>
                <c:pt idx="29">
                  <c:v>3981</c:v>
                </c:pt>
                <c:pt idx="30">
                  <c:v>3926</c:v>
                </c:pt>
                <c:pt idx="31">
                  <c:v>2129</c:v>
                </c:pt>
                <c:pt idx="32">
                  <c:v>3002</c:v>
                </c:pt>
                <c:pt idx="33">
                  <c:v>4575</c:v>
                </c:pt>
                <c:pt idx="34">
                  <c:v>3922</c:v>
                </c:pt>
                <c:pt idx="35">
                  <c:v>2167</c:v>
                </c:pt>
                <c:pt idx="36">
                  <c:v>3059</c:v>
                </c:pt>
                <c:pt idx="37">
                  <c:v>5737</c:v>
                </c:pt>
                <c:pt idx="38">
                  <c:v>9092</c:v>
                </c:pt>
                <c:pt idx="39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160"/>
        <c:axId val="79074048"/>
      </c:lineChart>
      <c:lineChart>
        <c:grouping val="standard"/>
        <c:varyColors val="0"/>
        <c:ser>
          <c:idx val="5"/>
          <c:order val="5"/>
          <c:tx>
            <c:strRef>
              <c:f>'12'!$G$1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'12'!$G$2:$G$41</c:f>
              <c:numCache>
                <c:formatCode>General</c:formatCode>
                <c:ptCount val="40"/>
                <c:pt idx="0">
                  <c:v>6.86</c:v>
                </c:pt>
                <c:pt idx="1">
                  <c:v>8.4499999999999993</c:v>
                </c:pt>
                <c:pt idx="2">
                  <c:v>11.34</c:v>
                </c:pt>
                <c:pt idx="3">
                  <c:v>9.32</c:v>
                </c:pt>
                <c:pt idx="4">
                  <c:v>8.31</c:v>
                </c:pt>
                <c:pt idx="5">
                  <c:v>9.6199999999999992</c:v>
                </c:pt>
                <c:pt idx="6">
                  <c:v>12.49</c:v>
                </c:pt>
                <c:pt idx="7">
                  <c:v>9.56</c:v>
                </c:pt>
                <c:pt idx="8">
                  <c:v>9.59</c:v>
                </c:pt>
                <c:pt idx="9">
                  <c:v>10.95</c:v>
                </c:pt>
                <c:pt idx="10">
                  <c:v>13.4</c:v>
                </c:pt>
                <c:pt idx="11">
                  <c:v>11.78</c:v>
                </c:pt>
                <c:pt idx="12">
                  <c:v>9.9499999999999993</c:v>
                </c:pt>
                <c:pt idx="13">
                  <c:v>11.57</c:v>
                </c:pt>
                <c:pt idx="14">
                  <c:v>14.48</c:v>
                </c:pt>
                <c:pt idx="15">
                  <c:v>12.44</c:v>
                </c:pt>
                <c:pt idx="16">
                  <c:v>11.43</c:v>
                </c:pt>
                <c:pt idx="17">
                  <c:v>12.43</c:v>
                </c:pt>
                <c:pt idx="18">
                  <c:v>14.69</c:v>
                </c:pt>
                <c:pt idx="19">
                  <c:v>13.66</c:v>
                </c:pt>
                <c:pt idx="20">
                  <c:v>12.15</c:v>
                </c:pt>
                <c:pt idx="21">
                  <c:v>13.52</c:v>
                </c:pt>
                <c:pt idx="22">
                  <c:v>15.5</c:v>
                </c:pt>
                <c:pt idx="23">
                  <c:v>14.34</c:v>
                </c:pt>
                <c:pt idx="24">
                  <c:v>13.18</c:v>
                </c:pt>
                <c:pt idx="25">
                  <c:v>14.02</c:v>
                </c:pt>
                <c:pt idx="26">
                  <c:v>15.88</c:v>
                </c:pt>
                <c:pt idx="27">
                  <c:v>14.7</c:v>
                </c:pt>
                <c:pt idx="28">
                  <c:v>13.35</c:v>
                </c:pt>
                <c:pt idx="29">
                  <c:v>13.55</c:v>
                </c:pt>
                <c:pt idx="30">
                  <c:v>16.09</c:v>
                </c:pt>
                <c:pt idx="31">
                  <c:v>14.71</c:v>
                </c:pt>
                <c:pt idx="32">
                  <c:v>13.68</c:v>
                </c:pt>
                <c:pt idx="33">
                  <c:v>13.63</c:v>
                </c:pt>
                <c:pt idx="34">
                  <c:v>15.88</c:v>
                </c:pt>
                <c:pt idx="35">
                  <c:v>14.5</c:v>
                </c:pt>
                <c:pt idx="36">
                  <c:v>13.2</c:v>
                </c:pt>
                <c:pt idx="37">
                  <c:v>11.59</c:v>
                </c:pt>
                <c:pt idx="38">
                  <c:v>15.94</c:v>
                </c:pt>
                <c:pt idx="39">
                  <c:v>14.47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60-4140-AFE1-3355B5BC740B}"/>
            </c:ext>
          </c:extLst>
        </c:ser>
        <c:ser>
          <c:idx val="6"/>
          <c:order val="6"/>
          <c:tx>
            <c:strRef>
              <c:f>'12'!$H$1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'12'!$A$2:$A$41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'12'!$H$2:$H$41</c:f>
              <c:numCache>
                <c:formatCode>General</c:formatCode>
                <c:ptCount val="40"/>
                <c:pt idx="0">
                  <c:v>3.88</c:v>
                </c:pt>
                <c:pt idx="1">
                  <c:v>4.83</c:v>
                </c:pt>
                <c:pt idx="2">
                  <c:v>6.74</c:v>
                </c:pt>
                <c:pt idx="3">
                  <c:v>5.39</c:v>
                </c:pt>
                <c:pt idx="4">
                  <c:v>4.83</c:v>
                </c:pt>
                <c:pt idx="5">
                  <c:v>5.81</c:v>
                </c:pt>
                <c:pt idx="6">
                  <c:v>7.45</c:v>
                </c:pt>
                <c:pt idx="7">
                  <c:v>5.22</c:v>
                </c:pt>
                <c:pt idx="8">
                  <c:v>5.6</c:v>
                </c:pt>
                <c:pt idx="9">
                  <c:v>6.41</c:v>
                </c:pt>
                <c:pt idx="10">
                  <c:v>7.97</c:v>
                </c:pt>
                <c:pt idx="11">
                  <c:v>6.94</c:v>
                </c:pt>
                <c:pt idx="12">
                  <c:v>5.72</c:v>
                </c:pt>
                <c:pt idx="13">
                  <c:v>7</c:v>
                </c:pt>
                <c:pt idx="14">
                  <c:v>8.61</c:v>
                </c:pt>
                <c:pt idx="15">
                  <c:v>7.49</c:v>
                </c:pt>
                <c:pt idx="16">
                  <c:v>7.2</c:v>
                </c:pt>
                <c:pt idx="17">
                  <c:v>7.56</c:v>
                </c:pt>
                <c:pt idx="18">
                  <c:v>9</c:v>
                </c:pt>
                <c:pt idx="19">
                  <c:v>7.91</c:v>
                </c:pt>
                <c:pt idx="20">
                  <c:v>7.01</c:v>
                </c:pt>
                <c:pt idx="21">
                  <c:v>7.92</c:v>
                </c:pt>
                <c:pt idx="22">
                  <c:v>9.2200000000000006</c:v>
                </c:pt>
                <c:pt idx="23">
                  <c:v>8.5</c:v>
                </c:pt>
                <c:pt idx="24">
                  <c:v>7.85</c:v>
                </c:pt>
                <c:pt idx="25">
                  <c:v>8.43</c:v>
                </c:pt>
                <c:pt idx="26">
                  <c:v>9.51</c:v>
                </c:pt>
                <c:pt idx="27">
                  <c:v>8.65</c:v>
                </c:pt>
                <c:pt idx="28">
                  <c:v>7.45</c:v>
                </c:pt>
                <c:pt idx="29">
                  <c:v>9.64</c:v>
                </c:pt>
                <c:pt idx="30">
                  <c:v>11.51</c:v>
                </c:pt>
                <c:pt idx="31">
                  <c:v>10.9</c:v>
                </c:pt>
                <c:pt idx="32">
                  <c:v>8.85</c:v>
                </c:pt>
                <c:pt idx="33">
                  <c:v>9.5299999999999994</c:v>
                </c:pt>
                <c:pt idx="34">
                  <c:v>11.28</c:v>
                </c:pt>
                <c:pt idx="35">
                  <c:v>10.17</c:v>
                </c:pt>
                <c:pt idx="36">
                  <c:v>9.6199999999999992</c:v>
                </c:pt>
                <c:pt idx="37">
                  <c:v>7.94</c:v>
                </c:pt>
                <c:pt idx="38">
                  <c:v>11.38</c:v>
                </c:pt>
                <c:pt idx="39">
                  <c:v>10.23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60-4140-AFE1-3355B5BC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93760"/>
        <c:axId val="79075584"/>
      </c:lineChart>
      <c:catAx>
        <c:axId val="790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74048"/>
        <c:crosses val="autoZero"/>
        <c:auto val="1"/>
        <c:lblAlgn val="ctr"/>
        <c:lblOffset val="100"/>
        <c:tickMarkSkip val="1"/>
        <c:noMultiLvlLbl val="0"/>
      </c:catAx>
      <c:valAx>
        <c:axId val="7907404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68160"/>
        <c:crosses val="autoZero"/>
        <c:crossBetween val="between"/>
      </c:valAx>
      <c:valAx>
        <c:axId val="7907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093760"/>
        <c:crosses val="max"/>
        <c:crossBetween val="between"/>
      </c:valAx>
      <c:catAx>
        <c:axId val="790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7558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'12'!$K$2:$K$40</c:f>
              <c:numCache>
                <c:formatCode>General</c:formatCode>
                <c:ptCount val="39"/>
                <c:pt idx="0">
                  <c:v>4.1666666666666706E-2</c:v>
                </c:pt>
                <c:pt idx="1">
                  <c:v>0</c:v>
                </c:pt>
                <c:pt idx="2">
                  <c:v>0</c:v>
                </c:pt>
                <c:pt idx="3">
                  <c:v>0.15999999999999992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0.34482758620689669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0.20512820512820501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0.25531914893617019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0.16949152542372878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0.28985507246376824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0.15730337078651688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0.32038834951456319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0.10294117647058816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9-E041-BFCF-1F15F684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50176"/>
        <c:axId val="79251712"/>
      </c:lineChart>
      <c:catAx>
        <c:axId val="792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1712"/>
        <c:crosses val="autoZero"/>
        <c:auto val="1"/>
        <c:lblAlgn val="ctr"/>
        <c:lblOffset val="100"/>
        <c:tickMarkSkip val="1"/>
        <c:noMultiLvlLbl val="0"/>
      </c:catAx>
      <c:valAx>
        <c:axId val="79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5017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1157603263854772E-2"/>
          <c:y val="9.8853617906570448E-2"/>
          <c:w val="0.93787795305252075"/>
          <c:h val="0.81579041481018555"/>
        </c:manualLayout>
      </c:layout>
      <c:lineChart>
        <c:grouping val="standard"/>
        <c:varyColors val="0"/>
        <c:ser>
          <c:idx val="0"/>
          <c:order val="0"/>
          <c:tx>
            <c:strRef>
              <c:f>'13'!$B$1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'13'!$B$2:$B$40</c:f>
              <c:numCache>
                <c:formatCode>General</c:formatCode>
                <c:ptCount val="39"/>
                <c:pt idx="0">
                  <c:v>20.18</c:v>
                </c:pt>
                <c:pt idx="1">
                  <c:v>22.16</c:v>
                </c:pt>
                <c:pt idx="2">
                  <c:v>21.335000000000001</c:v>
                </c:pt>
                <c:pt idx="3">
                  <c:v>24.25</c:v>
                </c:pt>
                <c:pt idx="4">
                  <c:v>28.114999999999998</c:v>
                </c:pt>
                <c:pt idx="5">
                  <c:v>26.65</c:v>
                </c:pt>
                <c:pt idx="6">
                  <c:v>22.655000000000001</c:v>
                </c:pt>
                <c:pt idx="7">
                  <c:v>20.62</c:v>
                </c:pt>
                <c:pt idx="8">
                  <c:v>21.835000000000001</c:v>
                </c:pt>
                <c:pt idx="9">
                  <c:v>24.23</c:v>
                </c:pt>
                <c:pt idx="10">
                  <c:v>22.920999999999999</c:v>
                </c:pt>
                <c:pt idx="11">
                  <c:v>25.954999999999998</c:v>
                </c:pt>
                <c:pt idx="12">
                  <c:v>25.814</c:v>
                </c:pt>
                <c:pt idx="13">
                  <c:v>30.9</c:v>
                </c:pt>
                <c:pt idx="14">
                  <c:v>34.82</c:v>
                </c:pt>
                <c:pt idx="15">
                  <c:v>36.29</c:v>
                </c:pt>
                <c:pt idx="16">
                  <c:v>31.27</c:v>
                </c:pt>
                <c:pt idx="17">
                  <c:v>30.414999999999999</c:v>
                </c:pt>
                <c:pt idx="18">
                  <c:v>30.14</c:v>
                </c:pt>
                <c:pt idx="19">
                  <c:v>34.450000000000003</c:v>
                </c:pt>
                <c:pt idx="20">
                  <c:v>32.35</c:v>
                </c:pt>
                <c:pt idx="21">
                  <c:v>32.799999999999997</c:v>
                </c:pt>
                <c:pt idx="22">
                  <c:v>37.75</c:v>
                </c:pt>
                <c:pt idx="23">
                  <c:v>36.270000000000003</c:v>
                </c:pt>
                <c:pt idx="24">
                  <c:v>36.07</c:v>
                </c:pt>
                <c:pt idx="25">
                  <c:v>33.74</c:v>
                </c:pt>
                <c:pt idx="26">
                  <c:v>38.08</c:v>
                </c:pt>
                <c:pt idx="27">
                  <c:v>46.16</c:v>
                </c:pt>
                <c:pt idx="28">
                  <c:v>52.08</c:v>
                </c:pt>
                <c:pt idx="29">
                  <c:v>49.71</c:v>
                </c:pt>
                <c:pt idx="30">
                  <c:v>47.29</c:v>
                </c:pt>
                <c:pt idx="31">
                  <c:v>46.93</c:v>
                </c:pt>
                <c:pt idx="32">
                  <c:v>53.7</c:v>
                </c:pt>
                <c:pt idx="33">
                  <c:v>47.87</c:v>
                </c:pt>
                <c:pt idx="34">
                  <c:v>51.53</c:v>
                </c:pt>
                <c:pt idx="35">
                  <c:v>59.85</c:v>
                </c:pt>
                <c:pt idx="36">
                  <c:v>54.12</c:v>
                </c:pt>
                <c:pt idx="37">
                  <c:v>59.83</c:v>
                </c:pt>
                <c:pt idx="38">
                  <c:v>51.78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8-6242-B62A-F4628CB91B07}"/>
            </c:ext>
          </c:extLst>
        </c:ser>
        <c:ser>
          <c:idx val="1"/>
          <c:order val="1"/>
          <c:tx>
            <c:strRef>
              <c:f>'13'!$C$1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'13'!$C$2:$C$40</c:f>
              <c:numCache>
                <c:formatCode>General</c:formatCode>
                <c:ptCount val="39"/>
                <c:pt idx="0">
                  <c:v>0.18</c:v>
                </c:pt>
                <c:pt idx="1">
                  <c:v>0.18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0.21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0.32</c:v>
                </c:pt>
                <c:pt idx="34">
                  <c:v>0.32</c:v>
                </c:pt>
                <c:pt idx="35">
                  <c:v>0.32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8-6242-B62A-F4628CB91B07}"/>
            </c:ext>
          </c:extLst>
        </c:ser>
        <c:ser>
          <c:idx val="2"/>
          <c:order val="2"/>
          <c:tx>
            <c:strRef>
              <c:f>'13'!$D$1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'13'!$D$2:$D$40</c:f>
              <c:numCache>
                <c:formatCode>General</c:formatCode>
                <c:ptCount val="39"/>
                <c:pt idx="0">
                  <c:v>12847</c:v>
                </c:pt>
                <c:pt idx="1">
                  <c:v>13032</c:v>
                </c:pt>
                <c:pt idx="2">
                  <c:v>14233</c:v>
                </c:pt>
                <c:pt idx="3">
                  <c:v>13887</c:v>
                </c:pt>
                <c:pt idx="4">
                  <c:v>12906</c:v>
                </c:pt>
                <c:pt idx="5">
                  <c:v>13501</c:v>
                </c:pt>
                <c:pt idx="6">
                  <c:v>13457</c:v>
                </c:pt>
                <c:pt idx="7">
                  <c:v>13477</c:v>
                </c:pt>
                <c:pt idx="8">
                  <c:v>12580</c:v>
                </c:pt>
                <c:pt idx="9">
                  <c:v>12811</c:v>
                </c:pt>
                <c:pt idx="10">
                  <c:v>13483</c:v>
                </c:pt>
                <c:pt idx="11">
                  <c:v>13834</c:v>
                </c:pt>
                <c:pt idx="12">
                  <c:v>12764</c:v>
                </c:pt>
                <c:pt idx="13">
                  <c:v>13831</c:v>
                </c:pt>
                <c:pt idx="14">
                  <c:v>14554</c:v>
                </c:pt>
                <c:pt idx="15">
                  <c:v>14721</c:v>
                </c:pt>
                <c:pt idx="16">
                  <c:v>12781</c:v>
                </c:pt>
                <c:pt idx="17">
                  <c:v>13195</c:v>
                </c:pt>
                <c:pt idx="18">
                  <c:v>14465</c:v>
                </c:pt>
                <c:pt idx="19">
                  <c:v>14914</c:v>
                </c:pt>
                <c:pt idx="20">
                  <c:v>13702</c:v>
                </c:pt>
                <c:pt idx="21">
                  <c:v>13533</c:v>
                </c:pt>
                <c:pt idx="22">
                  <c:v>15778</c:v>
                </c:pt>
                <c:pt idx="23">
                  <c:v>16374</c:v>
                </c:pt>
                <c:pt idx="24">
                  <c:v>14796</c:v>
                </c:pt>
                <c:pt idx="25">
                  <c:v>14763</c:v>
                </c:pt>
                <c:pt idx="26">
                  <c:v>16149</c:v>
                </c:pt>
                <c:pt idx="27">
                  <c:v>17053</c:v>
                </c:pt>
                <c:pt idx="28">
                  <c:v>16066</c:v>
                </c:pt>
                <c:pt idx="29">
                  <c:v>16962</c:v>
                </c:pt>
                <c:pt idx="30">
                  <c:v>19163</c:v>
                </c:pt>
                <c:pt idx="31">
                  <c:v>18657</c:v>
                </c:pt>
                <c:pt idx="32">
                  <c:v>16061</c:v>
                </c:pt>
                <c:pt idx="33">
                  <c:v>16505</c:v>
                </c:pt>
                <c:pt idx="34">
                  <c:v>19190</c:v>
                </c:pt>
                <c:pt idx="35">
                  <c:v>20209</c:v>
                </c:pt>
                <c:pt idx="36">
                  <c:v>19828</c:v>
                </c:pt>
                <c:pt idx="37">
                  <c:v>19728</c:v>
                </c:pt>
                <c:pt idx="38">
                  <c:v>18333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8-6242-B62A-F4628CB91B07}"/>
            </c:ext>
          </c:extLst>
        </c:ser>
        <c:ser>
          <c:idx val="3"/>
          <c:order val="3"/>
          <c:tx>
            <c:strRef>
              <c:f>'13'!$E$1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'13'!$E$2:$E$40</c:f>
              <c:numCache>
                <c:formatCode>General</c:formatCode>
                <c:ptCount val="39"/>
                <c:pt idx="0">
                  <c:v>4158</c:v>
                </c:pt>
                <c:pt idx="1">
                  <c:v>3935</c:v>
                </c:pt>
                <c:pt idx="2">
                  <c:v>4785</c:v>
                </c:pt>
                <c:pt idx="3">
                  <c:v>4599</c:v>
                </c:pt>
                <c:pt idx="4">
                  <c:v>3810</c:v>
                </c:pt>
                <c:pt idx="5">
                  <c:v>3832</c:v>
                </c:pt>
                <c:pt idx="6">
                  <c:v>3841</c:v>
                </c:pt>
                <c:pt idx="7">
                  <c:v>3155</c:v>
                </c:pt>
                <c:pt idx="8">
                  <c:v>2519</c:v>
                </c:pt>
                <c:pt idx="9">
                  <c:v>2719</c:v>
                </c:pt>
                <c:pt idx="10">
                  <c:v>3628</c:v>
                </c:pt>
                <c:pt idx="11">
                  <c:v>3665</c:v>
                </c:pt>
                <c:pt idx="12">
                  <c:v>2647</c:v>
                </c:pt>
                <c:pt idx="13">
                  <c:v>3925</c:v>
                </c:pt>
                <c:pt idx="14">
                  <c:v>4560</c:v>
                </c:pt>
                <c:pt idx="15">
                  <c:v>4510</c:v>
                </c:pt>
                <c:pt idx="16">
                  <c:v>2720</c:v>
                </c:pt>
                <c:pt idx="17">
                  <c:v>3144</c:v>
                </c:pt>
                <c:pt idx="18">
                  <c:v>4206</c:v>
                </c:pt>
                <c:pt idx="19">
                  <c:v>4286</c:v>
                </c:pt>
                <c:pt idx="20">
                  <c:v>2568</c:v>
                </c:pt>
                <c:pt idx="21">
                  <c:v>2732</c:v>
                </c:pt>
                <c:pt idx="22">
                  <c:v>4834</c:v>
                </c:pt>
                <c:pt idx="23">
                  <c:v>4626</c:v>
                </c:pt>
                <c:pt idx="24">
                  <c:v>3679</c:v>
                </c:pt>
                <c:pt idx="25">
                  <c:v>3932</c:v>
                </c:pt>
                <c:pt idx="26">
                  <c:v>5119</c:v>
                </c:pt>
                <c:pt idx="27">
                  <c:v>5590</c:v>
                </c:pt>
                <c:pt idx="28">
                  <c:v>4470</c:v>
                </c:pt>
                <c:pt idx="29">
                  <c:v>5273</c:v>
                </c:pt>
                <c:pt idx="30">
                  <c:v>7277</c:v>
                </c:pt>
                <c:pt idx="31">
                  <c:v>6224</c:v>
                </c:pt>
                <c:pt idx="32">
                  <c:v>4174</c:v>
                </c:pt>
                <c:pt idx="33">
                  <c:v>4801</c:v>
                </c:pt>
                <c:pt idx="34">
                  <c:v>6551</c:v>
                </c:pt>
                <c:pt idx="35">
                  <c:v>6902</c:v>
                </c:pt>
                <c:pt idx="36">
                  <c:v>7200</c:v>
                </c:pt>
                <c:pt idx="37">
                  <c:v>5706</c:v>
                </c:pt>
                <c:pt idx="38">
                  <c:v>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8-6242-B62A-F4628CB91B07}"/>
            </c:ext>
          </c:extLst>
        </c:ser>
        <c:ser>
          <c:idx val="4"/>
          <c:order val="4"/>
          <c:tx>
            <c:strRef>
              <c:f>'13'!$F$1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'13'!$F$2:$F$40</c:f>
              <c:numCache>
                <c:formatCode>General</c:formatCode>
                <c:ptCount val="39"/>
                <c:pt idx="0">
                  <c:v>3160</c:v>
                </c:pt>
                <c:pt idx="1">
                  <c:v>2954</c:v>
                </c:pt>
                <c:pt idx="2">
                  <c:v>3468</c:v>
                </c:pt>
                <c:pt idx="3">
                  <c:v>3360</c:v>
                </c:pt>
                <c:pt idx="4">
                  <c:v>2738</c:v>
                </c:pt>
                <c:pt idx="5">
                  <c:v>2827</c:v>
                </c:pt>
                <c:pt idx="6">
                  <c:v>2972</c:v>
                </c:pt>
                <c:pt idx="7">
                  <c:v>2468</c:v>
                </c:pt>
                <c:pt idx="8">
                  <c:v>2045</c:v>
                </c:pt>
                <c:pt idx="9">
                  <c:v>2000</c:v>
                </c:pt>
                <c:pt idx="10">
                  <c:v>2950</c:v>
                </c:pt>
                <c:pt idx="11">
                  <c:v>2625</c:v>
                </c:pt>
                <c:pt idx="12">
                  <c:v>1930</c:v>
                </c:pt>
                <c:pt idx="13">
                  <c:v>2796</c:v>
                </c:pt>
                <c:pt idx="14">
                  <c:v>3317</c:v>
                </c:pt>
                <c:pt idx="15">
                  <c:v>3661</c:v>
                </c:pt>
                <c:pt idx="16">
                  <c:v>1992</c:v>
                </c:pt>
                <c:pt idx="17">
                  <c:v>2706</c:v>
                </c:pt>
                <c:pt idx="18">
                  <c:v>3109</c:v>
                </c:pt>
                <c:pt idx="19">
                  <c:v>3613</c:v>
                </c:pt>
                <c:pt idx="20">
                  <c:v>2046</c:v>
                </c:pt>
                <c:pt idx="21">
                  <c:v>1330</c:v>
                </c:pt>
                <c:pt idx="22">
                  <c:v>3378</c:v>
                </c:pt>
                <c:pt idx="23">
                  <c:v>3562</c:v>
                </c:pt>
                <c:pt idx="24">
                  <c:v>2964</c:v>
                </c:pt>
                <c:pt idx="25">
                  <c:v>2808</c:v>
                </c:pt>
                <c:pt idx="26">
                  <c:v>4516</c:v>
                </c:pt>
                <c:pt idx="27">
                  <c:v>-687</c:v>
                </c:pt>
                <c:pt idx="28">
                  <c:v>4454</c:v>
                </c:pt>
                <c:pt idx="29">
                  <c:v>5006</c:v>
                </c:pt>
                <c:pt idx="30">
                  <c:v>6398</c:v>
                </c:pt>
                <c:pt idx="31">
                  <c:v>5195</c:v>
                </c:pt>
                <c:pt idx="32">
                  <c:v>3974</c:v>
                </c:pt>
                <c:pt idx="33">
                  <c:v>4179</c:v>
                </c:pt>
                <c:pt idx="34">
                  <c:v>5990</c:v>
                </c:pt>
                <c:pt idx="35">
                  <c:v>6905</c:v>
                </c:pt>
                <c:pt idx="36">
                  <c:v>5661</c:v>
                </c:pt>
                <c:pt idx="37">
                  <c:v>5105</c:v>
                </c:pt>
                <c:pt idx="38">
                  <c:v>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8-6242-B62A-F4628CB91B07}"/>
            </c:ext>
          </c:extLst>
        </c:ser>
        <c:ser>
          <c:idx val="7"/>
          <c:order val="7"/>
          <c:tx>
            <c:strRef>
              <c:f>'13'!$I$1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'13'!$I$2:$I$40</c:f>
              <c:numCache>
                <c:formatCode>General</c:formatCode>
                <c:ptCount val="39"/>
                <c:pt idx="0">
                  <c:v>30.55</c:v>
                </c:pt>
                <c:pt idx="1">
                  <c:v>31.07</c:v>
                </c:pt>
                <c:pt idx="2">
                  <c:v>31.6</c:v>
                </c:pt>
                <c:pt idx="3">
                  <c:v>31.6</c:v>
                </c:pt>
                <c:pt idx="4">
                  <c:v>32.74</c:v>
                </c:pt>
                <c:pt idx="5">
                  <c:v>34.369999999999997</c:v>
                </c:pt>
                <c:pt idx="6">
                  <c:v>35.74</c:v>
                </c:pt>
                <c:pt idx="7">
                  <c:v>40.85</c:v>
                </c:pt>
                <c:pt idx="8">
                  <c:v>40.85</c:v>
                </c:pt>
                <c:pt idx="9">
                  <c:v>44.25</c:v>
                </c:pt>
                <c:pt idx="10">
                  <c:v>48.65</c:v>
                </c:pt>
                <c:pt idx="11">
                  <c:v>48.65</c:v>
                </c:pt>
                <c:pt idx="12">
                  <c:v>47.62</c:v>
                </c:pt>
                <c:pt idx="13">
                  <c:v>48.13</c:v>
                </c:pt>
                <c:pt idx="14">
                  <c:v>44.55</c:v>
                </c:pt>
                <c:pt idx="15">
                  <c:v>42.86</c:v>
                </c:pt>
                <c:pt idx="16">
                  <c:v>38.96</c:v>
                </c:pt>
                <c:pt idx="17">
                  <c:v>39.1</c:v>
                </c:pt>
                <c:pt idx="18">
                  <c:v>39.57</c:v>
                </c:pt>
                <c:pt idx="19">
                  <c:v>40.729999999999997</c:v>
                </c:pt>
                <c:pt idx="20">
                  <c:v>41.2</c:v>
                </c:pt>
                <c:pt idx="21">
                  <c:v>41.88</c:v>
                </c:pt>
                <c:pt idx="22">
                  <c:v>48.54</c:v>
                </c:pt>
                <c:pt idx="23">
                  <c:v>47.89</c:v>
                </c:pt>
                <c:pt idx="24">
                  <c:v>49.06</c:v>
                </c:pt>
                <c:pt idx="25">
                  <c:v>45.02</c:v>
                </c:pt>
                <c:pt idx="26">
                  <c:v>40.17</c:v>
                </c:pt>
                <c:pt idx="27">
                  <c:v>37.369999999999997</c:v>
                </c:pt>
                <c:pt idx="28">
                  <c:v>54.15</c:v>
                </c:pt>
                <c:pt idx="29">
                  <c:v>48.38</c:v>
                </c:pt>
                <c:pt idx="30">
                  <c:v>41.19</c:v>
                </c:pt>
                <c:pt idx="31">
                  <c:v>36.409999999999997</c:v>
                </c:pt>
                <c:pt idx="32">
                  <c:v>26.79</c:v>
                </c:pt>
                <c:pt idx="33">
                  <c:v>27.49</c:v>
                </c:pt>
                <c:pt idx="34">
                  <c:v>28.67</c:v>
                </c:pt>
                <c:pt idx="35">
                  <c:v>29.16</c:v>
                </c:pt>
                <c:pt idx="36">
                  <c:v>26.75</c:v>
                </c:pt>
                <c:pt idx="37">
                  <c:v>24.76</c:v>
                </c:pt>
                <c:pt idx="38">
                  <c:v>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8-6242-B62A-F4628CB91B07}"/>
            </c:ext>
          </c:extLst>
        </c:ser>
        <c:ser>
          <c:idx val="8"/>
          <c:order val="8"/>
          <c:tx>
            <c:strRef>
              <c:f>'13'!$J$1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'13'!$J$2:$J$40</c:f>
              <c:numCache>
                <c:formatCode>General</c:formatCode>
                <c:ptCount val="39"/>
                <c:pt idx="0">
                  <c:v>4013</c:v>
                </c:pt>
                <c:pt idx="1">
                  <c:v>3971</c:v>
                </c:pt>
                <c:pt idx="2">
                  <c:v>6349</c:v>
                </c:pt>
                <c:pt idx="3">
                  <c:v>6630</c:v>
                </c:pt>
                <c:pt idx="4">
                  <c:v>2972</c:v>
                </c:pt>
                <c:pt idx="5">
                  <c:v>4739</c:v>
                </c:pt>
                <c:pt idx="6">
                  <c:v>5147</c:v>
                </c:pt>
                <c:pt idx="7">
                  <c:v>6026</c:v>
                </c:pt>
                <c:pt idx="8">
                  <c:v>4285</c:v>
                </c:pt>
                <c:pt idx="9">
                  <c:v>4722</c:v>
                </c:pt>
                <c:pt idx="10">
                  <c:v>5731</c:v>
                </c:pt>
                <c:pt idx="11">
                  <c:v>6038</c:v>
                </c:pt>
                <c:pt idx="12">
                  <c:v>3501</c:v>
                </c:pt>
                <c:pt idx="13">
                  <c:v>5453</c:v>
                </c:pt>
                <c:pt idx="14">
                  <c:v>5693</c:v>
                </c:pt>
                <c:pt idx="15">
                  <c:v>5771</c:v>
                </c:pt>
                <c:pt idx="16">
                  <c:v>4415</c:v>
                </c:pt>
                <c:pt idx="17">
                  <c:v>3440</c:v>
                </c:pt>
                <c:pt idx="18">
                  <c:v>5735</c:v>
                </c:pt>
                <c:pt idx="19">
                  <c:v>5427</c:v>
                </c:pt>
                <c:pt idx="20">
                  <c:v>4055</c:v>
                </c:pt>
                <c:pt idx="21">
                  <c:v>3845</c:v>
                </c:pt>
                <c:pt idx="22">
                  <c:v>5758</c:v>
                </c:pt>
                <c:pt idx="23">
                  <c:v>8150</c:v>
                </c:pt>
                <c:pt idx="24">
                  <c:v>3898</c:v>
                </c:pt>
                <c:pt idx="25">
                  <c:v>4707</c:v>
                </c:pt>
                <c:pt idx="26">
                  <c:v>6264</c:v>
                </c:pt>
                <c:pt idx="27">
                  <c:v>7241</c:v>
                </c:pt>
                <c:pt idx="28">
                  <c:v>6284</c:v>
                </c:pt>
                <c:pt idx="29">
                  <c:v>7413</c:v>
                </c:pt>
                <c:pt idx="30">
                  <c:v>8835</c:v>
                </c:pt>
                <c:pt idx="31">
                  <c:v>6900</c:v>
                </c:pt>
                <c:pt idx="32">
                  <c:v>4959</c:v>
                </c:pt>
                <c:pt idx="33">
                  <c:v>7587</c:v>
                </c:pt>
                <c:pt idx="34">
                  <c:v>10711</c:v>
                </c:pt>
                <c:pt idx="35">
                  <c:v>9888</c:v>
                </c:pt>
                <c:pt idx="36">
                  <c:v>6158</c:v>
                </c:pt>
                <c:pt idx="37">
                  <c:v>11157</c:v>
                </c:pt>
                <c:pt idx="38">
                  <c:v>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21888"/>
        <c:axId val="79223424"/>
      </c:lineChart>
      <c:lineChart>
        <c:grouping val="standard"/>
        <c:varyColors val="0"/>
        <c:ser>
          <c:idx val="5"/>
          <c:order val="5"/>
          <c:tx>
            <c:strRef>
              <c:f>'13'!$G$1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'13'!$G$2:$G$40</c:f>
              <c:numCache>
                <c:formatCode>General</c:formatCode>
                <c:ptCount val="39"/>
                <c:pt idx="0">
                  <c:v>32.369999999999997</c:v>
                </c:pt>
                <c:pt idx="1">
                  <c:v>30.19</c:v>
                </c:pt>
                <c:pt idx="2">
                  <c:v>33.619999999999997</c:v>
                </c:pt>
                <c:pt idx="3">
                  <c:v>33.119999999999997</c:v>
                </c:pt>
                <c:pt idx="4">
                  <c:v>29.52</c:v>
                </c:pt>
                <c:pt idx="5">
                  <c:v>28.38</c:v>
                </c:pt>
                <c:pt idx="6">
                  <c:v>28.54</c:v>
                </c:pt>
                <c:pt idx="7">
                  <c:v>23.41</c:v>
                </c:pt>
                <c:pt idx="8">
                  <c:v>20.02</c:v>
                </c:pt>
                <c:pt idx="9">
                  <c:v>21.22</c:v>
                </c:pt>
                <c:pt idx="10">
                  <c:v>26.91</c:v>
                </c:pt>
                <c:pt idx="11">
                  <c:v>26.49</c:v>
                </c:pt>
                <c:pt idx="12">
                  <c:v>20.74</c:v>
                </c:pt>
                <c:pt idx="13">
                  <c:v>28.38</c:v>
                </c:pt>
                <c:pt idx="14">
                  <c:v>31.33</c:v>
                </c:pt>
                <c:pt idx="15">
                  <c:v>30.64</c:v>
                </c:pt>
                <c:pt idx="16">
                  <c:v>21.28</c:v>
                </c:pt>
                <c:pt idx="17">
                  <c:v>23.83</c:v>
                </c:pt>
                <c:pt idx="18">
                  <c:v>29.08</c:v>
                </c:pt>
                <c:pt idx="19">
                  <c:v>28.74</c:v>
                </c:pt>
                <c:pt idx="20">
                  <c:v>18.739999999999998</c:v>
                </c:pt>
                <c:pt idx="21">
                  <c:v>20.190000000000001</c:v>
                </c:pt>
                <c:pt idx="22">
                  <c:v>30.64</c:v>
                </c:pt>
                <c:pt idx="23">
                  <c:v>28.25</c:v>
                </c:pt>
                <c:pt idx="24">
                  <c:v>24.86</c:v>
                </c:pt>
                <c:pt idx="25">
                  <c:v>26.63</c:v>
                </c:pt>
                <c:pt idx="26">
                  <c:v>31.7</c:v>
                </c:pt>
                <c:pt idx="27">
                  <c:v>32.78</c:v>
                </c:pt>
                <c:pt idx="28">
                  <c:v>27.82</c:v>
                </c:pt>
                <c:pt idx="29">
                  <c:v>31.09</c:v>
                </c:pt>
                <c:pt idx="30">
                  <c:v>37.97</c:v>
                </c:pt>
                <c:pt idx="31">
                  <c:v>33.36</c:v>
                </c:pt>
                <c:pt idx="32">
                  <c:v>25.99</c:v>
                </c:pt>
                <c:pt idx="33">
                  <c:v>29.09</c:v>
                </c:pt>
                <c:pt idx="34">
                  <c:v>34.14</c:v>
                </c:pt>
                <c:pt idx="35">
                  <c:v>34.15</c:v>
                </c:pt>
                <c:pt idx="36">
                  <c:v>36.31</c:v>
                </c:pt>
                <c:pt idx="37">
                  <c:v>28.92</c:v>
                </c:pt>
                <c:pt idx="38">
                  <c:v>27.46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8-6242-B62A-F4628CB91B07}"/>
            </c:ext>
          </c:extLst>
        </c:ser>
        <c:ser>
          <c:idx val="6"/>
          <c:order val="6"/>
          <c:tx>
            <c:strRef>
              <c:f>'13'!$H$1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'13'!$H$2:$H$40</c:f>
              <c:numCache>
                <c:formatCode>General</c:formatCode>
                <c:ptCount val="39"/>
                <c:pt idx="0">
                  <c:v>24.6</c:v>
                </c:pt>
                <c:pt idx="1">
                  <c:v>22.67</c:v>
                </c:pt>
                <c:pt idx="2">
                  <c:v>24.37</c:v>
                </c:pt>
                <c:pt idx="3">
                  <c:v>24.2</c:v>
                </c:pt>
                <c:pt idx="4">
                  <c:v>21.21</c:v>
                </c:pt>
                <c:pt idx="5">
                  <c:v>20.94</c:v>
                </c:pt>
                <c:pt idx="6">
                  <c:v>22.09</c:v>
                </c:pt>
                <c:pt idx="7">
                  <c:v>18.309999999999999</c:v>
                </c:pt>
                <c:pt idx="8">
                  <c:v>16.260000000000002</c:v>
                </c:pt>
                <c:pt idx="9">
                  <c:v>15.61</c:v>
                </c:pt>
                <c:pt idx="10">
                  <c:v>21.88</c:v>
                </c:pt>
                <c:pt idx="11">
                  <c:v>18.98</c:v>
                </c:pt>
                <c:pt idx="12">
                  <c:v>15.12</c:v>
                </c:pt>
                <c:pt idx="13">
                  <c:v>20.22</c:v>
                </c:pt>
                <c:pt idx="14">
                  <c:v>22.79</c:v>
                </c:pt>
                <c:pt idx="15">
                  <c:v>24.87</c:v>
                </c:pt>
                <c:pt idx="16">
                  <c:v>15.59</c:v>
                </c:pt>
                <c:pt idx="17">
                  <c:v>20.51</c:v>
                </c:pt>
                <c:pt idx="18">
                  <c:v>21.49</c:v>
                </c:pt>
                <c:pt idx="19">
                  <c:v>24.23</c:v>
                </c:pt>
                <c:pt idx="20">
                  <c:v>14.93</c:v>
                </c:pt>
                <c:pt idx="21">
                  <c:v>9.83</c:v>
                </c:pt>
                <c:pt idx="22">
                  <c:v>21.41</c:v>
                </c:pt>
                <c:pt idx="23">
                  <c:v>21.75</c:v>
                </c:pt>
                <c:pt idx="24">
                  <c:v>20.03</c:v>
                </c:pt>
                <c:pt idx="25">
                  <c:v>19.02</c:v>
                </c:pt>
                <c:pt idx="26">
                  <c:v>27.96</c:v>
                </c:pt>
                <c:pt idx="27">
                  <c:v>-4.03</c:v>
                </c:pt>
                <c:pt idx="28">
                  <c:v>27.72</c:v>
                </c:pt>
                <c:pt idx="29">
                  <c:v>29.51</c:v>
                </c:pt>
                <c:pt idx="30">
                  <c:v>33.39</c:v>
                </c:pt>
                <c:pt idx="31">
                  <c:v>27.84</c:v>
                </c:pt>
                <c:pt idx="32">
                  <c:v>24.74</c:v>
                </c:pt>
                <c:pt idx="33">
                  <c:v>25.32</c:v>
                </c:pt>
                <c:pt idx="34">
                  <c:v>31.21</c:v>
                </c:pt>
                <c:pt idx="35">
                  <c:v>34.17</c:v>
                </c:pt>
                <c:pt idx="36">
                  <c:v>28.55</c:v>
                </c:pt>
                <c:pt idx="37">
                  <c:v>25.88</c:v>
                </c:pt>
                <c:pt idx="38">
                  <c:v>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8-6242-B62A-F4628CB9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70112"/>
        <c:axId val="79368576"/>
      </c:lineChart>
      <c:catAx>
        <c:axId val="79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3424"/>
        <c:crosses val="autoZero"/>
        <c:auto val="1"/>
        <c:lblAlgn val="ctr"/>
        <c:lblOffset val="100"/>
        <c:tickMarkSkip val="1"/>
        <c:noMultiLvlLbl val="0"/>
      </c:catAx>
      <c:valAx>
        <c:axId val="79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221888"/>
        <c:crosses val="autoZero"/>
        <c:crossBetween val="between"/>
      </c:valAx>
      <c:valAx>
        <c:axId val="79368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370112"/>
        <c:crosses val="max"/>
        <c:crossBetween val="between"/>
      </c:valAx>
      <c:catAx>
        <c:axId val="793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6857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'13'!$K$2:$K$39</c:f>
              <c:numCache>
                <c:formatCode>General</c:formatCode>
                <c:ptCount val="38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4.3478260869565133E-2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8.3333333333333412E-2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3.8461538461538491E-2</c:v>
                </c:pt>
                <c:pt idx="25">
                  <c:v>0</c:v>
                </c:pt>
                <c:pt idx="26">
                  <c:v>0</c:v>
                </c:pt>
                <c:pt idx="27">
                  <c:v>0.11111111111111099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6.6666666666666735E-2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3.1250000000000028E-2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9D41-AF5C-17997375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03648"/>
        <c:axId val="79405440"/>
      </c:lineChart>
      <c:catAx>
        <c:axId val="794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5440"/>
        <c:crosses val="autoZero"/>
        <c:auto val="1"/>
        <c:lblAlgn val="ctr"/>
        <c:lblOffset val="100"/>
        <c:tickMarkSkip val="1"/>
        <c:noMultiLvlLbl val="0"/>
      </c:catAx>
      <c:valAx>
        <c:axId val="794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4036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'14'!$B$2:$B$40</c:f>
              <c:numCache>
                <c:formatCode>General</c:formatCode>
                <c:ptCount val="39"/>
                <c:pt idx="0">
                  <c:v>59.25</c:v>
                </c:pt>
                <c:pt idx="1">
                  <c:v>66.52</c:v>
                </c:pt>
                <c:pt idx="2">
                  <c:v>63.69</c:v>
                </c:pt>
                <c:pt idx="3">
                  <c:v>65.58</c:v>
                </c:pt>
                <c:pt idx="4">
                  <c:v>65.959999999999994</c:v>
                </c:pt>
                <c:pt idx="5">
                  <c:v>67.56</c:v>
                </c:pt>
                <c:pt idx="6">
                  <c:v>68.91</c:v>
                </c:pt>
                <c:pt idx="7">
                  <c:v>70.099999999999994</c:v>
                </c:pt>
                <c:pt idx="8">
                  <c:v>81.53</c:v>
                </c:pt>
                <c:pt idx="9">
                  <c:v>85.86</c:v>
                </c:pt>
                <c:pt idx="10">
                  <c:v>86.69</c:v>
                </c:pt>
                <c:pt idx="11">
                  <c:v>91.59</c:v>
                </c:pt>
                <c:pt idx="12">
                  <c:v>98.23</c:v>
                </c:pt>
                <c:pt idx="13">
                  <c:v>104.62</c:v>
                </c:pt>
                <c:pt idx="14">
                  <c:v>106.59</c:v>
                </c:pt>
                <c:pt idx="15">
                  <c:v>104.57</c:v>
                </c:pt>
                <c:pt idx="16">
                  <c:v>100.6</c:v>
                </c:pt>
                <c:pt idx="17">
                  <c:v>97.46</c:v>
                </c:pt>
                <c:pt idx="18">
                  <c:v>93.35</c:v>
                </c:pt>
                <c:pt idx="19">
                  <c:v>102.72</c:v>
                </c:pt>
                <c:pt idx="20">
                  <c:v>108.2</c:v>
                </c:pt>
                <c:pt idx="21">
                  <c:v>121.3</c:v>
                </c:pt>
                <c:pt idx="22">
                  <c:v>118.13</c:v>
                </c:pt>
                <c:pt idx="23">
                  <c:v>115.21</c:v>
                </c:pt>
                <c:pt idx="24">
                  <c:v>124.55</c:v>
                </c:pt>
                <c:pt idx="25">
                  <c:v>132.29</c:v>
                </c:pt>
                <c:pt idx="26">
                  <c:v>130.01</c:v>
                </c:pt>
                <c:pt idx="27">
                  <c:v>139.72</c:v>
                </c:pt>
                <c:pt idx="28">
                  <c:v>128.15</c:v>
                </c:pt>
                <c:pt idx="29">
                  <c:v>121.34</c:v>
                </c:pt>
                <c:pt idx="30">
                  <c:v>138.16999999999999</c:v>
                </c:pt>
                <c:pt idx="31">
                  <c:v>129.05000000000001</c:v>
                </c:pt>
                <c:pt idx="32">
                  <c:v>139.79</c:v>
                </c:pt>
                <c:pt idx="33">
                  <c:v>139.28</c:v>
                </c:pt>
                <c:pt idx="34">
                  <c:v>129.38</c:v>
                </c:pt>
                <c:pt idx="35">
                  <c:v>145.87</c:v>
                </c:pt>
                <c:pt idx="36">
                  <c:v>131.13</c:v>
                </c:pt>
                <c:pt idx="37">
                  <c:v>140.63</c:v>
                </c:pt>
                <c:pt idx="38">
                  <c:v>148.88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6A42-AED8-E165A3B8B8DE}"/>
            </c:ext>
          </c:extLst>
        </c:ser>
        <c:ser>
          <c:idx val="1"/>
          <c:order val="1"/>
          <c:tx>
            <c:strRef>
              <c:f>'14'!$C$1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'14'!$C$2:$C$40</c:f>
              <c:numCache>
                <c:formatCode>General</c:formatCode>
                <c:ptCount val="39"/>
                <c:pt idx="0">
                  <c:v>0.54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1.01</c:v>
                </c:pt>
                <c:pt idx="3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6A42-AED8-E165A3B8B8DE}"/>
            </c:ext>
          </c:extLst>
        </c:ser>
        <c:ser>
          <c:idx val="2"/>
          <c:order val="2"/>
          <c:tx>
            <c:strRef>
              <c:f>'14'!$D$1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'14'!$D$2:$D$40</c:f>
              <c:numCache>
                <c:formatCode>General</c:formatCode>
                <c:ptCount val="39"/>
                <c:pt idx="0">
                  <c:v>16173</c:v>
                </c:pt>
                <c:pt idx="1">
                  <c:v>16597</c:v>
                </c:pt>
                <c:pt idx="2">
                  <c:v>16005</c:v>
                </c:pt>
                <c:pt idx="3">
                  <c:v>16255</c:v>
                </c:pt>
                <c:pt idx="4">
                  <c:v>16139</c:v>
                </c:pt>
                <c:pt idx="5">
                  <c:v>16475</c:v>
                </c:pt>
                <c:pt idx="6">
                  <c:v>17052</c:v>
                </c:pt>
                <c:pt idx="7">
                  <c:v>17558</c:v>
                </c:pt>
                <c:pt idx="8">
                  <c:v>17505</c:v>
                </c:pt>
                <c:pt idx="9">
                  <c:v>17877</c:v>
                </c:pt>
                <c:pt idx="10">
                  <c:v>17575</c:v>
                </c:pt>
                <c:pt idx="11">
                  <c:v>18355</c:v>
                </c:pt>
                <c:pt idx="12">
                  <c:v>18115</c:v>
                </c:pt>
                <c:pt idx="13">
                  <c:v>19495</c:v>
                </c:pt>
                <c:pt idx="14">
                  <c:v>18467</c:v>
                </c:pt>
                <c:pt idx="15">
                  <c:v>18254</c:v>
                </c:pt>
                <c:pt idx="16">
                  <c:v>17374</c:v>
                </c:pt>
                <c:pt idx="17">
                  <c:v>17787</c:v>
                </c:pt>
                <c:pt idx="18">
                  <c:v>17102</c:v>
                </c:pt>
                <c:pt idx="19">
                  <c:v>17811</c:v>
                </c:pt>
                <c:pt idx="20">
                  <c:v>17482</c:v>
                </c:pt>
                <c:pt idx="21">
                  <c:v>18482</c:v>
                </c:pt>
                <c:pt idx="22">
                  <c:v>17820</c:v>
                </c:pt>
                <c:pt idx="23">
                  <c:v>18106</c:v>
                </c:pt>
                <c:pt idx="24">
                  <c:v>17766</c:v>
                </c:pt>
                <c:pt idx="25">
                  <c:v>18839</c:v>
                </c:pt>
                <c:pt idx="26">
                  <c:v>19650</c:v>
                </c:pt>
                <c:pt idx="27">
                  <c:v>20195</c:v>
                </c:pt>
                <c:pt idx="28">
                  <c:v>20009</c:v>
                </c:pt>
                <c:pt idx="29">
                  <c:v>20830</c:v>
                </c:pt>
                <c:pt idx="30">
                  <c:v>20348</c:v>
                </c:pt>
                <c:pt idx="31">
                  <c:v>20394</c:v>
                </c:pt>
                <c:pt idx="32">
                  <c:v>20021</c:v>
                </c:pt>
                <c:pt idx="33">
                  <c:v>20562</c:v>
                </c:pt>
                <c:pt idx="34">
                  <c:v>20729</c:v>
                </c:pt>
                <c:pt idx="35">
                  <c:v>20747</c:v>
                </c:pt>
                <c:pt idx="36">
                  <c:v>20691</c:v>
                </c:pt>
                <c:pt idx="37">
                  <c:v>18336</c:v>
                </c:pt>
                <c:pt idx="38">
                  <c:v>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6A42-AED8-E165A3B8B8DE}"/>
            </c:ext>
          </c:extLst>
        </c:ser>
        <c:ser>
          <c:idx val="3"/>
          <c:order val="3"/>
          <c:tx>
            <c:strRef>
              <c:f>'14'!$E$1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'14'!$E$2:$E$40</c:f>
              <c:numCache>
                <c:formatCode>General</c:formatCode>
                <c:ptCount val="39"/>
                <c:pt idx="0">
                  <c:v>4601</c:v>
                </c:pt>
                <c:pt idx="1">
                  <c:v>4328</c:v>
                </c:pt>
                <c:pt idx="2">
                  <c:v>3920</c:v>
                </c:pt>
                <c:pt idx="3">
                  <c:v>3304</c:v>
                </c:pt>
                <c:pt idx="4">
                  <c:v>4564</c:v>
                </c:pt>
                <c:pt idx="5">
                  <c:v>4172</c:v>
                </c:pt>
                <c:pt idx="6">
                  <c:v>4304</c:v>
                </c:pt>
                <c:pt idx="7">
                  <c:v>2400</c:v>
                </c:pt>
                <c:pt idx="8">
                  <c:v>4880</c:v>
                </c:pt>
                <c:pt idx="9">
                  <c:v>5066</c:v>
                </c:pt>
                <c:pt idx="10">
                  <c:v>4697</c:v>
                </c:pt>
                <c:pt idx="11">
                  <c:v>3734</c:v>
                </c:pt>
                <c:pt idx="12">
                  <c:v>5628</c:v>
                </c:pt>
                <c:pt idx="13">
                  <c:v>5966</c:v>
                </c:pt>
                <c:pt idx="14">
                  <c:v>5577</c:v>
                </c:pt>
                <c:pt idx="15">
                  <c:v>3788</c:v>
                </c:pt>
                <c:pt idx="16">
                  <c:v>5346</c:v>
                </c:pt>
                <c:pt idx="17">
                  <c:v>4917</c:v>
                </c:pt>
                <c:pt idx="18">
                  <c:v>4633</c:v>
                </c:pt>
                <c:pt idx="19">
                  <c:v>3169</c:v>
                </c:pt>
                <c:pt idx="20">
                  <c:v>5452</c:v>
                </c:pt>
                <c:pt idx="21">
                  <c:v>5677</c:v>
                </c:pt>
                <c:pt idx="22">
                  <c:v>5384</c:v>
                </c:pt>
                <c:pt idx="23">
                  <c:v>4623</c:v>
                </c:pt>
                <c:pt idx="24">
                  <c:v>5583</c:v>
                </c:pt>
                <c:pt idx="25">
                  <c:v>5469</c:v>
                </c:pt>
                <c:pt idx="26">
                  <c:v>4778</c:v>
                </c:pt>
                <c:pt idx="27">
                  <c:v>2884</c:v>
                </c:pt>
                <c:pt idx="28">
                  <c:v>5728</c:v>
                </c:pt>
                <c:pt idx="29">
                  <c:v>5521</c:v>
                </c:pt>
                <c:pt idx="30">
                  <c:v>4582</c:v>
                </c:pt>
                <c:pt idx="31">
                  <c:v>4218</c:v>
                </c:pt>
                <c:pt idx="32">
                  <c:v>4439</c:v>
                </c:pt>
                <c:pt idx="33">
                  <c:v>5410</c:v>
                </c:pt>
                <c:pt idx="34">
                  <c:v>5889</c:v>
                </c:pt>
                <c:pt idx="35">
                  <c:v>4342</c:v>
                </c:pt>
                <c:pt idx="36">
                  <c:v>5846</c:v>
                </c:pt>
                <c:pt idx="37">
                  <c:v>4051</c:v>
                </c:pt>
                <c:pt idx="38">
                  <c:v>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E-6A42-AED8-E165A3B8B8DE}"/>
            </c:ext>
          </c:extLst>
        </c:ser>
        <c:ser>
          <c:idx val="4"/>
          <c:order val="4"/>
          <c:tx>
            <c:strRef>
              <c:f>'14'!$F$1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'14'!$F$2:$F$40</c:f>
              <c:numCache>
                <c:formatCode>General</c:formatCode>
                <c:ptCount val="39"/>
                <c:pt idx="0">
                  <c:v>3476</c:v>
                </c:pt>
                <c:pt idx="1">
                  <c:v>2776</c:v>
                </c:pt>
                <c:pt idx="2">
                  <c:v>3202</c:v>
                </c:pt>
                <c:pt idx="3">
                  <c:v>218</c:v>
                </c:pt>
                <c:pt idx="4">
                  <c:v>3910</c:v>
                </c:pt>
                <c:pt idx="5">
                  <c:v>1408</c:v>
                </c:pt>
                <c:pt idx="6">
                  <c:v>2968</c:v>
                </c:pt>
                <c:pt idx="7">
                  <c:v>2567</c:v>
                </c:pt>
                <c:pt idx="8">
                  <c:v>3497</c:v>
                </c:pt>
                <c:pt idx="9">
                  <c:v>3833</c:v>
                </c:pt>
                <c:pt idx="10">
                  <c:v>2982</c:v>
                </c:pt>
                <c:pt idx="11">
                  <c:v>3519</c:v>
                </c:pt>
                <c:pt idx="12">
                  <c:v>4727</c:v>
                </c:pt>
                <c:pt idx="13">
                  <c:v>4326</c:v>
                </c:pt>
                <c:pt idx="14">
                  <c:v>4749</c:v>
                </c:pt>
                <c:pt idx="15">
                  <c:v>2521</c:v>
                </c:pt>
                <c:pt idx="16">
                  <c:v>4320</c:v>
                </c:pt>
                <c:pt idx="17">
                  <c:v>4516</c:v>
                </c:pt>
                <c:pt idx="18">
                  <c:v>3358</c:v>
                </c:pt>
                <c:pt idx="19">
                  <c:v>3215</c:v>
                </c:pt>
                <c:pt idx="20">
                  <c:v>4292</c:v>
                </c:pt>
                <c:pt idx="21">
                  <c:v>3997</c:v>
                </c:pt>
                <c:pt idx="22">
                  <c:v>4272</c:v>
                </c:pt>
                <c:pt idx="23">
                  <c:v>3814</c:v>
                </c:pt>
                <c:pt idx="24">
                  <c:v>4422</c:v>
                </c:pt>
                <c:pt idx="25">
                  <c:v>3827</c:v>
                </c:pt>
                <c:pt idx="26">
                  <c:v>3764</c:v>
                </c:pt>
                <c:pt idx="27">
                  <c:v>-10713</c:v>
                </c:pt>
                <c:pt idx="28">
                  <c:v>4367</c:v>
                </c:pt>
                <c:pt idx="29">
                  <c:v>3954</c:v>
                </c:pt>
                <c:pt idx="30">
                  <c:v>3934</c:v>
                </c:pt>
                <c:pt idx="31">
                  <c:v>3042</c:v>
                </c:pt>
                <c:pt idx="32">
                  <c:v>3749</c:v>
                </c:pt>
                <c:pt idx="33">
                  <c:v>5607</c:v>
                </c:pt>
                <c:pt idx="34">
                  <c:v>1753</c:v>
                </c:pt>
                <c:pt idx="35">
                  <c:v>4010</c:v>
                </c:pt>
                <c:pt idx="36">
                  <c:v>5796</c:v>
                </c:pt>
                <c:pt idx="37">
                  <c:v>3626</c:v>
                </c:pt>
                <c:pt idx="38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6E-6A42-AED8-E165A3B8B8DE}"/>
            </c:ext>
          </c:extLst>
        </c:ser>
        <c:ser>
          <c:idx val="7"/>
          <c:order val="7"/>
          <c:tx>
            <c:strRef>
              <c:f>'14'!$I$1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'14'!$I$2:$I$40</c:f>
              <c:numCache>
                <c:formatCode>General</c:formatCode>
                <c:ptCount val="39"/>
                <c:pt idx="0">
                  <c:v>48.98</c:v>
                </c:pt>
                <c:pt idx="1">
                  <c:v>52.39</c:v>
                </c:pt>
                <c:pt idx="2">
                  <c:v>54.15</c:v>
                </c:pt>
                <c:pt idx="3">
                  <c:v>54.15</c:v>
                </c:pt>
                <c:pt idx="4">
                  <c:v>64.47</c:v>
                </c:pt>
                <c:pt idx="5">
                  <c:v>62.47</c:v>
                </c:pt>
                <c:pt idx="6">
                  <c:v>73.650000000000006</c:v>
                </c:pt>
                <c:pt idx="7">
                  <c:v>62.18</c:v>
                </c:pt>
                <c:pt idx="8">
                  <c:v>62.18</c:v>
                </c:pt>
                <c:pt idx="9">
                  <c:v>66.489999999999995</c:v>
                </c:pt>
                <c:pt idx="10">
                  <c:v>55.33</c:v>
                </c:pt>
                <c:pt idx="11">
                  <c:v>56.7</c:v>
                </c:pt>
                <c:pt idx="12">
                  <c:v>53.85</c:v>
                </c:pt>
                <c:pt idx="13">
                  <c:v>50.48</c:v>
                </c:pt>
                <c:pt idx="14">
                  <c:v>49.54</c:v>
                </c:pt>
                <c:pt idx="15">
                  <c:v>45.03</c:v>
                </c:pt>
                <c:pt idx="16">
                  <c:v>48.42</c:v>
                </c:pt>
                <c:pt idx="17">
                  <c:v>50.09</c:v>
                </c:pt>
                <c:pt idx="18">
                  <c:v>50.18</c:v>
                </c:pt>
                <c:pt idx="19">
                  <c:v>55.56</c:v>
                </c:pt>
                <c:pt idx="20">
                  <c:v>53.83</c:v>
                </c:pt>
                <c:pt idx="21">
                  <c:v>54.64</c:v>
                </c:pt>
                <c:pt idx="22">
                  <c:v>56.8</c:v>
                </c:pt>
                <c:pt idx="23">
                  <c:v>54.39</c:v>
                </c:pt>
                <c:pt idx="24">
                  <c:v>53.12</c:v>
                </c:pt>
                <c:pt idx="25">
                  <c:v>53.78</c:v>
                </c:pt>
                <c:pt idx="26">
                  <c:v>54.82</c:v>
                </c:pt>
                <c:pt idx="27">
                  <c:v>57.04</c:v>
                </c:pt>
                <c:pt idx="28">
                  <c:v>706.38</c:v>
                </c:pt>
                <c:pt idx="29">
                  <c:v>730.43</c:v>
                </c:pt>
                <c:pt idx="30">
                  <c:v>657.69</c:v>
                </c:pt>
                <c:pt idx="31">
                  <c:v>589.83000000000004</c:v>
                </c:pt>
                <c:pt idx="32">
                  <c:v>63.1</c:v>
                </c:pt>
                <c:pt idx="33">
                  <c:v>66.67</c:v>
                </c:pt>
                <c:pt idx="34">
                  <c:v>60.53</c:v>
                </c:pt>
                <c:pt idx="35">
                  <c:v>70.48</c:v>
                </c:pt>
                <c:pt idx="36">
                  <c:v>66.61</c:v>
                </c:pt>
                <c:pt idx="37">
                  <c:v>59.28</c:v>
                </c:pt>
                <c:pt idx="38">
                  <c:v>67.84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6E-6A42-AED8-E165A3B8B8DE}"/>
            </c:ext>
          </c:extLst>
        </c:ser>
        <c:ser>
          <c:idx val="8"/>
          <c:order val="8"/>
          <c:tx>
            <c:strRef>
              <c:f>'14'!$J$1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'14'!$J$2:$J$40</c:f>
              <c:numCache>
                <c:formatCode>General</c:formatCode>
                <c:ptCount val="39"/>
                <c:pt idx="0">
                  <c:v>2316</c:v>
                </c:pt>
                <c:pt idx="1">
                  <c:v>3909</c:v>
                </c:pt>
                <c:pt idx="2">
                  <c:v>4622</c:v>
                </c:pt>
                <c:pt idx="3">
                  <c:v>3451</c:v>
                </c:pt>
                <c:pt idx="4">
                  <c:v>2795</c:v>
                </c:pt>
                <c:pt idx="5">
                  <c:v>4728</c:v>
                </c:pt>
                <c:pt idx="6">
                  <c:v>4497</c:v>
                </c:pt>
                <c:pt idx="7">
                  <c:v>3376</c:v>
                </c:pt>
                <c:pt idx="8">
                  <c:v>2277</c:v>
                </c:pt>
                <c:pt idx="9">
                  <c:v>5051</c:v>
                </c:pt>
                <c:pt idx="10">
                  <c:v>5947</c:v>
                </c:pt>
                <c:pt idx="11">
                  <c:v>4139</c:v>
                </c:pt>
                <c:pt idx="12">
                  <c:v>3923</c:v>
                </c:pt>
                <c:pt idx="13">
                  <c:v>5529</c:v>
                </c:pt>
                <c:pt idx="14">
                  <c:v>4654</c:v>
                </c:pt>
                <c:pt idx="15">
                  <c:v>4365</c:v>
                </c:pt>
                <c:pt idx="16">
                  <c:v>2872</c:v>
                </c:pt>
                <c:pt idx="17">
                  <c:v>5200</c:v>
                </c:pt>
                <c:pt idx="18">
                  <c:v>6125</c:v>
                </c:pt>
                <c:pt idx="19">
                  <c:v>5082</c:v>
                </c:pt>
                <c:pt idx="20">
                  <c:v>1763</c:v>
                </c:pt>
                <c:pt idx="21">
                  <c:v>4990</c:v>
                </c:pt>
                <c:pt idx="22">
                  <c:v>5361</c:v>
                </c:pt>
                <c:pt idx="23">
                  <c:v>6653</c:v>
                </c:pt>
                <c:pt idx="24">
                  <c:v>2913</c:v>
                </c:pt>
                <c:pt idx="25">
                  <c:v>5772</c:v>
                </c:pt>
                <c:pt idx="26">
                  <c:v>6266</c:v>
                </c:pt>
                <c:pt idx="27">
                  <c:v>6105</c:v>
                </c:pt>
                <c:pt idx="28">
                  <c:v>3606</c:v>
                </c:pt>
                <c:pt idx="29">
                  <c:v>6079</c:v>
                </c:pt>
                <c:pt idx="30">
                  <c:v>6272</c:v>
                </c:pt>
                <c:pt idx="31">
                  <c:v>6244</c:v>
                </c:pt>
                <c:pt idx="32">
                  <c:v>3543</c:v>
                </c:pt>
                <c:pt idx="33">
                  <c:v>5948</c:v>
                </c:pt>
                <c:pt idx="34">
                  <c:v>7527</c:v>
                </c:pt>
                <c:pt idx="35">
                  <c:v>6398</c:v>
                </c:pt>
                <c:pt idx="36">
                  <c:v>3358</c:v>
                </c:pt>
                <c:pt idx="37">
                  <c:v>3452</c:v>
                </c:pt>
                <c:pt idx="38">
                  <c:v>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47392"/>
        <c:axId val="79631104"/>
      </c:lineChart>
      <c:lineChart>
        <c:grouping val="standard"/>
        <c:varyColors val="0"/>
        <c:ser>
          <c:idx val="5"/>
          <c:order val="5"/>
          <c:tx>
            <c:strRef>
              <c:f>'14'!$G$1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'14'!$G$2:$G$40</c:f>
              <c:numCache>
                <c:formatCode>General</c:formatCode>
                <c:ptCount val="39"/>
                <c:pt idx="0">
                  <c:v>28.45</c:v>
                </c:pt>
                <c:pt idx="1">
                  <c:v>26.08</c:v>
                </c:pt>
                <c:pt idx="2">
                  <c:v>24.49</c:v>
                </c:pt>
                <c:pt idx="3">
                  <c:v>20.329999999999998</c:v>
                </c:pt>
                <c:pt idx="4">
                  <c:v>28.28</c:v>
                </c:pt>
                <c:pt idx="5">
                  <c:v>25.32</c:v>
                </c:pt>
                <c:pt idx="6">
                  <c:v>25.24</c:v>
                </c:pt>
                <c:pt idx="7">
                  <c:v>13.67</c:v>
                </c:pt>
                <c:pt idx="8">
                  <c:v>27.88</c:v>
                </c:pt>
                <c:pt idx="9">
                  <c:v>28.34</c:v>
                </c:pt>
                <c:pt idx="10">
                  <c:v>26.73</c:v>
                </c:pt>
                <c:pt idx="11">
                  <c:v>20.34</c:v>
                </c:pt>
                <c:pt idx="12">
                  <c:v>31.07</c:v>
                </c:pt>
                <c:pt idx="13">
                  <c:v>30.6</c:v>
                </c:pt>
                <c:pt idx="14">
                  <c:v>30.2</c:v>
                </c:pt>
                <c:pt idx="15">
                  <c:v>20.75</c:v>
                </c:pt>
                <c:pt idx="16">
                  <c:v>30.77</c:v>
                </c:pt>
                <c:pt idx="17">
                  <c:v>27.64</c:v>
                </c:pt>
                <c:pt idx="18">
                  <c:v>27.09</c:v>
                </c:pt>
                <c:pt idx="19">
                  <c:v>17.79</c:v>
                </c:pt>
                <c:pt idx="20">
                  <c:v>31.19</c:v>
                </c:pt>
                <c:pt idx="21">
                  <c:v>30.72</c:v>
                </c:pt>
                <c:pt idx="22">
                  <c:v>30.21</c:v>
                </c:pt>
                <c:pt idx="23">
                  <c:v>25.53</c:v>
                </c:pt>
                <c:pt idx="24">
                  <c:v>31.43</c:v>
                </c:pt>
                <c:pt idx="25">
                  <c:v>29.03</c:v>
                </c:pt>
                <c:pt idx="26">
                  <c:v>24.32</c:v>
                </c:pt>
                <c:pt idx="27">
                  <c:v>14.28</c:v>
                </c:pt>
                <c:pt idx="28">
                  <c:v>28.63</c:v>
                </c:pt>
                <c:pt idx="29">
                  <c:v>26.51</c:v>
                </c:pt>
                <c:pt idx="30">
                  <c:v>22.52</c:v>
                </c:pt>
                <c:pt idx="31">
                  <c:v>20.68</c:v>
                </c:pt>
                <c:pt idx="32">
                  <c:v>22.17</c:v>
                </c:pt>
                <c:pt idx="33">
                  <c:v>26.31</c:v>
                </c:pt>
                <c:pt idx="34">
                  <c:v>28.41</c:v>
                </c:pt>
                <c:pt idx="35">
                  <c:v>20.93</c:v>
                </c:pt>
                <c:pt idx="36">
                  <c:v>28.25</c:v>
                </c:pt>
                <c:pt idx="37">
                  <c:v>22.09</c:v>
                </c:pt>
                <c:pt idx="38">
                  <c:v>27.04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6E-6A42-AED8-E165A3B8B8DE}"/>
            </c:ext>
          </c:extLst>
        </c:ser>
        <c:ser>
          <c:idx val="6"/>
          <c:order val="6"/>
          <c:tx>
            <c:strRef>
              <c:f>'14'!$H$1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'14'!$H$2:$H$40</c:f>
              <c:numCache>
                <c:formatCode>General</c:formatCode>
                <c:ptCount val="39"/>
                <c:pt idx="0">
                  <c:v>21.49</c:v>
                </c:pt>
                <c:pt idx="1">
                  <c:v>16.73</c:v>
                </c:pt>
                <c:pt idx="2">
                  <c:v>20.010000000000002</c:v>
                </c:pt>
                <c:pt idx="3">
                  <c:v>1.34</c:v>
                </c:pt>
                <c:pt idx="4">
                  <c:v>24.23</c:v>
                </c:pt>
                <c:pt idx="5">
                  <c:v>8.5500000000000007</c:v>
                </c:pt>
                <c:pt idx="6">
                  <c:v>17.41</c:v>
                </c:pt>
                <c:pt idx="7">
                  <c:v>14.62</c:v>
                </c:pt>
                <c:pt idx="8">
                  <c:v>19.98</c:v>
                </c:pt>
                <c:pt idx="9">
                  <c:v>21.44</c:v>
                </c:pt>
                <c:pt idx="10">
                  <c:v>16.97</c:v>
                </c:pt>
                <c:pt idx="11">
                  <c:v>19.170000000000002</c:v>
                </c:pt>
                <c:pt idx="12">
                  <c:v>26.09</c:v>
                </c:pt>
                <c:pt idx="13">
                  <c:v>22.19</c:v>
                </c:pt>
                <c:pt idx="14">
                  <c:v>25.72</c:v>
                </c:pt>
                <c:pt idx="15">
                  <c:v>13.81</c:v>
                </c:pt>
                <c:pt idx="16">
                  <c:v>24.86</c:v>
                </c:pt>
                <c:pt idx="17">
                  <c:v>25.39</c:v>
                </c:pt>
                <c:pt idx="18">
                  <c:v>19.64</c:v>
                </c:pt>
                <c:pt idx="19">
                  <c:v>18.05</c:v>
                </c:pt>
                <c:pt idx="20">
                  <c:v>24.55</c:v>
                </c:pt>
                <c:pt idx="21">
                  <c:v>21.63</c:v>
                </c:pt>
                <c:pt idx="22">
                  <c:v>23.97</c:v>
                </c:pt>
                <c:pt idx="23">
                  <c:v>21.06</c:v>
                </c:pt>
                <c:pt idx="24">
                  <c:v>24.89</c:v>
                </c:pt>
                <c:pt idx="25">
                  <c:v>20.309999999999999</c:v>
                </c:pt>
                <c:pt idx="26">
                  <c:v>19.16</c:v>
                </c:pt>
                <c:pt idx="27">
                  <c:v>-53.05</c:v>
                </c:pt>
                <c:pt idx="28">
                  <c:v>21.83</c:v>
                </c:pt>
                <c:pt idx="29">
                  <c:v>18.98</c:v>
                </c:pt>
                <c:pt idx="30">
                  <c:v>19.329999999999998</c:v>
                </c:pt>
                <c:pt idx="31">
                  <c:v>14.92</c:v>
                </c:pt>
                <c:pt idx="32">
                  <c:v>18.73</c:v>
                </c:pt>
                <c:pt idx="33">
                  <c:v>27.27</c:v>
                </c:pt>
                <c:pt idx="34">
                  <c:v>8.4600000000000009</c:v>
                </c:pt>
                <c:pt idx="35">
                  <c:v>19.329999999999998</c:v>
                </c:pt>
                <c:pt idx="36">
                  <c:v>28.01</c:v>
                </c:pt>
                <c:pt idx="37">
                  <c:v>19.78</c:v>
                </c:pt>
                <c:pt idx="38">
                  <c:v>16.86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6E-6A42-AED8-E165A3B8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432"/>
        <c:axId val="79632640"/>
      </c:lineChart>
      <c:catAx>
        <c:axId val="79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1104"/>
        <c:crosses val="autoZero"/>
        <c:auto val="1"/>
        <c:lblAlgn val="ctr"/>
        <c:lblOffset val="100"/>
        <c:tickMarkSkip val="1"/>
        <c:noMultiLvlLbl val="0"/>
      </c:catAx>
      <c:valAx>
        <c:axId val="796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547392"/>
        <c:crosses val="autoZero"/>
        <c:crossBetween val="between"/>
      </c:valAx>
      <c:valAx>
        <c:axId val="79632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34432"/>
        <c:crosses val="max"/>
        <c:crossBetween val="between"/>
      </c:valAx>
      <c:catAx>
        <c:axId val="796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3264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'14'!$K$2:$K$39</c:f>
              <c:numCache>
                <c:formatCode>General</c:formatCode>
                <c:ptCount val="38"/>
                <c:pt idx="0">
                  <c:v>5.5555555555555393E-2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7.0175438596491294E-2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8.1967213114754175E-2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6.060606060606049E-2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7.1428571428571494E-2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6.6666666666666721E-2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4.9999999999999906E-2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7.1428571428571494E-2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5.5555555555555483E-2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6.3157894736842163E-2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2346-8B11-6FB1A142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3872"/>
        <c:axId val="79665408"/>
      </c:lineChart>
      <c:catAx>
        <c:axId val="7966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5408"/>
        <c:crosses val="autoZero"/>
        <c:auto val="1"/>
        <c:lblAlgn val="ctr"/>
        <c:lblOffset val="100"/>
        <c:tickMarkSkip val="1"/>
        <c:noMultiLvlLbl val="0"/>
      </c:catAx>
      <c:valAx>
        <c:axId val="79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6638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plan'!$B$1</c:f>
              <c:strCache>
                <c:ptCount val="1"/>
                <c:pt idx="0">
                  <c:v>다우존스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FA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plan'!$A$2:$A$631</c:f>
              <c:strCache>
                <c:ptCount val="630"/>
                <c:pt idx="0">
                  <c:v>2022년 7월</c:v>
                </c:pt>
                <c:pt idx="1">
                  <c:v>2022년 6월</c:v>
                </c:pt>
                <c:pt idx="2">
                  <c:v>2022년 5월</c:v>
                </c:pt>
                <c:pt idx="3">
                  <c:v>2022년 4월</c:v>
                </c:pt>
                <c:pt idx="4">
                  <c:v>2022년 3월</c:v>
                </c:pt>
                <c:pt idx="5">
                  <c:v>2022년 2월</c:v>
                </c:pt>
                <c:pt idx="6">
                  <c:v>2022년 1월</c:v>
                </c:pt>
                <c:pt idx="7">
                  <c:v>2021년 12월</c:v>
                </c:pt>
                <c:pt idx="8">
                  <c:v>2021년 11월</c:v>
                </c:pt>
                <c:pt idx="9">
                  <c:v>2021년 10월</c:v>
                </c:pt>
                <c:pt idx="10">
                  <c:v>2021년 9월</c:v>
                </c:pt>
                <c:pt idx="11">
                  <c:v>2021년 8월</c:v>
                </c:pt>
                <c:pt idx="12">
                  <c:v>2021년 7월</c:v>
                </c:pt>
                <c:pt idx="13">
                  <c:v>2021년 6월</c:v>
                </c:pt>
                <c:pt idx="14">
                  <c:v>2021년 5월</c:v>
                </c:pt>
                <c:pt idx="15">
                  <c:v>2021년 4월</c:v>
                </c:pt>
                <c:pt idx="16">
                  <c:v>2021년 3월</c:v>
                </c:pt>
                <c:pt idx="17">
                  <c:v>2021년 2월</c:v>
                </c:pt>
                <c:pt idx="18">
                  <c:v>2021년 1월</c:v>
                </c:pt>
                <c:pt idx="19">
                  <c:v>2020년 12월</c:v>
                </c:pt>
                <c:pt idx="20">
                  <c:v>2020년 11월</c:v>
                </c:pt>
                <c:pt idx="21">
                  <c:v>2020년 10월</c:v>
                </c:pt>
                <c:pt idx="22">
                  <c:v>2020년 9월</c:v>
                </c:pt>
                <c:pt idx="23">
                  <c:v>2020년 8월</c:v>
                </c:pt>
                <c:pt idx="24">
                  <c:v>2020년 7월</c:v>
                </c:pt>
                <c:pt idx="25">
                  <c:v>2020년 6월</c:v>
                </c:pt>
                <c:pt idx="26">
                  <c:v>2020년 5월</c:v>
                </c:pt>
                <c:pt idx="27">
                  <c:v>2020년 4월</c:v>
                </c:pt>
                <c:pt idx="28">
                  <c:v>2020년 3월</c:v>
                </c:pt>
                <c:pt idx="29">
                  <c:v>2020년 2월</c:v>
                </c:pt>
                <c:pt idx="30">
                  <c:v>2020년 1월</c:v>
                </c:pt>
                <c:pt idx="31">
                  <c:v>2019년 12월</c:v>
                </c:pt>
                <c:pt idx="32">
                  <c:v>2019년 11월</c:v>
                </c:pt>
                <c:pt idx="33">
                  <c:v>2019년 10월</c:v>
                </c:pt>
                <c:pt idx="34">
                  <c:v>2019년 9월</c:v>
                </c:pt>
                <c:pt idx="35">
                  <c:v>2019년 8월</c:v>
                </c:pt>
                <c:pt idx="36">
                  <c:v>2019년 7월</c:v>
                </c:pt>
                <c:pt idx="37">
                  <c:v>2019년 6월</c:v>
                </c:pt>
                <c:pt idx="38">
                  <c:v>2019년 5월</c:v>
                </c:pt>
                <c:pt idx="39">
                  <c:v>2019년 4월</c:v>
                </c:pt>
                <c:pt idx="40">
                  <c:v>2019년 3월</c:v>
                </c:pt>
                <c:pt idx="41">
                  <c:v>2019년 2월</c:v>
                </c:pt>
                <c:pt idx="42">
                  <c:v>2019년 1월</c:v>
                </c:pt>
                <c:pt idx="43">
                  <c:v>2018년 12월</c:v>
                </c:pt>
                <c:pt idx="44">
                  <c:v>2018년 11월</c:v>
                </c:pt>
                <c:pt idx="45">
                  <c:v>2018년 10월</c:v>
                </c:pt>
                <c:pt idx="46">
                  <c:v>2018년 9월</c:v>
                </c:pt>
                <c:pt idx="47">
                  <c:v>2018년 8월</c:v>
                </c:pt>
                <c:pt idx="48">
                  <c:v>2018년 7월</c:v>
                </c:pt>
                <c:pt idx="49">
                  <c:v>2018년 6월</c:v>
                </c:pt>
                <c:pt idx="50">
                  <c:v>2018년 5월</c:v>
                </c:pt>
                <c:pt idx="51">
                  <c:v>2018년 4월</c:v>
                </c:pt>
                <c:pt idx="52">
                  <c:v>2018년 3월</c:v>
                </c:pt>
                <c:pt idx="53">
                  <c:v>2018년 2월</c:v>
                </c:pt>
                <c:pt idx="54">
                  <c:v>2018년 1월</c:v>
                </c:pt>
                <c:pt idx="55">
                  <c:v>2017년 12월</c:v>
                </c:pt>
                <c:pt idx="56">
                  <c:v>2017년 11월</c:v>
                </c:pt>
                <c:pt idx="57">
                  <c:v>2017년 10월</c:v>
                </c:pt>
                <c:pt idx="58">
                  <c:v>2017년 9월</c:v>
                </c:pt>
                <c:pt idx="59">
                  <c:v>2017년 8월</c:v>
                </c:pt>
                <c:pt idx="60">
                  <c:v>2017년 7월</c:v>
                </c:pt>
                <c:pt idx="61">
                  <c:v>2017년 6월</c:v>
                </c:pt>
                <c:pt idx="62">
                  <c:v>2017년 5월</c:v>
                </c:pt>
                <c:pt idx="63">
                  <c:v>2017년 4월</c:v>
                </c:pt>
                <c:pt idx="64">
                  <c:v>2017년 3월</c:v>
                </c:pt>
                <c:pt idx="65">
                  <c:v>2017년 2월</c:v>
                </c:pt>
                <c:pt idx="66">
                  <c:v>2017년 1월</c:v>
                </c:pt>
                <c:pt idx="67">
                  <c:v>2016년 12월</c:v>
                </c:pt>
                <c:pt idx="68">
                  <c:v>2016년 11월</c:v>
                </c:pt>
                <c:pt idx="69">
                  <c:v>2016년 10월</c:v>
                </c:pt>
                <c:pt idx="70">
                  <c:v>2016년 9월</c:v>
                </c:pt>
                <c:pt idx="71">
                  <c:v>2016년 8월</c:v>
                </c:pt>
                <c:pt idx="72">
                  <c:v>2016년 7월</c:v>
                </c:pt>
                <c:pt idx="73">
                  <c:v>2016년 6월</c:v>
                </c:pt>
                <c:pt idx="74">
                  <c:v>2016년 5월</c:v>
                </c:pt>
                <c:pt idx="75">
                  <c:v>2016년 4월</c:v>
                </c:pt>
                <c:pt idx="76">
                  <c:v>2016년 3월</c:v>
                </c:pt>
                <c:pt idx="77">
                  <c:v>2016년 2월</c:v>
                </c:pt>
                <c:pt idx="78">
                  <c:v>2016년 1월</c:v>
                </c:pt>
                <c:pt idx="79">
                  <c:v>2015년 12월</c:v>
                </c:pt>
                <c:pt idx="80">
                  <c:v>2015년 11월</c:v>
                </c:pt>
                <c:pt idx="81">
                  <c:v>2015년 10월</c:v>
                </c:pt>
                <c:pt idx="82">
                  <c:v>2015년 9월</c:v>
                </c:pt>
                <c:pt idx="83">
                  <c:v>2015년 8월</c:v>
                </c:pt>
                <c:pt idx="84">
                  <c:v>2015년 7월</c:v>
                </c:pt>
                <c:pt idx="85">
                  <c:v>2015년 6월</c:v>
                </c:pt>
                <c:pt idx="86">
                  <c:v>2015년 5월</c:v>
                </c:pt>
                <c:pt idx="87">
                  <c:v>2015년 4월</c:v>
                </c:pt>
                <c:pt idx="88">
                  <c:v>2015년 3월</c:v>
                </c:pt>
                <c:pt idx="89">
                  <c:v>2015년 2월</c:v>
                </c:pt>
                <c:pt idx="90">
                  <c:v>2015년 1월</c:v>
                </c:pt>
                <c:pt idx="91">
                  <c:v>2014년 12월</c:v>
                </c:pt>
                <c:pt idx="92">
                  <c:v>2014년 11월</c:v>
                </c:pt>
                <c:pt idx="93">
                  <c:v>2014년 10월</c:v>
                </c:pt>
                <c:pt idx="94">
                  <c:v>2014년 9월</c:v>
                </c:pt>
                <c:pt idx="95">
                  <c:v>2014년 8월</c:v>
                </c:pt>
                <c:pt idx="96">
                  <c:v>2014년 7월</c:v>
                </c:pt>
                <c:pt idx="97">
                  <c:v>2014년 6월</c:v>
                </c:pt>
                <c:pt idx="98">
                  <c:v>2014년 5월</c:v>
                </c:pt>
                <c:pt idx="99">
                  <c:v>2014년 4월</c:v>
                </c:pt>
                <c:pt idx="100">
                  <c:v>2014년 3월</c:v>
                </c:pt>
                <c:pt idx="101">
                  <c:v>2014년 2월</c:v>
                </c:pt>
                <c:pt idx="102">
                  <c:v>2014년 1월</c:v>
                </c:pt>
                <c:pt idx="103">
                  <c:v>2013년 12월</c:v>
                </c:pt>
                <c:pt idx="104">
                  <c:v>2013년 11월</c:v>
                </c:pt>
                <c:pt idx="105">
                  <c:v>2013년 10월</c:v>
                </c:pt>
                <c:pt idx="106">
                  <c:v>2013년 9월</c:v>
                </c:pt>
                <c:pt idx="107">
                  <c:v>2013년 8월</c:v>
                </c:pt>
                <c:pt idx="108">
                  <c:v>2013년 7월</c:v>
                </c:pt>
                <c:pt idx="109">
                  <c:v>2013년 6월</c:v>
                </c:pt>
                <c:pt idx="110">
                  <c:v>2013년 5월</c:v>
                </c:pt>
                <c:pt idx="111">
                  <c:v>2013년 4월</c:v>
                </c:pt>
                <c:pt idx="112">
                  <c:v>2013년 3월</c:v>
                </c:pt>
                <c:pt idx="113">
                  <c:v>2013년 2월</c:v>
                </c:pt>
                <c:pt idx="114">
                  <c:v>2013년 1월</c:v>
                </c:pt>
                <c:pt idx="115">
                  <c:v>2012년 12월</c:v>
                </c:pt>
                <c:pt idx="116">
                  <c:v>2012년 11월</c:v>
                </c:pt>
                <c:pt idx="117">
                  <c:v>2012년 10월</c:v>
                </c:pt>
                <c:pt idx="118">
                  <c:v>2012년 9월</c:v>
                </c:pt>
                <c:pt idx="119">
                  <c:v>2012년 8월</c:v>
                </c:pt>
                <c:pt idx="120">
                  <c:v>2012년 7월</c:v>
                </c:pt>
                <c:pt idx="121">
                  <c:v>2012년 6월</c:v>
                </c:pt>
                <c:pt idx="122">
                  <c:v>2012년 5월</c:v>
                </c:pt>
                <c:pt idx="123">
                  <c:v>2012년 4월</c:v>
                </c:pt>
                <c:pt idx="124">
                  <c:v>2012년 3월</c:v>
                </c:pt>
                <c:pt idx="125">
                  <c:v>2012년 2월</c:v>
                </c:pt>
                <c:pt idx="126">
                  <c:v>2012년 1월</c:v>
                </c:pt>
                <c:pt idx="127">
                  <c:v>2011년 12월</c:v>
                </c:pt>
                <c:pt idx="128">
                  <c:v>2011년 11월</c:v>
                </c:pt>
                <c:pt idx="129">
                  <c:v>2011년 10월</c:v>
                </c:pt>
                <c:pt idx="130">
                  <c:v>2011년 9월</c:v>
                </c:pt>
                <c:pt idx="131">
                  <c:v>2011년 8월</c:v>
                </c:pt>
                <c:pt idx="132">
                  <c:v>2011년 7월</c:v>
                </c:pt>
                <c:pt idx="133">
                  <c:v>2011년 6월</c:v>
                </c:pt>
                <c:pt idx="134">
                  <c:v>2011년 5월</c:v>
                </c:pt>
                <c:pt idx="135">
                  <c:v>2011년 4월</c:v>
                </c:pt>
                <c:pt idx="136">
                  <c:v>2011년 3월</c:v>
                </c:pt>
                <c:pt idx="137">
                  <c:v>2011년 2월</c:v>
                </c:pt>
                <c:pt idx="138">
                  <c:v>2011년 1월</c:v>
                </c:pt>
                <c:pt idx="139">
                  <c:v>2010년 12월</c:v>
                </c:pt>
                <c:pt idx="140">
                  <c:v>2010년 11월</c:v>
                </c:pt>
                <c:pt idx="141">
                  <c:v>2010년 10월</c:v>
                </c:pt>
                <c:pt idx="142">
                  <c:v>2010년 9월</c:v>
                </c:pt>
                <c:pt idx="143">
                  <c:v>2010년 8월</c:v>
                </c:pt>
                <c:pt idx="144">
                  <c:v>2010년 7월</c:v>
                </c:pt>
                <c:pt idx="145">
                  <c:v>2010년 6월</c:v>
                </c:pt>
                <c:pt idx="146">
                  <c:v>2010년 5월</c:v>
                </c:pt>
                <c:pt idx="147">
                  <c:v>2010년 4월</c:v>
                </c:pt>
                <c:pt idx="148">
                  <c:v>2010년 3월</c:v>
                </c:pt>
                <c:pt idx="149">
                  <c:v>2010년 2월</c:v>
                </c:pt>
                <c:pt idx="150">
                  <c:v>2010년 1월</c:v>
                </c:pt>
                <c:pt idx="151">
                  <c:v>2009년 12월</c:v>
                </c:pt>
                <c:pt idx="152">
                  <c:v>2009년 11월</c:v>
                </c:pt>
                <c:pt idx="153">
                  <c:v>2009년 10월</c:v>
                </c:pt>
                <c:pt idx="154">
                  <c:v>2009년 9월</c:v>
                </c:pt>
                <c:pt idx="155">
                  <c:v>2009년 8월</c:v>
                </c:pt>
                <c:pt idx="156">
                  <c:v>2009년 7월</c:v>
                </c:pt>
                <c:pt idx="157">
                  <c:v>2009년 6월</c:v>
                </c:pt>
                <c:pt idx="158">
                  <c:v>2009년 5월</c:v>
                </c:pt>
                <c:pt idx="159">
                  <c:v>2009년 4월</c:v>
                </c:pt>
                <c:pt idx="160">
                  <c:v>2009년 3월</c:v>
                </c:pt>
                <c:pt idx="161">
                  <c:v>2009년 2월</c:v>
                </c:pt>
                <c:pt idx="162">
                  <c:v>2009년 1월</c:v>
                </c:pt>
                <c:pt idx="163">
                  <c:v>2008년 12월</c:v>
                </c:pt>
                <c:pt idx="164">
                  <c:v>2008년 11월</c:v>
                </c:pt>
                <c:pt idx="165">
                  <c:v>2008년 10월</c:v>
                </c:pt>
                <c:pt idx="166">
                  <c:v>2008년 9월</c:v>
                </c:pt>
                <c:pt idx="167">
                  <c:v>2008년 8월</c:v>
                </c:pt>
                <c:pt idx="168">
                  <c:v>2008년 7월</c:v>
                </c:pt>
                <c:pt idx="169">
                  <c:v>2008년 6월</c:v>
                </c:pt>
                <c:pt idx="170">
                  <c:v>2008년 5월</c:v>
                </c:pt>
                <c:pt idx="171">
                  <c:v>2008년 4월</c:v>
                </c:pt>
                <c:pt idx="172">
                  <c:v>2008년 3월</c:v>
                </c:pt>
                <c:pt idx="173">
                  <c:v>2008년 2월</c:v>
                </c:pt>
                <c:pt idx="174">
                  <c:v>2008년 1월</c:v>
                </c:pt>
                <c:pt idx="175">
                  <c:v>2007년 12월</c:v>
                </c:pt>
                <c:pt idx="176">
                  <c:v>2007년 11월</c:v>
                </c:pt>
                <c:pt idx="177">
                  <c:v>2007년 10월</c:v>
                </c:pt>
                <c:pt idx="178">
                  <c:v>2007년 9월</c:v>
                </c:pt>
                <c:pt idx="179">
                  <c:v>2007년 8월</c:v>
                </c:pt>
                <c:pt idx="180">
                  <c:v>2007년 7월</c:v>
                </c:pt>
                <c:pt idx="181">
                  <c:v>2007년 6월</c:v>
                </c:pt>
                <c:pt idx="182">
                  <c:v>2007년 5월</c:v>
                </c:pt>
                <c:pt idx="183">
                  <c:v>2007년 4월</c:v>
                </c:pt>
                <c:pt idx="184">
                  <c:v>2007년 3월</c:v>
                </c:pt>
                <c:pt idx="185">
                  <c:v>2007년 2월</c:v>
                </c:pt>
                <c:pt idx="186">
                  <c:v>2007년 1월</c:v>
                </c:pt>
                <c:pt idx="187">
                  <c:v>2006년 12월</c:v>
                </c:pt>
                <c:pt idx="188">
                  <c:v>2006년 11월</c:v>
                </c:pt>
                <c:pt idx="189">
                  <c:v>2006년 10월</c:v>
                </c:pt>
                <c:pt idx="190">
                  <c:v>2006년 9월</c:v>
                </c:pt>
                <c:pt idx="191">
                  <c:v>2006년 8월</c:v>
                </c:pt>
                <c:pt idx="192">
                  <c:v>2006년 7월</c:v>
                </c:pt>
                <c:pt idx="193">
                  <c:v>2006년 6월</c:v>
                </c:pt>
                <c:pt idx="194">
                  <c:v>2006년 5월</c:v>
                </c:pt>
                <c:pt idx="195">
                  <c:v>2006년 4월</c:v>
                </c:pt>
                <c:pt idx="196">
                  <c:v>2006년 3월</c:v>
                </c:pt>
                <c:pt idx="197">
                  <c:v>2006년 2월</c:v>
                </c:pt>
                <c:pt idx="198">
                  <c:v>2006년 1월</c:v>
                </c:pt>
                <c:pt idx="199">
                  <c:v>2005년 12월</c:v>
                </c:pt>
                <c:pt idx="200">
                  <c:v>2005년 11월</c:v>
                </c:pt>
                <c:pt idx="201">
                  <c:v>2005년 10월</c:v>
                </c:pt>
                <c:pt idx="202">
                  <c:v>2005년 9월</c:v>
                </c:pt>
                <c:pt idx="203">
                  <c:v>2005년 8월</c:v>
                </c:pt>
                <c:pt idx="204">
                  <c:v>2005년 7월</c:v>
                </c:pt>
                <c:pt idx="205">
                  <c:v>2005년 6월</c:v>
                </c:pt>
                <c:pt idx="206">
                  <c:v>2005년 5월</c:v>
                </c:pt>
                <c:pt idx="207">
                  <c:v>2005년 4월</c:v>
                </c:pt>
                <c:pt idx="208">
                  <c:v>2005년 3월</c:v>
                </c:pt>
                <c:pt idx="209">
                  <c:v>2005년 2월</c:v>
                </c:pt>
                <c:pt idx="210">
                  <c:v>2005년 1월</c:v>
                </c:pt>
                <c:pt idx="211">
                  <c:v>2004년 12월</c:v>
                </c:pt>
                <c:pt idx="212">
                  <c:v>2004년 11월</c:v>
                </c:pt>
                <c:pt idx="213">
                  <c:v>2004년 10월</c:v>
                </c:pt>
                <c:pt idx="214">
                  <c:v>2004년 9월</c:v>
                </c:pt>
                <c:pt idx="215">
                  <c:v>2004년 8월</c:v>
                </c:pt>
                <c:pt idx="216">
                  <c:v>2004년 7월</c:v>
                </c:pt>
                <c:pt idx="217">
                  <c:v>2004년 6월</c:v>
                </c:pt>
                <c:pt idx="218">
                  <c:v>2004년 5월</c:v>
                </c:pt>
                <c:pt idx="219">
                  <c:v>2004년 4월</c:v>
                </c:pt>
                <c:pt idx="220">
                  <c:v>2004년 3월</c:v>
                </c:pt>
                <c:pt idx="221">
                  <c:v>2004년 2월</c:v>
                </c:pt>
                <c:pt idx="222">
                  <c:v>2004년 1월</c:v>
                </c:pt>
                <c:pt idx="223">
                  <c:v>2003년 12월</c:v>
                </c:pt>
                <c:pt idx="224">
                  <c:v>2003년 11월</c:v>
                </c:pt>
                <c:pt idx="225">
                  <c:v>2003년 10월</c:v>
                </c:pt>
                <c:pt idx="226">
                  <c:v>2003년 9월</c:v>
                </c:pt>
                <c:pt idx="227">
                  <c:v>2003년 8월</c:v>
                </c:pt>
                <c:pt idx="228">
                  <c:v>2003년 7월</c:v>
                </c:pt>
                <c:pt idx="229">
                  <c:v>2003년 6월</c:v>
                </c:pt>
                <c:pt idx="230">
                  <c:v>2003년 5월</c:v>
                </c:pt>
                <c:pt idx="231">
                  <c:v>2003년 4월</c:v>
                </c:pt>
                <c:pt idx="232">
                  <c:v>2003년 3월</c:v>
                </c:pt>
                <c:pt idx="233">
                  <c:v>2003년 2월</c:v>
                </c:pt>
                <c:pt idx="234">
                  <c:v>2003년 1월</c:v>
                </c:pt>
                <c:pt idx="235">
                  <c:v>2002년 12월</c:v>
                </c:pt>
                <c:pt idx="236">
                  <c:v>2002년 11월</c:v>
                </c:pt>
                <c:pt idx="237">
                  <c:v>2002년 10월</c:v>
                </c:pt>
                <c:pt idx="238">
                  <c:v>2002년 9월</c:v>
                </c:pt>
                <c:pt idx="239">
                  <c:v>2002년 8월</c:v>
                </c:pt>
                <c:pt idx="240">
                  <c:v>2002년 7월</c:v>
                </c:pt>
                <c:pt idx="241">
                  <c:v>2002년 6월</c:v>
                </c:pt>
                <c:pt idx="242">
                  <c:v>2002년 5월</c:v>
                </c:pt>
                <c:pt idx="243">
                  <c:v>2002년 4월</c:v>
                </c:pt>
                <c:pt idx="244">
                  <c:v>2002년 3월</c:v>
                </c:pt>
                <c:pt idx="245">
                  <c:v>2002년 2월</c:v>
                </c:pt>
                <c:pt idx="246">
                  <c:v>2002년 1월</c:v>
                </c:pt>
                <c:pt idx="247">
                  <c:v>2001년 12월</c:v>
                </c:pt>
                <c:pt idx="248">
                  <c:v>2001년 11월</c:v>
                </c:pt>
                <c:pt idx="249">
                  <c:v>2001년 10월</c:v>
                </c:pt>
                <c:pt idx="250">
                  <c:v>2001년 9월</c:v>
                </c:pt>
                <c:pt idx="251">
                  <c:v>2001년 8월</c:v>
                </c:pt>
                <c:pt idx="252">
                  <c:v>2001년 7월</c:v>
                </c:pt>
                <c:pt idx="253">
                  <c:v>2001년 6월</c:v>
                </c:pt>
                <c:pt idx="254">
                  <c:v>2001년 5월</c:v>
                </c:pt>
                <c:pt idx="255">
                  <c:v>2001년 4월</c:v>
                </c:pt>
                <c:pt idx="256">
                  <c:v>2001년 3월</c:v>
                </c:pt>
                <c:pt idx="257">
                  <c:v>2001년 2월</c:v>
                </c:pt>
                <c:pt idx="258">
                  <c:v>2001년 1월</c:v>
                </c:pt>
                <c:pt idx="259">
                  <c:v>2000년 12월</c:v>
                </c:pt>
                <c:pt idx="260">
                  <c:v>2000년 11월</c:v>
                </c:pt>
                <c:pt idx="261">
                  <c:v>2000년 10월</c:v>
                </c:pt>
                <c:pt idx="262">
                  <c:v>2000년 9월</c:v>
                </c:pt>
                <c:pt idx="263">
                  <c:v>2000년 8월</c:v>
                </c:pt>
                <c:pt idx="264">
                  <c:v>2000년 7월</c:v>
                </c:pt>
                <c:pt idx="265">
                  <c:v>2000년 6월</c:v>
                </c:pt>
                <c:pt idx="266">
                  <c:v>2000년 5월</c:v>
                </c:pt>
                <c:pt idx="267">
                  <c:v>2000년 4월</c:v>
                </c:pt>
                <c:pt idx="268">
                  <c:v>2000년 3월</c:v>
                </c:pt>
                <c:pt idx="269">
                  <c:v>2000년 2월</c:v>
                </c:pt>
                <c:pt idx="270">
                  <c:v>2000년 1월</c:v>
                </c:pt>
                <c:pt idx="271">
                  <c:v>1999년 12월</c:v>
                </c:pt>
                <c:pt idx="272">
                  <c:v>1999년 11월</c:v>
                </c:pt>
                <c:pt idx="273">
                  <c:v>1999년 10월</c:v>
                </c:pt>
                <c:pt idx="274">
                  <c:v>1999년 9월</c:v>
                </c:pt>
                <c:pt idx="275">
                  <c:v>1999년 8월</c:v>
                </c:pt>
                <c:pt idx="276">
                  <c:v>1999년 7월</c:v>
                </c:pt>
                <c:pt idx="277">
                  <c:v>1999년 6월</c:v>
                </c:pt>
                <c:pt idx="278">
                  <c:v>1999년 5월</c:v>
                </c:pt>
                <c:pt idx="279">
                  <c:v>1999년 4월</c:v>
                </c:pt>
                <c:pt idx="280">
                  <c:v>1999년 3월</c:v>
                </c:pt>
                <c:pt idx="281">
                  <c:v>1999년 2월</c:v>
                </c:pt>
                <c:pt idx="282">
                  <c:v>1999년 1월</c:v>
                </c:pt>
                <c:pt idx="283">
                  <c:v>1998년 12월</c:v>
                </c:pt>
                <c:pt idx="284">
                  <c:v>1998년 11월</c:v>
                </c:pt>
                <c:pt idx="285">
                  <c:v>1998년 10월</c:v>
                </c:pt>
                <c:pt idx="286">
                  <c:v>1998년 9월</c:v>
                </c:pt>
                <c:pt idx="287">
                  <c:v>1998년 8월</c:v>
                </c:pt>
                <c:pt idx="288">
                  <c:v>1998년 7월</c:v>
                </c:pt>
                <c:pt idx="289">
                  <c:v>1998년 6월</c:v>
                </c:pt>
                <c:pt idx="290">
                  <c:v>1998년 5월</c:v>
                </c:pt>
                <c:pt idx="291">
                  <c:v>1998년 4월</c:v>
                </c:pt>
                <c:pt idx="292">
                  <c:v>1998년 3월</c:v>
                </c:pt>
                <c:pt idx="293">
                  <c:v>1998년 2월</c:v>
                </c:pt>
                <c:pt idx="294">
                  <c:v>1998년 1월</c:v>
                </c:pt>
                <c:pt idx="295">
                  <c:v>1997년 12월</c:v>
                </c:pt>
                <c:pt idx="296">
                  <c:v>1997년 11월</c:v>
                </c:pt>
                <c:pt idx="297">
                  <c:v>1997년 10월</c:v>
                </c:pt>
                <c:pt idx="298">
                  <c:v>1997년 9월</c:v>
                </c:pt>
                <c:pt idx="299">
                  <c:v>1997년 8월</c:v>
                </c:pt>
                <c:pt idx="300">
                  <c:v>1997년 7월</c:v>
                </c:pt>
                <c:pt idx="301">
                  <c:v>1997년 6월</c:v>
                </c:pt>
                <c:pt idx="302">
                  <c:v>1997년 5월</c:v>
                </c:pt>
                <c:pt idx="303">
                  <c:v>1997년 4월</c:v>
                </c:pt>
                <c:pt idx="304">
                  <c:v>1997년 3월</c:v>
                </c:pt>
                <c:pt idx="305">
                  <c:v>1997년 2월</c:v>
                </c:pt>
                <c:pt idx="306">
                  <c:v>1997년 1월</c:v>
                </c:pt>
                <c:pt idx="307">
                  <c:v>1996년 12월</c:v>
                </c:pt>
                <c:pt idx="308">
                  <c:v>1996년 11월</c:v>
                </c:pt>
                <c:pt idx="309">
                  <c:v>1996년 10월</c:v>
                </c:pt>
                <c:pt idx="310">
                  <c:v>1996년 9월</c:v>
                </c:pt>
                <c:pt idx="311">
                  <c:v>1996년 8월</c:v>
                </c:pt>
                <c:pt idx="312">
                  <c:v>1996년 7월</c:v>
                </c:pt>
                <c:pt idx="313">
                  <c:v>1996년 6월</c:v>
                </c:pt>
                <c:pt idx="314">
                  <c:v>1996년 5월</c:v>
                </c:pt>
                <c:pt idx="315">
                  <c:v>1996년 4월</c:v>
                </c:pt>
                <c:pt idx="316">
                  <c:v>1996년 3월</c:v>
                </c:pt>
                <c:pt idx="317">
                  <c:v>1996년 2월</c:v>
                </c:pt>
                <c:pt idx="318">
                  <c:v>1996년 1월</c:v>
                </c:pt>
                <c:pt idx="319">
                  <c:v>1995년 12월</c:v>
                </c:pt>
                <c:pt idx="320">
                  <c:v>1995년 11월</c:v>
                </c:pt>
                <c:pt idx="321">
                  <c:v>1995년 10월</c:v>
                </c:pt>
                <c:pt idx="322">
                  <c:v>1995년 9월</c:v>
                </c:pt>
                <c:pt idx="323">
                  <c:v>1995년 8월</c:v>
                </c:pt>
                <c:pt idx="324">
                  <c:v>1995년 7월</c:v>
                </c:pt>
                <c:pt idx="325">
                  <c:v>1995년 6월</c:v>
                </c:pt>
                <c:pt idx="326">
                  <c:v>1995년 5월</c:v>
                </c:pt>
                <c:pt idx="327">
                  <c:v>1995년 4월</c:v>
                </c:pt>
                <c:pt idx="328">
                  <c:v>1995년 3월</c:v>
                </c:pt>
                <c:pt idx="329">
                  <c:v>1995년 2월</c:v>
                </c:pt>
                <c:pt idx="330">
                  <c:v>1995년 1월</c:v>
                </c:pt>
                <c:pt idx="331">
                  <c:v>1994년 12월</c:v>
                </c:pt>
                <c:pt idx="332">
                  <c:v>1994년 11월</c:v>
                </c:pt>
                <c:pt idx="333">
                  <c:v>1994년 10월</c:v>
                </c:pt>
                <c:pt idx="334">
                  <c:v>1994년 9월</c:v>
                </c:pt>
                <c:pt idx="335">
                  <c:v>1994년 8월</c:v>
                </c:pt>
                <c:pt idx="336">
                  <c:v>1994년 7월</c:v>
                </c:pt>
                <c:pt idx="337">
                  <c:v>1994년 6월</c:v>
                </c:pt>
                <c:pt idx="338">
                  <c:v>1994년 5월</c:v>
                </c:pt>
                <c:pt idx="339">
                  <c:v>1994년 4월</c:v>
                </c:pt>
                <c:pt idx="340">
                  <c:v>1994년 3월</c:v>
                </c:pt>
                <c:pt idx="341">
                  <c:v>1994년 2월</c:v>
                </c:pt>
                <c:pt idx="342">
                  <c:v>1994년 1월</c:v>
                </c:pt>
                <c:pt idx="343">
                  <c:v>1993년 12월</c:v>
                </c:pt>
                <c:pt idx="344">
                  <c:v>1993년 11월</c:v>
                </c:pt>
                <c:pt idx="345">
                  <c:v>1993년 10월</c:v>
                </c:pt>
                <c:pt idx="346">
                  <c:v>1993년 9월</c:v>
                </c:pt>
                <c:pt idx="347">
                  <c:v>1993년 8월</c:v>
                </c:pt>
                <c:pt idx="348">
                  <c:v>1993년 7월</c:v>
                </c:pt>
                <c:pt idx="349">
                  <c:v>1993년 6월</c:v>
                </c:pt>
                <c:pt idx="350">
                  <c:v>1993년 5월</c:v>
                </c:pt>
                <c:pt idx="351">
                  <c:v>1993년 4월</c:v>
                </c:pt>
                <c:pt idx="352">
                  <c:v>1993년 3월</c:v>
                </c:pt>
                <c:pt idx="353">
                  <c:v>1993년 2월</c:v>
                </c:pt>
                <c:pt idx="354">
                  <c:v>1993년 1월</c:v>
                </c:pt>
                <c:pt idx="355">
                  <c:v>1992년 12월</c:v>
                </c:pt>
                <c:pt idx="356">
                  <c:v>1992년 11월</c:v>
                </c:pt>
                <c:pt idx="357">
                  <c:v>1992년 10월</c:v>
                </c:pt>
                <c:pt idx="358">
                  <c:v>1992년 9월</c:v>
                </c:pt>
                <c:pt idx="359">
                  <c:v>1992년 8월</c:v>
                </c:pt>
                <c:pt idx="360">
                  <c:v>1992년 7월</c:v>
                </c:pt>
                <c:pt idx="361">
                  <c:v>1992년 6월</c:v>
                </c:pt>
                <c:pt idx="362">
                  <c:v>1992년 5월</c:v>
                </c:pt>
                <c:pt idx="363">
                  <c:v>1992년 4월</c:v>
                </c:pt>
                <c:pt idx="364">
                  <c:v>1992년 3월</c:v>
                </c:pt>
                <c:pt idx="365">
                  <c:v>1992년 2월</c:v>
                </c:pt>
                <c:pt idx="366">
                  <c:v>1992년 1월</c:v>
                </c:pt>
                <c:pt idx="367">
                  <c:v>1991년 12월</c:v>
                </c:pt>
                <c:pt idx="368">
                  <c:v>1991년 11월</c:v>
                </c:pt>
                <c:pt idx="369">
                  <c:v>1991년 10월</c:v>
                </c:pt>
                <c:pt idx="370">
                  <c:v>1991년 9월</c:v>
                </c:pt>
                <c:pt idx="371">
                  <c:v>1991년 8월</c:v>
                </c:pt>
                <c:pt idx="372">
                  <c:v>1991년 7월</c:v>
                </c:pt>
                <c:pt idx="373">
                  <c:v>1991년 6월</c:v>
                </c:pt>
                <c:pt idx="374">
                  <c:v>1991년 5월</c:v>
                </c:pt>
                <c:pt idx="375">
                  <c:v>1991년 4월</c:v>
                </c:pt>
                <c:pt idx="376">
                  <c:v>1991년 3월</c:v>
                </c:pt>
                <c:pt idx="377">
                  <c:v>1991년 2월</c:v>
                </c:pt>
                <c:pt idx="378">
                  <c:v>1991년 1월</c:v>
                </c:pt>
                <c:pt idx="379">
                  <c:v>1990년 12월</c:v>
                </c:pt>
                <c:pt idx="380">
                  <c:v>1990년 11월</c:v>
                </c:pt>
                <c:pt idx="381">
                  <c:v>1990년 10월</c:v>
                </c:pt>
                <c:pt idx="382">
                  <c:v>1990년 9월</c:v>
                </c:pt>
                <c:pt idx="383">
                  <c:v>1990년 8월</c:v>
                </c:pt>
                <c:pt idx="384">
                  <c:v>1990년 7월</c:v>
                </c:pt>
                <c:pt idx="385">
                  <c:v>1990년 6월</c:v>
                </c:pt>
                <c:pt idx="386">
                  <c:v>1990년 5월</c:v>
                </c:pt>
                <c:pt idx="387">
                  <c:v>1990년 4월</c:v>
                </c:pt>
                <c:pt idx="388">
                  <c:v>1990년 3월</c:v>
                </c:pt>
                <c:pt idx="389">
                  <c:v>1990년 2월</c:v>
                </c:pt>
                <c:pt idx="390">
                  <c:v>1990년 1월</c:v>
                </c:pt>
                <c:pt idx="391">
                  <c:v>1989년 12월</c:v>
                </c:pt>
                <c:pt idx="392">
                  <c:v>1989년 11월</c:v>
                </c:pt>
                <c:pt idx="393">
                  <c:v>1989년 10월</c:v>
                </c:pt>
                <c:pt idx="394">
                  <c:v>1989년 9월</c:v>
                </c:pt>
                <c:pt idx="395">
                  <c:v>1989년 8월</c:v>
                </c:pt>
                <c:pt idx="396">
                  <c:v>1989년 7월</c:v>
                </c:pt>
                <c:pt idx="397">
                  <c:v>1989년 6월</c:v>
                </c:pt>
                <c:pt idx="398">
                  <c:v>1989년 5월</c:v>
                </c:pt>
                <c:pt idx="399">
                  <c:v>1989년 4월</c:v>
                </c:pt>
                <c:pt idx="400">
                  <c:v>1989년 3월</c:v>
                </c:pt>
                <c:pt idx="401">
                  <c:v>1989년 2월</c:v>
                </c:pt>
                <c:pt idx="402">
                  <c:v>1989년 1월</c:v>
                </c:pt>
                <c:pt idx="403">
                  <c:v>1988년 12월</c:v>
                </c:pt>
                <c:pt idx="404">
                  <c:v>1988년 11월</c:v>
                </c:pt>
                <c:pt idx="405">
                  <c:v>1988년 10월</c:v>
                </c:pt>
                <c:pt idx="406">
                  <c:v>1988년 9월</c:v>
                </c:pt>
                <c:pt idx="407">
                  <c:v>1988년 8월</c:v>
                </c:pt>
                <c:pt idx="408">
                  <c:v>1988년 7월</c:v>
                </c:pt>
                <c:pt idx="409">
                  <c:v>1988년 6월</c:v>
                </c:pt>
                <c:pt idx="410">
                  <c:v>1988년 5월</c:v>
                </c:pt>
                <c:pt idx="411">
                  <c:v>1988년 4월</c:v>
                </c:pt>
                <c:pt idx="412">
                  <c:v>1988년 3월</c:v>
                </c:pt>
                <c:pt idx="413">
                  <c:v>1988년 2월</c:v>
                </c:pt>
                <c:pt idx="414">
                  <c:v>1988년 1월</c:v>
                </c:pt>
                <c:pt idx="415">
                  <c:v>1987년 12월</c:v>
                </c:pt>
                <c:pt idx="416">
                  <c:v>1987년 11월</c:v>
                </c:pt>
                <c:pt idx="417">
                  <c:v>1987년 10월</c:v>
                </c:pt>
                <c:pt idx="418">
                  <c:v>1987년 9월</c:v>
                </c:pt>
                <c:pt idx="419">
                  <c:v>1987년 8월</c:v>
                </c:pt>
                <c:pt idx="420">
                  <c:v>1987년 7월</c:v>
                </c:pt>
                <c:pt idx="421">
                  <c:v>1987년 6월</c:v>
                </c:pt>
                <c:pt idx="422">
                  <c:v>1987년 5월</c:v>
                </c:pt>
                <c:pt idx="423">
                  <c:v>1987년 4월</c:v>
                </c:pt>
                <c:pt idx="424">
                  <c:v>1987년 3월</c:v>
                </c:pt>
                <c:pt idx="425">
                  <c:v>1987년 2월</c:v>
                </c:pt>
                <c:pt idx="426">
                  <c:v>1987년 1월</c:v>
                </c:pt>
                <c:pt idx="427">
                  <c:v>1986년 12월</c:v>
                </c:pt>
                <c:pt idx="428">
                  <c:v>1986년 11월</c:v>
                </c:pt>
                <c:pt idx="429">
                  <c:v>1986년 10월</c:v>
                </c:pt>
                <c:pt idx="430">
                  <c:v>1986년 9월</c:v>
                </c:pt>
                <c:pt idx="431">
                  <c:v>1986년 8월</c:v>
                </c:pt>
                <c:pt idx="432">
                  <c:v>1986년 7월</c:v>
                </c:pt>
                <c:pt idx="433">
                  <c:v>1986년 6월</c:v>
                </c:pt>
                <c:pt idx="434">
                  <c:v>1986년 5월</c:v>
                </c:pt>
                <c:pt idx="435">
                  <c:v>1986년 4월</c:v>
                </c:pt>
                <c:pt idx="436">
                  <c:v>1986년 3월</c:v>
                </c:pt>
                <c:pt idx="437">
                  <c:v>1986년 2월</c:v>
                </c:pt>
                <c:pt idx="438">
                  <c:v>1986년 1월</c:v>
                </c:pt>
                <c:pt idx="439">
                  <c:v>1985년 12월</c:v>
                </c:pt>
                <c:pt idx="440">
                  <c:v>1985년 11월</c:v>
                </c:pt>
                <c:pt idx="441">
                  <c:v>1985년 10월</c:v>
                </c:pt>
                <c:pt idx="442">
                  <c:v>1985년 9월</c:v>
                </c:pt>
                <c:pt idx="443">
                  <c:v>1985년 8월</c:v>
                </c:pt>
                <c:pt idx="444">
                  <c:v>1985년 7월</c:v>
                </c:pt>
                <c:pt idx="445">
                  <c:v>1985년 6월</c:v>
                </c:pt>
                <c:pt idx="446">
                  <c:v>1985년 5월</c:v>
                </c:pt>
                <c:pt idx="447">
                  <c:v>1985년 4월</c:v>
                </c:pt>
                <c:pt idx="448">
                  <c:v>1985년 3월</c:v>
                </c:pt>
                <c:pt idx="449">
                  <c:v>1985년 2월</c:v>
                </c:pt>
                <c:pt idx="450">
                  <c:v>1985년 1월</c:v>
                </c:pt>
                <c:pt idx="451">
                  <c:v>1984년 12월</c:v>
                </c:pt>
                <c:pt idx="452">
                  <c:v>1984년 11월</c:v>
                </c:pt>
                <c:pt idx="453">
                  <c:v>1984년 10월</c:v>
                </c:pt>
                <c:pt idx="454">
                  <c:v>1984년 9월</c:v>
                </c:pt>
                <c:pt idx="455">
                  <c:v>1984년 8월</c:v>
                </c:pt>
                <c:pt idx="456">
                  <c:v>1984년 7월</c:v>
                </c:pt>
                <c:pt idx="457">
                  <c:v>1984년 6월</c:v>
                </c:pt>
                <c:pt idx="458">
                  <c:v>1984년 5월</c:v>
                </c:pt>
                <c:pt idx="459">
                  <c:v>1984년 4월</c:v>
                </c:pt>
                <c:pt idx="460">
                  <c:v>1984년 3월</c:v>
                </c:pt>
                <c:pt idx="461">
                  <c:v>1984년 2월</c:v>
                </c:pt>
                <c:pt idx="462">
                  <c:v>1984년 1월</c:v>
                </c:pt>
                <c:pt idx="463">
                  <c:v>1983년 12월</c:v>
                </c:pt>
                <c:pt idx="464">
                  <c:v>1983년 11월</c:v>
                </c:pt>
                <c:pt idx="465">
                  <c:v>1983년 10월</c:v>
                </c:pt>
                <c:pt idx="466">
                  <c:v>1983년 9월</c:v>
                </c:pt>
                <c:pt idx="467">
                  <c:v>1983년 8월</c:v>
                </c:pt>
                <c:pt idx="468">
                  <c:v>1983년 7월</c:v>
                </c:pt>
                <c:pt idx="469">
                  <c:v>1983년 6월</c:v>
                </c:pt>
                <c:pt idx="470">
                  <c:v>1983년 5월</c:v>
                </c:pt>
                <c:pt idx="471">
                  <c:v>1983년 4월</c:v>
                </c:pt>
                <c:pt idx="472">
                  <c:v>1983년 3월</c:v>
                </c:pt>
                <c:pt idx="473">
                  <c:v>1983년 2월</c:v>
                </c:pt>
                <c:pt idx="474">
                  <c:v>1983년 1월</c:v>
                </c:pt>
                <c:pt idx="475">
                  <c:v>1982년 12월</c:v>
                </c:pt>
                <c:pt idx="476">
                  <c:v>1982년 11월</c:v>
                </c:pt>
                <c:pt idx="477">
                  <c:v>1982년 10월</c:v>
                </c:pt>
                <c:pt idx="478">
                  <c:v>1982년 9월</c:v>
                </c:pt>
                <c:pt idx="479">
                  <c:v>1982년 8월</c:v>
                </c:pt>
                <c:pt idx="480">
                  <c:v>1982년 7월</c:v>
                </c:pt>
                <c:pt idx="481">
                  <c:v>1982년 6월</c:v>
                </c:pt>
                <c:pt idx="482">
                  <c:v>1982년 5월</c:v>
                </c:pt>
                <c:pt idx="483">
                  <c:v>1982년 4월</c:v>
                </c:pt>
                <c:pt idx="484">
                  <c:v>1982년 3월</c:v>
                </c:pt>
                <c:pt idx="485">
                  <c:v>1982년 2월</c:v>
                </c:pt>
                <c:pt idx="486">
                  <c:v>1982년 1월</c:v>
                </c:pt>
                <c:pt idx="487">
                  <c:v>1981년 12월</c:v>
                </c:pt>
                <c:pt idx="488">
                  <c:v>1981년 11월</c:v>
                </c:pt>
                <c:pt idx="489">
                  <c:v>1981년 10월</c:v>
                </c:pt>
                <c:pt idx="490">
                  <c:v>1981년 9월</c:v>
                </c:pt>
                <c:pt idx="491">
                  <c:v>1981년 8월</c:v>
                </c:pt>
                <c:pt idx="492">
                  <c:v>1981년 7월</c:v>
                </c:pt>
                <c:pt idx="493">
                  <c:v>1981년 6월</c:v>
                </c:pt>
                <c:pt idx="494">
                  <c:v>1981년 5월</c:v>
                </c:pt>
                <c:pt idx="495">
                  <c:v>1981년 4월</c:v>
                </c:pt>
                <c:pt idx="496">
                  <c:v>1981년 3월</c:v>
                </c:pt>
                <c:pt idx="497">
                  <c:v>1981년 2월</c:v>
                </c:pt>
                <c:pt idx="498">
                  <c:v>1981년 1월</c:v>
                </c:pt>
                <c:pt idx="499">
                  <c:v>1980년 12월</c:v>
                </c:pt>
                <c:pt idx="500">
                  <c:v>1980년 11월</c:v>
                </c:pt>
                <c:pt idx="501">
                  <c:v>1980년 10월</c:v>
                </c:pt>
                <c:pt idx="502">
                  <c:v>1980년 9월</c:v>
                </c:pt>
                <c:pt idx="503">
                  <c:v>1980년 8월</c:v>
                </c:pt>
                <c:pt idx="504">
                  <c:v>1980년 7월</c:v>
                </c:pt>
                <c:pt idx="505">
                  <c:v>1980년 6월</c:v>
                </c:pt>
                <c:pt idx="506">
                  <c:v>1980년 5월</c:v>
                </c:pt>
                <c:pt idx="507">
                  <c:v>1980년 4월</c:v>
                </c:pt>
                <c:pt idx="508">
                  <c:v>1980년 3월</c:v>
                </c:pt>
                <c:pt idx="509">
                  <c:v>1980년 2월</c:v>
                </c:pt>
                <c:pt idx="510">
                  <c:v>1980년 1월</c:v>
                </c:pt>
                <c:pt idx="511">
                  <c:v>1979년 12월</c:v>
                </c:pt>
                <c:pt idx="512">
                  <c:v>1979년 11월</c:v>
                </c:pt>
                <c:pt idx="513">
                  <c:v>1979년 10월</c:v>
                </c:pt>
                <c:pt idx="514">
                  <c:v>1979년 9월</c:v>
                </c:pt>
                <c:pt idx="515">
                  <c:v>1979년 8월</c:v>
                </c:pt>
                <c:pt idx="516">
                  <c:v>1979년 7월</c:v>
                </c:pt>
                <c:pt idx="517">
                  <c:v>1979년 6월</c:v>
                </c:pt>
                <c:pt idx="518">
                  <c:v>1979년 5월</c:v>
                </c:pt>
                <c:pt idx="519">
                  <c:v>1979년 4월</c:v>
                </c:pt>
                <c:pt idx="520">
                  <c:v>1979년 3월</c:v>
                </c:pt>
                <c:pt idx="521">
                  <c:v>1979년 2월</c:v>
                </c:pt>
                <c:pt idx="522">
                  <c:v>1979년 1월</c:v>
                </c:pt>
                <c:pt idx="523">
                  <c:v>1978년 12월</c:v>
                </c:pt>
                <c:pt idx="524">
                  <c:v>1978년 11월</c:v>
                </c:pt>
                <c:pt idx="525">
                  <c:v>1978년 10월</c:v>
                </c:pt>
                <c:pt idx="526">
                  <c:v>1978년 9월</c:v>
                </c:pt>
                <c:pt idx="527">
                  <c:v>1978년 8월</c:v>
                </c:pt>
                <c:pt idx="528">
                  <c:v>1978년 7월</c:v>
                </c:pt>
                <c:pt idx="529">
                  <c:v>1978년 6월</c:v>
                </c:pt>
                <c:pt idx="530">
                  <c:v>1978년 5월</c:v>
                </c:pt>
                <c:pt idx="531">
                  <c:v>1978년 4월</c:v>
                </c:pt>
                <c:pt idx="532">
                  <c:v>1978년 3월</c:v>
                </c:pt>
                <c:pt idx="533">
                  <c:v>1978년 2월</c:v>
                </c:pt>
                <c:pt idx="534">
                  <c:v>1978년 1월</c:v>
                </c:pt>
                <c:pt idx="535">
                  <c:v>1977년 12월</c:v>
                </c:pt>
                <c:pt idx="536">
                  <c:v>1977년 11월</c:v>
                </c:pt>
                <c:pt idx="537">
                  <c:v>1977년 10월</c:v>
                </c:pt>
                <c:pt idx="538">
                  <c:v>1977년 9월</c:v>
                </c:pt>
                <c:pt idx="539">
                  <c:v>1977년 8월</c:v>
                </c:pt>
                <c:pt idx="540">
                  <c:v>1977년 7월</c:v>
                </c:pt>
                <c:pt idx="541">
                  <c:v>1977년 6월</c:v>
                </c:pt>
                <c:pt idx="542">
                  <c:v>1977년 5월</c:v>
                </c:pt>
                <c:pt idx="543">
                  <c:v>1977년 4월</c:v>
                </c:pt>
                <c:pt idx="544">
                  <c:v>1977년 3월</c:v>
                </c:pt>
                <c:pt idx="545">
                  <c:v>1977년 2월</c:v>
                </c:pt>
                <c:pt idx="546">
                  <c:v>1977년 1월</c:v>
                </c:pt>
                <c:pt idx="547">
                  <c:v>1976년 12월</c:v>
                </c:pt>
                <c:pt idx="548">
                  <c:v>1976년 11월</c:v>
                </c:pt>
                <c:pt idx="549">
                  <c:v>1976년 10월</c:v>
                </c:pt>
                <c:pt idx="550">
                  <c:v>1976년 9월</c:v>
                </c:pt>
                <c:pt idx="551">
                  <c:v>1976년 8월</c:v>
                </c:pt>
                <c:pt idx="552">
                  <c:v>1976년 7월</c:v>
                </c:pt>
                <c:pt idx="553">
                  <c:v>1976년 6월</c:v>
                </c:pt>
                <c:pt idx="554">
                  <c:v>1976년 5월</c:v>
                </c:pt>
                <c:pt idx="555">
                  <c:v>1976년 4월</c:v>
                </c:pt>
                <c:pt idx="556">
                  <c:v>1976년 3월</c:v>
                </c:pt>
                <c:pt idx="557">
                  <c:v>1976년 2월</c:v>
                </c:pt>
                <c:pt idx="558">
                  <c:v>1976년 1월</c:v>
                </c:pt>
                <c:pt idx="559">
                  <c:v>1975년 12월</c:v>
                </c:pt>
                <c:pt idx="560">
                  <c:v>1975년 11월</c:v>
                </c:pt>
                <c:pt idx="561">
                  <c:v>1975년 10월</c:v>
                </c:pt>
                <c:pt idx="562">
                  <c:v>1975년 9월</c:v>
                </c:pt>
                <c:pt idx="563">
                  <c:v>1975년 8월</c:v>
                </c:pt>
                <c:pt idx="564">
                  <c:v>1975년 7월</c:v>
                </c:pt>
                <c:pt idx="565">
                  <c:v>1975년 6월</c:v>
                </c:pt>
                <c:pt idx="566">
                  <c:v>1975년 5월</c:v>
                </c:pt>
                <c:pt idx="567">
                  <c:v>1975년 4월</c:v>
                </c:pt>
                <c:pt idx="568">
                  <c:v>1975년 3월</c:v>
                </c:pt>
                <c:pt idx="569">
                  <c:v>1975년 2월</c:v>
                </c:pt>
                <c:pt idx="570">
                  <c:v>1975년 1월</c:v>
                </c:pt>
                <c:pt idx="571">
                  <c:v>1974년 12월</c:v>
                </c:pt>
                <c:pt idx="572">
                  <c:v>1974년 11월</c:v>
                </c:pt>
                <c:pt idx="573">
                  <c:v>1974년 10월</c:v>
                </c:pt>
                <c:pt idx="574">
                  <c:v>1974년 9월</c:v>
                </c:pt>
                <c:pt idx="575">
                  <c:v>1974년 8월</c:v>
                </c:pt>
                <c:pt idx="576">
                  <c:v>1974년 7월</c:v>
                </c:pt>
                <c:pt idx="577">
                  <c:v>1974년 6월</c:v>
                </c:pt>
                <c:pt idx="578">
                  <c:v>1974년 5월</c:v>
                </c:pt>
                <c:pt idx="579">
                  <c:v>1974년 4월</c:v>
                </c:pt>
                <c:pt idx="580">
                  <c:v>1974년 3월</c:v>
                </c:pt>
                <c:pt idx="581">
                  <c:v>1974년 2월</c:v>
                </c:pt>
                <c:pt idx="582">
                  <c:v>1974년 1월</c:v>
                </c:pt>
                <c:pt idx="583">
                  <c:v>1973년 12월</c:v>
                </c:pt>
                <c:pt idx="584">
                  <c:v>1973년 11월</c:v>
                </c:pt>
                <c:pt idx="585">
                  <c:v>1973년 10월</c:v>
                </c:pt>
                <c:pt idx="586">
                  <c:v>1973년 9월</c:v>
                </c:pt>
                <c:pt idx="587">
                  <c:v>1973년 8월</c:v>
                </c:pt>
                <c:pt idx="588">
                  <c:v>1973년 7월</c:v>
                </c:pt>
                <c:pt idx="589">
                  <c:v>1973년 6월</c:v>
                </c:pt>
                <c:pt idx="590">
                  <c:v>1973년 5월</c:v>
                </c:pt>
                <c:pt idx="591">
                  <c:v>1973년 4월</c:v>
                </c:pt>
                <c:pt idx="592">
                  <c:v>1973년 3월</c:v>
                </c:pt>
                <c:pt idx="593">
                  <c:v>1973년 2월</c:v>
                </c:pt>
                <c:pt idx="594">
                  <c:v>1973년 1월</c:v>
                </c:pt>
                <c:pt idx="595">
                  <c:v>1972년 12월</c:v>
                </c:pt>
                <c:pt idx="596">
                  <c:v>1972년 11월</c:v>
                </c:pt>
                <c:pt idx="597">
                  <c:v>1972년 10월</c:v>
                </c:pt>
                <c:pt idx="598">
                  <c:v>1972년 9월</c:v>
                </c:pt>
                <c:pt idx="599">
                  <c:v>1972년 8월</c:v>
                </c:pt>
                <c:pt idx="600">
                  <c:v>1972년 7월</c:v>
                </c:pt>
                <c:pt idx="601">
                  <c:v>1972년 6월</c:v>
                </c:pt>
                <c:pt idx="602">
                  <c:v>1972년 5월</c:v>
                </c:pt>
                <c:pt idx="603">
                  <c:v>1972년 4월</c:v>
                </c:pt>
                <c:pt idx="604">
                  <c:v>1972년 3월</c:v>
                </c:pt>
                <c:pt idx="605">
                  <c:v>1972년 2월</c:v>
                </c:pt>
                <c:pt idx="606">
                  <c:v>1972년 1월</c:v>
                </c:pt>
                <c:pt idx="607">
                  <c:v>1971년 12월</c:v>
                </c:pt>
                <c:pt idx="608">
                  <c:v>1971년 11월</c:v>
                </c:pt>
                <c:pt idx="609">
                  <c:v>1971년 10월</c:v>
                </c:pt>
                <c:pt idx="610">
                  <c:v>1971년 9월</c:v>
                </c:pt>
                <c:pt idx="611">
                  <c:v>1971년 8월</c:v>
                </c:pt>
                <c:pt idx="612">
                  <c:v>1971년 7월</c:v>
                </c:pt>
                <c:pt idx="613">
                  <c:v>1971년 6월</c:v>
                </c:pt>
                <c:pt idx="614">
                  <c:v>1971년 5월</c:v>
                </c:pt>
                <c:pt idx="615">
                  <c:v>1971년 4월</c:v>
                </c:pt>
                <c:pt idx="616">
                  <c:v>1971년 3월</c:v>
                </c:pt>
                <c:pt idx="617">
                  <c:v>1971년 2월</c:v>
                </c:pt>
                <c:pt idx="618">
                  <c:v>1971년 1월</c:v>
                </c:pt>
                <c:pt idx="619">
                  <c:v>1970년 12월</c:v>
                </c:pt>
                <c:pt idx="620">
                  <c:v>1970년 11월</c:v>
                </c:pt>
                <c:pt idx="621">
                  <c:v>1970년 10월</c:v>
                </c:pt>
                <c:pt idx="622">
                  <c:v>1970년 9월</c:v>
                </c:pt>
                <c:pt idx="623">
                  <c:v>1970년 8월</c:v>
                </c:pt>
                <c:pt idx="624">
                  <c:v>1970년 7월</c:v>
                </c:pt>
                <c:pt idx="625">
                  <c:v>1970년 6월</c:v>
                </c:pt>
                <c:pt idx="626">
                  <c:v>1970년 5월</c:v>
                </c:pt>
                <c:pt idx="627">
                  <c:v>1970년 4월</c:v>
                </c:pt>
                <c:pt idx="628">
                  <c:v>1970년 3월</c:v>
                </c:pt>
                <c:pt idx="629">
                  <c:v>1970년 2월</c:v>
                </c:pt>
              </c:strCache>
            </c:strRef>
          </c:cat>
          <c:val>
            <c:numRef>
              <c:f>'4 fear plan'!$B$2:$B$631</c:f>
              <c:numCache>
                <c:formatCode>#,##0.00</c:formatCode>
                <c:ptCount val="630"/>
                <c:pt idx="0">
                  <c:v>32846.449999999997</c:v>
                </c:pt>
                <c:pt idx="1">
                  <c:v>30779.71</c:v>
                </c:pt>
                <c:pt idx="2">
                  <c:v>32991.97</c:v>
                </c:pt>
                <c:pt idx="3">
                  <c:v>32977.21</c:v>
                </c:pt>
                <c:pt idx="4">
                  <c:v>34678.35</c:v>
                </c:pt>
                <c:pt idx="5">
                  <c:v>33892.6</c:v>
                </c:pt>
                <c:pt idx="6">
                  <c:v>35131.86</c:v>
                </c:pt>
                <c:pt idx="7">
                  <c:v>36338.300000000003</c:v>
                </c:pt>
                <c:pt idx="8">
                  <c:v>34483.72</c:v>
                </c:pt>
                <c:pt idx="9">
                  <c:v>35819.56</c:v>
                </c:pt>
                <c:pt idx="10">
                  <c:v>33843.919999999998</c:v>
                </c:pt>
                <c:pt idx="11">
                  <c:v>35360.730000000003</c:v>
                </c:pt>
                <c:pt idx="12">
                  <c:v>34935.47</c:v>
                </c:pt>
                <c:pt idx="13">
                  <c:v>34502.51</c:v>
                </c:pt>
                <c:pt idx="14">
                  <c:v>34529.449999999997</c:v>
                </c:pt>
                <c:pt idx="15">
                  <c:v>33874.85</c:v>
                </c:pt>
                <c:pt idx="16">
                  <c:v>32981.550000000003</c:v>
                </c:pt>
                <c:pt idx="17">
                  <c:v>30932.37</c:v>
                </c:pt>
                <c:pt idx="18">
                  <c:v>29982.62</c:v>
                </c:pt>
                <c:pt idx="19">
                  <c:v>30606.48</c:v>
                </c:pt>
                <c:pt idx="20">
                  <c:v>29638.639999999999</c:v>
                </c:pt>
                <c:pt idx="21">
                  <c:v>26501.599999999999</c:v>
                </c:pt>
                <c:pt idx="22">
                  <c:v>27781.7</c:v>
                </c:pt>
                <c:pt idx="23">
                  <c:v>28430.05</c:v>
                </c:pt>
                <c:pt idx="24">
                  <c:v>26428.32</c:v>
                </c:pt>
                <c:pt idx="25">
                  <c:v>25812.880000000001</c:v>
                </c:pt>
                <c:pt idx="26">
                  <c:v>25383.11</c:v>
                </c:pt>
                <c:pt idx="27">
                  <c:v>24345.72</c:v>
                </c:pt>
                <c:pt idx="28">
                  <c:v>21917.16</c:v>
                </c:pt>
                <c:pt idx="29">
                  <c:v>25409.360000000001</c:v>
                </c:pt>
                <c:pt idx="30">
                  <c:v>28256.03</c:v>
                </c:pt>
                <c:pt idx="31">
                  <c:v>28538.44</c:v>
                </c:pt>
                <c:pt idx="32">
                  <c:v>28051.41</c:v>
                </c:pt>
                <c:pt idx="33">
                  <c:v>27046.23</c:v>
                </c:pt>
                <c:pt idx="34">
                  <c:v>26916.83</c:v>
                </c:pt>
                <c:pt idx="35">
                  <c:v>26403.279999999999</c:v>
                </c:pt>
                <c:pt idx="36">
                  <c:v>26864.27</c:v>
                </c:pt>
                <c:pt idx="37">
                  <c:v>26599.96</c:v>
                </c:pt>
                <c:pt idx="38">
                  <c:v>24815.040000000001</c:v>
                </c:pt>
                <c:pt idx="39">
                  <c:v>26592.91</c:v>
                </c:pt>
                <c:pt idx="40">
                  <c:v>25928.68</c:v>
                </c:pt>
                <c:pt idx="41">
                  <c:v>25916</c:v>
                </c:pt>
                <c:pt idx="42">
                  <c:v>24999.67</c:v>
                </c:pt>
                <c:pt idx="43">
                  <c:v>23327.46</c:v>
                </c:pt>
                <c:pt idx="44">
                  <c:v>25538.46</c:v>
                </c:pt>
                <c:pt idx="45">
                  <c:v>25115.759999999998</c:v>
                </c:pt>
                <c:pt idx="46">
                  <c:v>26458.31</c:v>
                </c:pt>
                <c:pt idx="47">
                  <c:v>25964.82</c:v>
                </c:pt>
                <c:pt idx="48">
                  <c:v>25415.19</c:v>
                </c:pt>
                <c:pt idx="49">
                  <c:v>24271.41</c:v>
                </c:pt>
                <c:pt idx="50">
                  <c:v>24415.84</c:v>
                </c:pt>
                <c:pt idx="51">
                  <c:v>24163.15</c:v>
                </c:pt>
                <c:pt idx="52">
                  <c:v>24103.11</c:v>
                </c:pt>
                <c:pt idx="53">
                  <c:v>25029.200000000001</c:v>
                </c:pt>
                <c:pt idx="54">
                  <c:v>26149.39</c:v>
                </c:pt>
                <c:pt idx="55">
                  <c:v>24719.22</c:v>
                </c:pt>
                <c:pt idx="56">
                  <c:v>24272.35</c:v>
                </c:pt>
                <c:pt idx="57">
                  <c:v>23377.24</c:v>
                </c:pt>
                <c:pt idx="58">
                  <c:v>22405.09</c:v>
                </c:pt>
                <c:pt idx="59">
                  <c:v>21948.1</c:v>
                </c:pt>
                <c:pt idx="60">
                  <c:v>21891.119999999999</c:v>
                </c:pt>
                <c:pt idx="61">
                  <c:v>21349.63</c:v>
                </c:pt>
                <c:pt idx="62">
                  <c:v>21008.65</c:v>
                </c:pt>
                <c:pt idx="63">
                  <c:v>20940.509999999998</c:v>
                </c:pt>
                <c:pt idx="64">
                  <c:v>20663.22</c:v>
                </c:pt>
                <c:pt idx="65">
                  <c:v>20812.240000000002</c:v>
                </c:pt>
                <c:pt idx="66">
                  <c:v>19864.09</c:v>
                </c:pt>
                <c:pt idx="67">
                  <c:v>19762.599999999999</c:v>
                </c:pt>
                <c:pt idx="68">
                  <c:v>19123.580000000002</c:v>
                </c:pt>
                <c:pt idx="69">
                  <c:v>18142.419999999998</c:v>
                </c:pt>
                <c:pt idx="70">
                  <c:v>18308.150000000001</c:v>
                </c:pt>
                <c:pt idx="71">
                  <c:v>18400.88</c:v>
                </c:pt>
                <c:pt idx="72">
                  <c:v>18432.240000000002</c:v>
                </c:pt>
                <c:pt idx="73">
                  <c:v>17929.990000000002</c:v>
                </c:pt>
                <c:pt idx="74">
                  <c:v>17787.2</c:v>
                </c:pt>
                <c:pt idx="75">
                  <c:v>17773.64</c:v>
                </c:pt>
                <c:pt idx="76">
                  <c:v>17685.09</c:v>
                </c:pt>
                <c:pt idx="77">
                  <c:v>16516.5</c:v>
                </c:pt>
                <c:pt idx="78">
                  <c:v>16466.3</c:v>
                </c:pt>
                <c:pt idx="79">
                  <c:v>17425.03</c:v>
                </c:pt>
                <c:pt idx="80">
                  <c:v>17719.919999999998</c:v>
                </c:pt>
                <c:pt idx="81">
                  <c:v>17663.54</c:v>
                </c:pt>
                <c:pt idx="82">
                  <c:v>16284.7</c:v>
                </c:pt>
                <c:pt idx="83">
                  <c:v>16528.03</c:v>
                </c:pt>
                <c:pt idx="84">
                  <c:v>17689.86</c:v>
                </c:pt>
                <c:pt idx="85">
                  <c:v>17619.509999999998</c:v>
                </c:pt>
                <c:pt idx="86">
                  <c:v>18010.68</c:v>
                </c:pt>
                <c:pt idx="87">
                  <c:v>17840.52</c:v>
                </c:pt>
                <c:pt idx="88">
                  <c:v>17776.12</c:v>
                </c:pt>
                <c:pt idx="89">
                  <c:v>18132.7</c:v>
                </c:pt>
                <c:pt idx="90">
                  <c:v>17164.95</c:v>
                </c:pt>
                <c:pt idx="91">
                  <c:v>17823.07</c:v>
                </c:pt>
                <c:pt idx="92">
                  <c:v>17828.240000000002</c:v>
                </c:pt>
                <c:pt idx="93">
                  <c:v>17390.52</c:v>
                </c:pt>
                <c:pt idx="94">
                  <c:v>17042.900000000001</c:v>
                </c:pt>
                <c:pt idx="95">
                  <c:v>17098.45</c:v>
                </c:pt>
                <c:pt idx="96">
                  <c:v>16563.3</c:v>
                </c:pt>
                <c:pt idx="97">
                  <c:v>16826.599999999999</c:v>
                </c:pt>
                <c:pt idx="98">
                  <c:v>16717.169999999998</c:v>
                </c:pt>
                <c:pt idx="99">
                  <c:v>16580.84</c:v>
                </c:pt>
                <c:pt idx="100">
                  <c:v>16457.66</c:v>
                </c:pt>
                <c:pt idx="101">
                  <c:v>16321.71</c:v>
                </c:pt>
                <c:pt idx="102">
                  <c:v>15698.85</c:v>
                </c:pt>
                <c:pt idx="103">
                  <c:v>16576.66</c:v>
                </c:pt>
                <c:pt idx="104">
                  <c:v>16086.41</c:v>
                </c:pt>
                <c:pt idx="105">
                  <c:v>15545.75</c:v>
                </c:pt>
                <c:pt idx="106">
                  <c:v>15129.67</c:v>
                </c:pt>
                <c:pt idx="107">
                  <c:v>14810.31</c:v>
                </c:pt>
                <c:pt idx="108">
                  <c:v>15499.54</c:v>
                </c:pt>
                <c:pt idx="109">
                  <c:v>14909.6</c:v>
                </c:pt>
                <c:pt idx="110">
                  <c:v>15115.57</c:v>
                </c:pt>
                <c:pt idx="111">
                  <c:v>14839.8</c:v>
                </c:pt>
                <c:pt idx="112">
                  <c:v>14578.54</c:v>
                </c:pt>
                <c:pt idx="113">
                  <c:v>14054.49</c:v>
                </c:pt>
                <c:pt idx="114">
                  <c:v>13860.58</c:v>
                </c:pt>
                <c:pt idx="115">
                  <c:v>13104.14</c:v>
                </c:pt>
                <c:pt idx="116">
                  <c:v>13025.58</c:v>
                </c:pt>
                <c:pt idx="117">
                  <c:v>13096.46</c:v>
                </c:pt>
                <c:pt idx="118">
                  <c:v>13437.13</c:v>
                </c:pt>
                <c:pt idx="119">
                  <c:v>13090.84</c:v>
                </c:pt>
                <c:pt idx="120">
                  <c:v>13008.68</c:v>
                </c:pt>
                <c:pt idx="121">
                  <c:v>12880.09</c:v>
                </c:pt>
                <c:pt idx="122">
                  <c:v>12393.45</c:v>
                </c:pt>
                <c:pt idx="123">
                  <c:v>13213.63</c:v>
                </c:pt>
                <c:pt idx="124">
                  <c:v>13212.04</c:v>
                </c:pt>
                <c:pt idx="125">
                  <c:v>12952.07</c:v>
                </c:pt>
                <c:pt idx="126">
                  <c:v>12632.91</c:v>
                </c:pt>
                <c:pt idx="127">
                  <c:v>12217.56</c:v>
                </c:pt>
                <c:pt idx="128">
                  <c:v>12045.68</c:v>
                </c:pt>
                <c:pt idx="129">
                  <c:v>11955.01</c:v>
                </c:pt>
                <c:pt idx="130">
                  <c:v>10913.38</c:v>
                </c:pt>
                <c:pt idx="131">
                  <c:v>11613.53</c:v>
                </c:pt>
                <c:pt idx="132">
                  <c:v>12143.24</c:v>
                </c:pt>
                <c:pt idx="133">
                  <c:v>12414.34</c:v>
                </c:pt>
                <c:pt idx="134">
                  <c:v>12569.79</c:v>
                </c:pt>
                <c:pt idx="135">
                  <c:v>12810.54</c:v>
                </c:pt>
                <c:pt idx="136">
                  <c:v>12319.73</c:v>
                </c:pt>
                <c:pt idx="137">
                  <c:v>12226.34</c:v>
                </c:pt>
                <c:pt idx="138">
                  <c:v>11891.93</c:v>
                </c:pt>
                <c:pt idx="139">
                  <c:v>11577.51</c:v>
                </c:pt>
                <c:pt idx="140">
                  <c:v>11006.02</c:v>
                </c:pt>
                <c:pt idx="141">
                  <c:v>11118.49</c:v>
                </c:pt>
                <c:pt idx="142">
                  <c:v>10788.05</c:v>
                </c:pt>
                <c:pt idx="143">
                  <c:v>10014.719999999999</c:v>
                </c:pt>
                <c:pt idx="144">
                  <c:v>10465.94</c:v>
                </c:pt>
                <c:pt idx="145">
                  <c:v>9774.02</c:v>
                </c:pt>
                <c:pt idx="146">
                  <c:v>10136.629999999999</c:v>
                </c:pt>
                <c:pt idx="147">
                  <c:v>11008.61</c:v>
                </c:pt>
                <c:pt idx="148">
                  <c:v>10856.63</c:v>
                </c:pt>
                <c:pt idx="149">
                  <c:v>10325.26</c:v>
                </c:pt>
                <c:pt idx="150">
                  <c:v>10067.33</c:v>
                </c:pt>
                <c:pt idx="151">
                  <c:v>10428.049999999999</c:v>
                </c:pt>
                <c:pt idx="152">
                  <c:v>10344.84</c:v>
                </c:pt>
                <c:pt idx="153">
                  <c:v>9712.73</c:v>
                </c:pt>
                <c:pt idx="154">
                  <c:v>9712.2800000000007</c:v>
                </c:pt>
                <c:pt idx="155">
                  <c:v>9496.2800000000007</c:v>
                </c:pt>
                <c:pt idx="156">
                  <c:v>9171.61</c:v>
                </c:pt>
                <c:pt idx="157">
                  <c:v>8447</c:v>
                </c:pt>
                <c:pt idx="158">
                  <c:v>8500.33</c:v>
                </c:pt>
                <c:pt idx="159">
                  <c:v>8168.12</c:v>
                </c:pt>
                <c:pt idx="160">
                  <c:v>7608.92</c:v>
                </c:pt>
                <c:pt idx="161">
                  <c:v>7062.93</c:v>
                </c:pt>
                <c:pt idx="162">
                  <c:v>8000.86</c:v>
                </c:pt>
                <c:pt idx="163">
                  <c:v>8776.39</c:v>
                </c:pt>
                <c:pt idx="164">
                  <c:v>8829.0400000000009</c:v>
                </c:pt>
                <c:pt idx="165">
                  <c:v>9325.01</c:v>
                </c:pt>
                <c:pt idx="166">
                  <c:v>10850.66</c:v>
                </c:pt>
                <c:pt idx="167">
                  <c:v>11543.55</c:v>
                </c:pt>
                <c:pt idx="168">
                  <c:v>11378.02</c:v>
                </c:pt>
                <c:pt idx="169">
                  <c:v>11350.01</c:v>
                </c:pt>
                <c:pt idx="170">
                  <c:v>12638.32</c:v>
                </c:pt>
                <c:pt idx="171">
                  <c:v>12820.13</c:v>
                </c:pt>
                <c:pt idx="172">
                  <c:v>12262.89</c:v>
                </c:pt>
                <c:pt idx="173">
                  <c:v>12266.39</c:v>
                </c:pt>
                <c:pt idx="174">
                  <c:v>12650.36</c:v>
                </c:pt>
                <c:pt idx="175">
                  <c:v>13264.82</c:v>
                </c:pt>
                <c:pt idx="176">
                  <c:v>13371.72</c:v>
                </c:pt>
                <c:pt idx="177">
                  <c:v>13930.01</c:v>
                </c:pt>
                <c:pt idx="178">
                  <c:v>13895.63</c:v>
                </c:pt>
                <c:pt idx="179">
                  <c:v>13357.74</c:v>
                </c:pt>
                <c:pt idx="180">
                  <c:v>13211.99</c:v>
                </c:pt>
                <c:pt idx="181">
                  <c:v>13408.62</c:v>
                </c:pt>
                <c:pt idx="182">
                  <c:v>13627.64</c:v>
                </c:pt>
                <c:pt idx="183">
                  <c:v>13062.91</c:v>
                </c:pt>
                <c:pt idx="184">
                  <c:v>12354.35</c:v>
                </c:pt>
                <c:pt idx="185">
                  <c:v>12268.63</c:v>
                </c:pt>
                <c:pt idx="186">
                  <c:v>12621.69</c:v>
                </c:pt>
                <c:pt idx="187">
                  <c:v>12463.15</c:v>
                </c:pt>
                <c:pt idx="188">
                  <c:v>12221.93</c:v>
                </c:pt>
                <c:pt idx="189">
                  <c:v>12080.73</c:v>
                </c:pt>
                <c:pt idx="190">
                  <c:v>11679.07</c:v>
                </c:pt>
                <c:pt idx="191">
                  <c:v>11381.15</c:v>
                </c:pt>
                <c:pt idx="192">
                  <c:v>11185.68</c:v>
                </c:pt>
                <c:pt idx="193">
                  <c:v>11150.22</c:v>
                </c:pt>
                <c:pt idx="194">
                  <c:v>11168.31</c:v>
                </c:pt>
                <c:pt idx="195">
                  <c:v>11367.14</c:v>
                </c:pt>
                <c:pt idx="196">
                  <c:v>11109.32</c:v>
                </c:pt>
                <c:pt idx="197">
                  <c:v>10993.41</c:v>
                </c:pt>
                <c:pt idx="198">
                  <c:v>10864.86</c:v>
                </c:pt>
                <c:pt idx="199">
                  <c:v>10717.5</c:v>
                </c:pt>
                <c:pt idx="200">
                  <c:v>10805.87</c:v>
                </c:pt>
                <c:pt idx="201">
                  <c:v>10440.07</c:v>
                </c:pt>
                <c:pt idx="202">
                  <c:v>10568.7</c:v>
                </c:pt>
                <c:pt idx="203">
                  <c:v>10481.6</c:v>
                </c:pt>
                <c:pt idx="204">
                  <c:v>10640.91</c:v>
                </c:pt>
                <c:pt idx="205">
                  <c:v>10274.969999999999</c:v>
                </c:pt>
                <c:pt idx="206">
                  <c:v>10467.48</c:v>
                </c:pt>
                <c:pt idx="207">
                  <c:v>10192.51</c:v>
                </c:pt>
                <c:pt idx="208">
                  <c:v>10503.76</c:v>
                </c:pt>
                <c:pt idx="209">
                  <c:v>10766.23</c:v>
                </c:pt>
                <c:pt idx="210">
                  <c:v>10489.94</c:v>
                </c:pt>
                <c:pt idx="211">
                  <c:v>10783.01</c:v>
                </c:pt>
                <c:pt idx="212">
                  <c:v>10428.02</c:v>
                </c:pt>
                <c:pt idx="213">
                  <c:v>10027.469999999999</c:v>
                </c:pt>
                <c:pt idx="214">
                  <c:v>10080.27</c:v>
                </c:pt>
                <c:pt idx="215">
                  <c:v>10173.92</c:v>
                </c:pt>
                <c:pt idx="216">
                  <c:v>10139.709999999999</c:v>
                </c:pt>
                <c:pt idx="217">
                  <c:v>10435.48</c:v>
                </c:pt>
                <c:pt idx="218">
                  <c:v>10188.450000000001</c:v>
                </c:pt>
                <c:pt idx="219">
                  <c:v>10225.57</c:v>
                </c:pt>
                <c:pt idx="220">
                  <c:v>10357.700000000001</c:v>
                </c:pt>
                <c:pt idx="221">
                  <c:v>10583.92</c:v>
                </c:pt>
                <c:pt idx="222">
                  <c:v>10488.07</c:v>
                </c:pt>
                <c:pt idx="223">
                  <c:v>10453.92</c:v>
                </c:pt>
                <c:pt idx="224">
                  <c:v>9782.4599999999991</c:v>
                </c:pt>
                <c:pt idx="225">
                  <c:v>9801.1200000000008</c:v>
                </c:pt>
                <c:pt idx="226">
                  <c:v>9275.06</c:v>
                </c:pt>
                <c:pt idx="227">
                  <c:v>9415.82</c:v>
                </c:pt>
                <c:pt idx="228">
                  <c:v>9233.7999999999993</c:v>
                </c:pt>
                <c:pt idx="229">
                  <c:v>8985.44</c:v>
                </c:pt>
                <c:pt idx="230">
                  <c:v>8850.26</c:v>
                </c:pt>
                <c:pt idx="231">
                  <c:v>8480.09</c:v>
                </c:pt>
                <c:pt idx="232">
                  <c:v>7992.13</c:v>
                </c:pt>
                <c:pt idx="233">
                  <c:v>7891.08</c:v>
                </c:pt>
                <c:pt idx="234">
                  <c:v>8053.81</c:v>
                </c:pt>
                <c:pt idx="235">
                  <c:v>8341.6299999999992</c:v>
                </c:pt>
                <c:pt idx="236">
                  <c:v>8896.09</c:v>
                </c:pt>
                <c:pt idx="237">
                  <c:v>8397.0300000000007</c:v>
                </c:pt>
                <c:pt idx="238">
                  <c:v>7591.93</c:v>
                </c:pt>
                <c:pt idx="239">
                  <c:v>8663.5</c:v>
                </c:pt>
                <c:pt idx="240">
                  <c:v>8736.59</c:v>
                </c:pt>
                <c:pt idx="241">
                  <c:v>9243.26</c:v>
                </c:pt>
                <c:pt idx="242">
                  <c:v>9925.25</c:v>
                </c:pt>
                <c:pt idx="243">
                  <c:v>9946.2199999999993</c:v>
                </c:pt>
                <c:pt idx="244">
                  <c:v>10403.94</c:v>
                </c:pt>
                <c:pt idx="245">
                  <c:v>10106.129999999999</c:v>
                </c:pt>
                <c:pt idx="246">
                  <c:v>9920</c:v>
                </c:pt>
                <c:pt idx="247">
                  <c:v>10021.57</c:v>
                </c:pt>
                <c:pt idx="248">
                  <c:v>9851.56</c:v>
                </c:pt>
                <c:pt idx="249">
                  <c:v>9075.14</c:v>
                </c:pt>
                <c:pt idx="250">
                  <c:v>8847.56</c:v>
                </c:pt>
                <c:pt idx="251">
                  <c:v>9949.75</c:v>
                </c:pt>
                <c:pt idx="252">
                  <c:v>10522.81</c:v>
                </c:pt>
                <c:pt idx="253">
                  <c:v>10502.4</c:v>
                </c:pt>
                <c:pt idx="254">
                  <c:v>10911.94</c:v>
                </c:pt>
                <c:pt idx="255">
                  <c:v>10734.97</c:v>
                </c:pt>
                <c:pt idx="256">
                  <c:v>9878.7800000000007</c:v>
                </c:pt>
                <c:pt idx="257">
                  <c:v>10495.28</c:v>
                </c:pt>
                <c:pt idx="258">
                  <c:v>10887.36</c:v>
                </c:pt>
                <c:pt idx="259">
                  <c:v>10786.85</c:v>
                </c:pt>
                <c:pt idx="260">
                  <c:v>10414.49</c:v>
                </c:pt>
                <c:pt idx="261">
                  <c:v>10971.14</c:v>
                </c:pt>
                <c:pt idx="262">
                  <c:v>10650.92</c:v>
                </c:pt>
                <c:pt idx="263">
                  <c:v>11215.1</c:v>
                </c:pt>
                <c:pt idx="264">
                  <c:v>10521.98</c:v>
                </c:pt>
                <c:pt idx="265">
                  <c:v>10447.9</c:v>
                </c:pt>
                <c:pt idx="266">
                  <c:v>10522.34</c:v>
                </c:pt>
                <c:pt idx="267">
                  <c:v>10733.91</c:v>
                </c:pt>
                <c:pt idx="268">
                  <c:v>10921.93</c:v>
                </c:pt>
                <c:pt idx="269">
                  <c:v>10128.31</c:v>
                </c:pt>
                <c:pt idx="270">
                  <c:v>10940.53</c:v>
                </c:pt>
                <c:pt idx="271">
                  <c:v>11497.12</c:v>
                </c:pt>
                <c:pt idx="272">
                  <c:v>10877.81</c:v>
                </c:pt>
                <c:pt idx="273">
                  <c:v>10729.87</c:v>
                </c:pt>
                <c:pt idx="274">
                  <c:v>10336.959999999999</c:v>
                </c:pt>
                <c:pt idx="275">
                  <c:v>10829.28</c:v>
                </c:pt>
                <c:pt idx="276">
                  <c:v>10655.15</c:v>
                </c:pt>
                <c:pt idx="277">
                  <c:v>10970.81</c:v>
                </c:pt>
                <c:pt idx="278">
                  <c:v>10559.74</c:v>
                </c:pt>
                <c:pt idx="279">
                  <c:v>10789.04</c:v>
                </c:pt>
                <c:pt idx="280">
                  <c:v>9786.16</c:v>
                </c:pt>
                <c:pt idx="281">
                  <c:v>9306.57</c:v>
                </c:pt>
                <c:pt idx="282">
                  <c:v>9358.83</c:v>
                </c:pt>
                <c:pt idx="283">
                  <c:v>9181.43</c:v>
                </c:pt>
                <c:pt idx="284">
                  <c:v>9116.5499999999993</c:v>
                </c:pt>
                <c:pt idx="285">
                  <c:v>8592.11</c:v>
                </c:pt>
                <c:pt idx="286">
                  <c:v>7842.62</c:v>
                </c:pt>
                <c:pt idx="287">
                  <c:v>7539.07</c:v>
                </c:pt>
                <c:pt idx="288">
                  <c:v>8883.2900000000009</c:v>
                </c:pt>
                <c:pt idx="289">
                  <c:v>8952.01</c:v>
                </c:pt>
                <c:pt idx="290">
                  <c:v>8899.9500000000007</c:v>
                </c:pt>
                <c:pt idx="291">
                  <c:v>9063.36</c:v>
                </c:pt>
                <c:pt idx="292">
                  <c:v>8799.81</c:v>
                </c:pt>
                <c:pt idx="293">
                  <c:v>8545.7199999999993</c:v>
                </c:pt>
                <c:pt idx="294">
                  <c:v>7906.5</c:v>
                </c:pt>
                <c:pt idx="295">
                  <c:v>7908.24</c:v>
                </c:pt>
                <c:pt idx="296">
                  <c:v>7823.1</c:v>
                </c:pt>
                <c:pt idx="297">
                  <c:v>7442.08</c:v>
                </c:pt>
                <c:pt idx="298">
                  <c:v>7945.3</c:v>
                </c:pt>
                <c:pt idx="299">
                  <c:v>7622.42</c:v>
                </c:pt>
                <c:pt idx="300">
                  <c:v>8222.61</c:v>
                </c:pt>
                <c:pt idx="301">
                  <c:v>7672.8</c:v>
                </c:pt>
                <c:pt idx="302">
                  <c:v>7331.04</c:v>
                </c:pt>
                <c:pt idx="303">
                  <c:v>7008.99</c:v>
                </c:pt>
                <c:pt idx="304">
                  <c:v>6583.48</c:v>
                </c:pt>
                <c:pt idx="305">
                  <c:v>6877.74</c:v>
                </c:pt>
                <c:pt idx="306">
                  <c:v>6813.09</c:v>
                </c:pt>
                <c:pt idx="307">
                  <c:v>6448.27</c:v>
                </c:pt>
                <c:pt idx="308">
                  <c:v>6521.7</c:v>
                </c:pt>
                <c:pt idx="309">
                  <c:v>6029.38</c:v>
                </c:pt>
                <c:pt idx="310">
                  <c:v>5882.17</c:v>
                </c:pt>
                <c:pt idx="311">
                  <c:v>5616.2</c:v>
                </c:pt>
                <c:pt idx="312">
                  <c:v>5528.91</c:v>
                </c:pt>
                <c:pt idx="313">
                  <c:v>5654.63</c:v>
                </c:pt>
                <c:pt idx="314">
                  <c:v>5643.17</c:v>
                </c:pt>
                <c:pt idx="315">
                  <c:v>5569.07</c:v>
                </c:pt>
                <c:pt idx="316">
                  <c:v>5587.14</c:v>
                </c:pt>
                <c:pt idx="317">
                  <c:v>5485.62</c:v>
                </c:pt>
                <c:pt idx="318">
                  <c:v>5395.3</c:v>
                </c:pt>
                <c:pt idx="319">
                  <c:v>5117.12</c:v>
                </c:pt>
                <c:pt idx="320">
                  <c:v>5074.49</c:v>
                </c:pt>
                <c:pt idx="321">
                  <c:v>4755.4799999999996</c:v>
                </c:pt>
                <c:pt idx="322">
                  <c:v>4789.08</c:v>
                </c:pt>
                <c:pt idx="323">
                  <c:v>4610.5600000000004</c:v>
                </c:pt>
                <c:pt idx="324">
                  <c:v>4708.47</c:v>
                </c:pt>
                <c:pt idx="325">
                  <c:v>4556.09</c:v>
                </c:pt>
                <c:pt idx="326">
                  <c:v>4465.1400000000003</c:v>
                </c:pt>
                <c:pt idx="327">
                  <c:v>4321.2700000000004</c:v>
                </c:pt>
                <c:pt idx="328">
                  <c:v>4157.6899999999996</c:v>
                </c:pt>
                <c:pt idx="329">
                  <c:v>4011.05</c:v>
                </c:pt>
                <c:pt idx="330">
                  <c:v>3843.86</c:v>
                </c:pt>
                <c:pt idx="331">
                  <c:v>3834.44</c:v>
                </c:pt>
                <c:pt idx="332">
                  <c:v>3739.22</c:v>
                </c:pt>
                <c:pt idx="333">
                  <c:v>3908.12</c:v>
                </c:pt>
                <c:pt idx="334">
                  <c:v>3843.18</c:v>
                </c:pt>
                <c:pt idx="335">
                  <c:v>3913.42</c:v>
                </c:pt>
                <c:pt idx="336">
                  <c:v>3764.5</c:v>
                </c:pt>
                <c:pt idx="337">
                  <c:v>3624.96</c:v>
                </c:pt>
                <c:pt idx="338">
                  <c:v>3758.37</c:v>
                </c:pt>
                <c:pt idx="339">
                  <c:v>3681.69</c:v>
                </c:pt>
                <c:pt idx="340">
                  <c:v>3635.96</c:v>
                </c:pt>
                <c:pt idx="341">
                  <c:v>3832.02</c:v>
                </c:pt>
                <c:pt idx="342">
                  <c:v>3978.36</c:v>
                </c:pt>
                <c:pt idx="343">
                  <c:v>3754.09</c:v>
                </c:pt>
                <c:pt idx="344">
                  <c:v>3683.95</c:v>
                </c:pt>
                <c:pt idx="345">
                  <c:v>3680.59</c:v>
                </c:pt>
                <c:pt idx="346">
                  <c:v>3555.12</c:v>
                </c:pt>
                <c:pt idx="347">
                  <c:v>3651.25</c:v>
                </c:pt>
                <c:pt idx="348">
                  <c:v>3539.47</c:v>
                </c:pt>
                <c:pt idx="349">
                  <c:v>3516.08</c:v>
                </c:pt>
                <c:pt idx="350">
                  <c:v>3527.43</c:v>
                </c:pt>
                <c:pt idx="351">
                  <c:v>3427.55</c:v>
                </c:pt>
                <c:pt idx="352">
                  <c:v>3435.11</c:v>
                </c:pt>
                <c:pt idx="353">
                  <c:v>3370.81</c:v>
                </c:pt>
                <c:pt idx="354">
                  <c:v>3310</c:v>
                </c:pt>
                <c:pt idx="355">
                  <c:v>3301.11</c:v>
                </c:pt>
                <c:pt idx="356">
                  <c:v>3305.2</c:v>
                </c:pt>
                <c:pt idx="357">
                  <c:v>3226.28</c:v>
                </c:pt>
                <c:pt idx="358">
                  <c:v>3271.66</c:v>
                </c:pt>
                <c:pt idx="359">
                  <c:v>3257.4</c:v>
                </c:pt>
                <c:pt idx="360">
                  <c:v>3393.78</c:v>
                </c:pt>
                <c:pt idx="361">
                  <c:v>3318.52</c:v>
                </c:pt>
                <c:pt idx="362">
                  <c:v>3396.88</c:v>
                </c:pt>
                <c:pt idx="363">
                  <c:v>3359.12</c:v>
                </c:pt>
                <c:pt idx="364">
                  <c:v>3235.5</c:v>
                </c:pt>
                <c:pt idx="365">
                  <c:v>3267.7</c:v>
                </c:pt>
                <c:pt idx="366">
                  <c:v>3223.4</c:v>
                </c:pt>
                <c:pt idx="367">
                  <c:v>3168.83</c:v>
                </c:pt>
                <c:pt idx="368">
                  <c:v>2894.68</c:v>
                </c:pt>
                <c:pt idx="369">
                  <c:v>3069.1</c:v>
                </c:pt>
                <c:pt idx="370">
                  <c:v>3016.77</c:v>
                </c:pt>
                <c:pt idx="371">
                  <c:v>3043.6</c:v>
                </c:pt>
                <c:pt idx="372">
                  <c:v>3024.82</c:v>
                </c:pt>
                <c:pt idx="373">
                  <c:v>2906.75</c:v>
                </c:pt>
                <c:pt idx="374">
                  <c:v>3027.5</c:v>
                </c:pt>
                <c:pt idx="375">
                  <c:v>2887.87</c:v>
                </c:pt>
                <c:pt idx="376">
                  <c:v>2913.86</c:v>
                </c:pt>
                <c:pt idx="377">
                  <c:v>2882.18</c:v>
                </c:pt>
                <c:pt idx="378">
                  <c:v>2736.39</c:v>
                </c:pt>
                <c:pt idx="379">
                  <c:v>2633.66</c:v>
                </c:pt>
                <c:pt idx="380">
                  <c:v>2559.65</c:v>
                </c:pt>
                <c:pt idx="381">
                  <c:v>2442.33</c:v>
                </c:pt>
                <c:pt idx="382">
                  <c:v>2452.48</c:v>
                </c:pt>
                <c:pt idx="383">
                  <c:v>2614.36</c:v>
                </c:pt>
                <c:pt idx="384">
                  <c:v>2905.2</c:v>
                </c:pt>
                <c:pt idx="385">
                  <c:v>2880.69</c:v>
                </c:pt>
                <c:pt idx="386">
                  <c:v>2876.66</c:v>
                </c:pt>
                <c:pt idx="387">
                  <c:v>2656.76</c:v>
                </c:pt>
                <c:pt idx="388">
                  <c:v>2707.21</c:v>
                </c:pt>
                <c:pt idx="389">
                  <c:v>2627.25</c:v>
                </c:pt>
                <c:pt idx="390">
                  <c:v>2590.54</c:v>
                </c:pt>
                <c:pt idx="391">
                  <c:v>2753.2</c:v>
                </c:pt>
                <c:pt idx="392">
                  <c:v>2706.27</c:v>
                </c:pt>
                <c:pt idx="393">
                  <c:v>2645.08</c:v>
                </c:pt>
                <c:pt idx="394">
                  <c:v>2692.82</c:v>
                </c:pt>
                <c:pt idx="395">
                  <c:v>2737.27</c:v>
                </c:pt>
                <c:pt idx="396">
                  <c:v>2660.66</c:v>
                </c:pt>
                <c:pt idx="397">
                  <c:v>2440.06</c:v>
                </c:pt>
                <c:pt idx="398">
                  <c:v>2480.15</c:v>
                </c:pt>
                <c:pt idx="399">
                  <c:v>2418.8000000000002</c:v>
                </c:pt>
                <c:pt idx="400">
                  <c:v>2293.62</c:v>
                </c:pt>
                <c:pt idx="401">
                  <c:v>2258.39</c:v>
                </c:pt>
                <c:pt idx="402">
                  <c:v>2342.3200000000002</c:v>
                </c:pt>
                <c:pt idx="403">
                  <c:v>2168.5700000000002</c:v>
                </c:pt>
                <c:pt idx="404">
                  <c:v>2114.5100000000002</c:v>
                </c:pt>
                <c:pt idx="405">
                  <c:v>2148.65</c:v>
                </c:pt>
                <c:pt idx="406">
                  <c:v>2112.91</c:v>
                </c:pt>
                <c:pt idx="407">
                  <c:v>2031.65</c:v>
                </c:pt>
                <c:pt idx="408">
                  <c:v>2128.73</c:v>
                </c:pt>
                <c:pt idx="409">
                  <c:v>2141.71</c:v>
                </c:pt>
                <c:pt idx="410">
                  <c:v>2031.12</c:v>
                </c:pt>
                <c:pt idx="411">
                  <c:v>2032.33</c:v>
                </c:pt>
                <c:pt idx="412">
                  <c:v>1988.06</c:v>
                </c:pt>
                <c:pt idx="413">
                  <c:v>2071.62</c:v>
                </c:pt>
                <c:pt idx="414">
                  <c:v>1958.22</c:v>
                </c:pt>
                <c:pt idx="415">
                  <c:v>1938.83</c:v>
                </c:pt>
                <c:pt idx="416">
                  <c:v>1833.55</c:v>
                </c:pt>
                <c:pt idx="417">
                  <c:v>1993.53</c:v>
                </c:pt>
                <c:pt idx="418">
                  <c:v>2596.2800000000002</c:v>
                </c:pt>
                <c:pt idx="419">
                  <c:v>2662.95</c:v>
                </c:pt>
                <c:pt idx="420">
                  <c:v>2572.0700000000002</c:v>
                </c:pt>
                <c:pt idx="421">
                  <c:v>2418.5300000000002</c:v>
                </c:pt>
                <c:pt idx="422">
                  <c:v>2291.5700000000002</c:v>
                </c:pt>
                <c:pt idx="423">
                  <c:v>2286.36</c:v>
                </c:pt>
                <c:pt idx="424">
                  <c:v>2304.69</c:v>
                </c:pt>
                <c:pt idx="425">
                  <c:v>2223.9899999999998</c:v>
                </c:pt>
                <c:pt idx="426">
                  <c:v>2158.04</c:v>
                </c:pt>
                <c:pt idx="427">
                  <c:v>1895.95</c:v>
                </c:pt>
                <c:pt idx="428">
                  <c:v>1914.23</c:v>
                </c:pt>
                <c:pt idx="429">
                  <c:v>1877.81</c:v>
                </c:pt>
                <c:pt idx="430">
                  <c:v>1767.58</c:v>
                </c:pt>
                <c:pt idx="431">
                  <c:v>1898.34</c:v>
                </c:pt>
                <c:pt idx="432">
                  <c:v>1775.31</c:v>
                </c:pt>
                <c:pt idx="433">
                  <c:v>1892.72</c:v>
                </c:pt>
                <c:pt idx="434">
                  <c:v>1876.71</c:v>
                </c:pt>
                <c:pt idx="435">
                  <c:v>1783.98</c:v>
                </c:pt>
                <c:pt idx="436">
                  <c:v>1818.61</c:v>
                </c:pt>
                <c:pt idx="437">
                  <c:v>1709.06</c:v>
                </c:pt>
                <c:pt idx="438">
                  <c:v>1570.99</c:v>
                </c:pt>
                <c:pt idx="439">
                  <c:v>1546.67</c:v>
                </c:pt>
                <c:pt idx="440">
                  <c:v>1472.13</c:v>
                </c:pt>
                <c:pt idx="441">
                  <c:v>1374.31</c:v>
                </c:pt>
                <c:pt idx="442">
                  <c:v>1328.63</c:v>
                </c:pt>
                <c:pt idx="443">
                  <c:v>1334.01</c:v>
                </c:pt>
                <c:pt idx="444">
                  <c:v>1347.45</c:v>
                </c:pt>
                <c:pt idx="445">
                  <c:v>1335.46</c:v>
                </c:pt>
                <c:pt idx="446">
                  <c:v>1315.41</c:v>
                </c:pt>
                <c:pt idx="447">
                  <c:v>1258.06</c:v>
                </c:pt>
                <c:pt idx="448">
                  <c:v>1266.78</c:v>
                </c:pt>
                <c:pt idx="449">
                  <c:v>1284.01</c:v>
                </c:pt>
                <c:pt idx="450">
                  <c:v>1286.77</c:v>
                </c:pt>
                <c:pt idx="451">
                  <c:v>1211.57</c:v>
                </c:pt>
                <c:pt idx="452">
                  <c:v>1188.94</c:v>
                </c:pt>
                <c:pt idx="453">
                  <c:v>1207.3800000000001</c:v>
                </c:pt>
                <c:pt idx="454">
                  <c:v>1206.71</c:v>
                </c:pt>
                <c:pt idx="455">
                  <c:v>1224.3800000000001</c:v>
                </c:pt>
                <c:pt idx="456">
                  <c:v>1115.28</c:v>
                </c:pt>
                <c:pt idx="457">
                  <c:v>1132.4000000000001</c:v>
                </c:pt>
                <c:pt idx="458">
                  <c:v>1104.8499999999999</c:v>
                </c:pt>
                <c:pt idx="459">
                  <c:v>1170.75</c:v>
                </c:pt>
                <c:pt idx="460">
                  <c:v>1164.8900000000001</c:v>
                </c:pt>
                <c:pt idx="461">
                  <c:v>1154.6300000000001</c:v>
                </c:pt>
                <c:pt idx="462">
                  <c:v>1220.58</c:v>
                </c:pt>
                <c:pt idx="463">
                  <c:v>1258.6400000000001</c:v>
                </c:pt>
                <c:pt idx="464">
                  <c:v>1276.02</c:v>
                </c:pt>
                <c:pt idx="465">
                  <c:v>1225.2</c:v>
                </c:pt>
                <c:pt idx="466">
                  <c:v>1233.1300000000001</c:v>
                </c:pt>
                <c:pt idx="467">
                  <c:v>1216.1600000000001</c:v>
                </c:pt>
                <c:pt idx="468">
                  <c:v>1199.22</c:v>
                </c:pt>
                <c:pt idx="469">
                  <c:v>1221.96</c:v>
                </c:pt>
                <c:pt idx="470">
                  <c:v>1199.98</c:v>
                </c:pt>
                <c:pt idx="471">
                  <c:v>1226.2</c:v>
                </c:pt>
                <c:pt idx="472">
                  <c:v>1130.03</c:v>
                </c:pt>
                <c:pt idx="473">
                  <c:v>1112.6199999999999</c:v>
                </c:pt>
                <c:pt idx="474">
                  <c:v>1075.7</c:v>
                </c:pt>
                <c:pt idx="475">
                  <c:v>1046.54</c:v>
                </c:pt>
                <c:pt idx="476">
                  <c:v>1039.28</c:v>
                </c:pt>
                <c:pt idx="477" formatCode="General">
                  <c:v>991.72</c:v>
                </c:pt>
                <c:pt idx="478" formatCode="General">
                  <c:v>896.25</c:v>
                </c:pt>
                <c:pt idx="479" formatCode="General">
                  <c:v>901.31</c:v>
                </c:pt>
                <c:pt idx="480" formatCode="General">
                  <c:v>808.6</c:v>
                </c:pt>
                <c:pt idx="481" formatCode="General">
                  <c:v>811.93</c:v>
                </c:pt>
                <c:pt idx="482" formatCode="General">
                  <c:v>819.54</c:v>
                </c:pt>
                <c:pt idx="483" formatCode="General">
                  <c:v>848.36</c:v>
                </c:pt>
                <c:pt idx="484" formatCode="General">
                  <c:v>822.77</c:v>
                </c:pt>
                <c:pt idx="485" formatCode="General">
                  <c:v>824.39</c:v>
                </c:pt>
                <c:pt idx="486" formatCode="General">
                  <c:v>871.1</c:v>
                </c:pt>
                <c:pt idx="487" formatCode="General">
                  <c:v>875</c:v>
                </c:pt>
                <c:pt idx="488" formatCode="General">
                  <c:v>888.98</c:v>
                </c:pt>
                <c:pt idx="489" formatCode="General">
                  <c:v>852.55</c:v>
                </c:pt>
                <c:pt idx="490" formatCode="General">
                  <c:v>849.98</c:v>
                </c:pt>
                <c:pt idx="491" formatCode="General">
                  <c:v>881.47</c:v>
                </c:pt>
                <c:pt idx="492" formatCode="General">
                  <c:v>952.34</c:v>
                </c:pt>
                <c:pt idx="493" formatCode="General">
                  <c:v>976.88</c:v>
                </c:pt>
                <c:pt idx="494" formatCode="General">
                  <c:v>991.75</c:v>
                </c:pt>
                <c:pt idx="495" formatCode="General">
                  <c:v>997.75</c:v>
                </c:pt>
                <c:pt idx="496">
                  <c:v>1003.87</c:v>
                </c:pt>
                <c:pt idx="497" formatCode="General">
                  <c:v>974.58</c:v>
                </c:pt>
                <c:pt idx="498" formatCode="General">
                  <c:v>947.27</c:v>
                </c:pt>
                <c:pt idx="499" formatCode="General">
                  <c:v>963.99</c:v>
                </c:pt>
                <c:pt idx="500" formatCode="General">
                  <c:v>993.34</c:v>
                </c:pt>
                <c:pt idx="501" formatCode="General">
                  <c:v>924.49</c:v>
                </c:pt>
                <c:pt idx="502" formatCode="General">
                  <c:v>932.42</c:v>
                </c:pt>
                <c:pt idx="503" formatCode="General">
                  <c:v>932.59</c:v>
                </c:pt>
                <c:pt idx="504" formatCode="General">
                  <c:v>935.32</c:v>
                </c:pt>
                <c:pt idx="505" formatCode="General">
                  <c:v>867.92</c:v>
                </c:pt>
                <c:pt idx="506" formatCode="General">
                  <c:v>850.85</c:v>
                </c:pt>
                <c:pt idx="507" formatCode="General">
                  <c:v>817.06</c:v>
                </c:pt>
                <c:pt idx="508" formatCode="General">
                  <c:v>785.75</c:v>
                </c:pt>
                <c:pt idx="509" formatCode="General">
                  <c:v>863.14</c:v>
                </c:pt>
                <c:pt idx="510" formatCode="General">
                  <c:v>875.85</c:v>
                </c:pt>
                <c:pt idx="511" formatCode="General">
                  <c:v>838.74</c:v>
                </c:pt>
                <c:pt idx="512" formatCode="General">
                  <c:v>822.35</c:v>
                </c:pt>
                <c:pt idx="513" formatCode="General">
                  <c:v>815.7</c:v>
                </c:pt>
                <c:pt idx="514" formatCode="General">
                  <c:v>878.58</c:v>
                </c:pt>
                <c:pt idx="515" formatCode="General">
                  <c:v>887.63</c:v>
                </c:pt>
                <c:pt idx="516" formatCode="General">
                  <c:v>846.42</c:v>
                </c:pt>
                <c:pt idx="517" formatCode="General">
                  <c:v>841.98</c:v>
                </c:pt>
                <c:pt idx="518" formatCode="General">
                  <c:v>822.33</c:v>
                </c:pt>
                <c:pt idx="519" formatCode="General">
                  <c:v>854.9</c:v>
                </c:pt>
                <c:pt idx="520" formatCode="General">
                  <c:v>862.18</c:v>
                </c:pt>
                <c:pt idx="521" formatCode="General">
                  <c:v>808.82</c:v>
                </c:pt>
                <c:pt idx="522" formatCode="General">
                  <c:v>839.22</c:v>
                </c:pt>
                <c:pt idx="523" formatCode="General">
                  <c:v>805.01</c:v>
                </c:pt>
                <c:pt idx="524" formatCode="General">
                  <c:v>799.03</c:v>
                </c:pt>
                <c:pt idx="525" formatCode="General">
                  <c:v>792.45</c:v>
                </c:pt>
                <c:pt idx="526" formatCode="General">
                  <c:v>865.82</c:v>
                </c:pt>
                <c:pt idx="527" formatCode="General">
                  <c:v>876.82</c:v>
                </c:pt>
                <c:pt idx="528" formatCode="General">
                  <c:v>862.27</c:v>
                </c:pt>
                <c:pt idx="529" formatCode="General">
                  <c:v>818.95</c:v>
                </c:pt>
                <c:pt idx="530" formatCode="General">
                  <c:v>840.61</c:v>
                </c:pt>
                <c:pt idx="531" formatCode="General">
                  <c:v>837.32</c:v>
                </c:pt>
                <c:pt idx="532" formatCode="General">
                  <c:v>757.36</c:v>
                </c:pt>
                <c:pt idx="533" formatCode="General">
                  <c:v>742.12</c:v>
                </c:pt>
                <c:pt idx="534" formatCode="General">
                  <c:v>769.92</c:v>
                </c:pt>
                <c:pt idx="535" formatCode="General">
                  <c:v>831.17</c:v>
                </c:pt>
                <c:pt idx="536" formatCode="General">
                  <c:v>829.7</c:v>
                </c:pt>
                <c:pt idx="537" formatCode="General">
                  <c:v>818.35</c:v>
                </c:pt>
                <c:pt idx="538" formatCode="General">
                  <c:v>847.11</c:v>
                </c:pt>
                <c:pt idx="539" formatCode="General">
                  <c:v>861.49</c:v>
                </c:pt>
                <c:pt idx="540" formatCode="General">
                  <c:v>890.07</c:v>
                </c:pt>
                <c:pt idx="541" formatCode="General">
                  <c:v>916.3</c:v>
                </c:pt>
                <c:pt idx="542" formatCode="General">
                  <c:v>898.66</c:v>
                </c:pt>
                <c:pt idx="543" formatCode="General">
                  <c:v>926.9</c:v>
                </c:pt>
                <c:pt idx="544" formatCode="General">
                  <c:v>919.13</c:v>
                </c:pt>
                <c:pt idx="545" formatCode="General">
                  <c:v>936.42</c:v>
                </c:pt>
                <c:pt idx="546" formatCode="General">
                  <c:v>954.37</c:v>
                </c:pt>
                <c:pt idx="547">
                  <c:v>1004.65</c:v>
                </c:pt>
                <c:pt idx="548" formatCode="General">
                  <c:v>947.22</c:v>
                </c:pt>
                <c:pt idx="549" formatCode="General">
                  <c:v>964.93</c:v>
                </c:pt>
                <c:pt idx="550" formatCode="General">
                  <c:v>990.19</c:v>
                </c:pt>
                <c:pt idx="551" formatCode="General">
                  <c:v>973.74</c:v>
                </c:pt>
                <c:pt idx="552" formatCode="General">
                  <c:v>984.64</c:v>
                </c:pt>
                <c:pt idx="553">
                  <c:v>1002.78</c:v>
                </c:pt>
                <c:pt idx="554" formatCode="General">
                  <c:v>975.23</c:v>
                </c:pt>
                <c:pt idx="555" formatCode="General">
                  <c:v>996.85</c:v>
                </c:pt>
                <c:pt idx="556" formatCode="General">
                  <c:v>999.45</c:v>
                </c:pt>
                <c:pt idx="557" formatCode="General">
                  <c:v>972.61</c:v>
                </c:pt>
                <c:pt idx="558" formatCode="General">
                  <c:v>975.28</c:v>
                </c:pt>
                <c:pt idx="559" formatCode="General">
                  <c:v>852.41</c:v>
                </c:pt>
                <c:pt idx="560" formatCode="General">
                  <c:v>860.67</c:v>
                </c:pt>
                <c:pt idx="561" formatCode="General">
                  <c:v>836.04</c:v>
                </c:pt>
                <c:pt idx="562" formatCode="General">
                  <c:v>793.88</c:v>
                </c:pt>
                <c:pt idx="563" formatCode="General">
                  <c:v>835.34</c:v>
                </c:pt>
                <c:pt idx="564" formatCode="General">
                  <c:v>831.51</c:v>
                </c:pt>
                <c:pt idx="565" formatCode="General">
                  <c:v>878.99</c:v>
                </c:pt>
                <c:pt idx="566" formatCode="General">
                  <c:v>832.29</c:v>
                </c:pt>
                <c:pt idx="567" formatCode="General">
                  <c:v>821.34</c:v>
                </c:pt>
                <c:pt idx="568" formatCode="General">
                  <c:v>768.15</c:v>
                </c:pt>
                <c:pt idx="569" formatCode="General">
                  <c:v>739.05</c:v>
                </c:pt>
                <c:pt idx="570" formatCode="General">
                  <c:v>703.69</c:v>
                </c:pt>
                <c:pt idx="571" formatCode="General">
                  <c:v>616.24</c:v>
                </c:pt>
                <c:pt idx="572" formatCode="General">
                  <c:v>618.66</c:v>
                </c:pt>
                <c:pt idx="573" formatCode="General">
                  <c:v>665.52</c:v>
                </c:pt>
                <c:pt idx="574" formatCode="General">
                  <c:v>607.87</c:v>
                </c:pt>
                <c:pt idx="575" formatCode="General">
                  <c:v>678.58</c:v>
                </c:pt>
                <c:pt idx="576" formatCode="General">
                  <c:v>757.43</c:v>
                </c:pt>
                <c:pt idx="577" formatCode="General">
                  <c:v>802.41</c:v>
                </c:pt>
                <c:pt idx="578" formatCode="General">
                  <c:v>802.17</c:v>
                </c:pt>
                <c:pt idx="579" formatCode="General">
                  <c:v>836.75</c:v>
                </c:pt>
                <c:pt idx="580" formatCode="General">
                  <c:v>846.68</c:v>
                </c:pt>
                <c:pt idx="581" formatCode="General">
                  <c:v>860.53</c:v>
                </c:pt>
                <c:pt idx="582" formatCode="General">
                  <c:v>855.55</c:v>
                </c:pt>
                <c:pt idx="583" formatCode="General">
                  <c:v>850.86</c:v>
                </c:pt>
                <c:pt idx="584" formatCode="General">
                  <c:v>822.25</c:v>
                </c:pt>
                <c:pt idx="585" formatCode="General">
                  <c:v>956.58</c:v>
                </c:pt>
                <c:pt idx="586" formatCode="General">
                  <c:v>947.1</c:v>
                </c:pt>
                <c:pt idx="587" formatCode="General">
                  <c:v>887.57</c:v>
                </c:pt>
                <c:pt idx="588" formatCode="General">
                  <c:v>926.4</c:v>
                </c:pt>
                <c:pt idx="589" formatCode="General">
                  <c:v>891.71</c:v>
                </c:pt>
                <c:pt idx="590" formatCode="General">
                  <c:v>901.41</c:v>
                </c:pt>
                <c:pt idx="591" formatCode="General">
                  <c:v>921.43</c:v>
                </c:pt>
                <c:pt idx="592" formatCode="General">
                  <c:v>951.01</c:v>
                </c:pt>
                <c:pt idx="593" formatCode="General">
                  <c:v>955.07</c:v>
                </c:pt>
                <c:pt idx="594" formatCode="General">
                  <c:v>999.02</c:v>
                </c:pt>
                <c:pt idx="595">
                  <c:v>1020.02</c:v>
                </c:pt>
                <c:pt idx="596">
                  <c:v>1018.21</c:v>
                </c:pt>
                <c:pt idx="597" formatCode="General">
                  <c:v>955.52</c:v>
                </c:pt>
                <c:pt idx="598" formatCode="General">
                  <c:v>953.27</c:v>
                </c:pt>
                <c:pt idx="599" formatCode="General">
                  <c:v>963.73</c:v>
                </c:pt>
                <c:pt idx="600" formatCode="General">
                  <c:v>924.74</c:v>
                </c:pt>
                <c:pt idx="601" formatCode="General">
                  <c:v>929.03</c:v>
                </c:pt>
                <c:pt idx="602" formatCode="General">
                  <c:v>960.72</c:v>
                </c:pt>
                <c:pt idx="603" formatCode="General">
                  <c:v>954.17</c:v>
                </c:pt>
                <c:pt idx="604" formatCode="General">
                  <c:v>940.7</c:v>
                </c:pt>
                <c:pt idx="605" formatCode="General">
                  <c:v>928.13</c:v>
                </c:pt>
                <c:pt idx="606" formatCode="General">
                  <c:v>902.17</c:v>
                </c:pt>
                <c:pt idx="607" formatCode="General">
                  <c:v>890.2</c:v>
                </c:pt>
                <c:pt idx="608" formatCode="General">
                  <c:v>831.34</c:v>
                </c:pt>
                <c:pt idx="609" formatCode="General">
                  <c:v>839</c:v>
                </c:pt>
                <c:pt idx="610" formatCode="General">
                  <c:v>887.19</c:v>
                </c:pt>
                <c:pt idx="611" formatCode="General">
                  <c:v>898.07</c:v>
                </c:pt>
                <c:pt idx="612" formatCode="General">
                  <c:v>858.43</c:v>
                </c:pt>
                <c:pt idx="613" formatCode="General">
                  <c:v>891.14</c:v>
                </c:pt>
                <c:pt idx="614" formatCode="General">
                  <c:v>907.81</c:v>
                </c:pt>
                <c:pt idx="615" formatCode="General">
                  <c:v>941.75</c:v>
                </c:pt>
                <c:pt idx="616" formatCode="General">
                  <c:v>904.37</c:v>
                </c:pt>
                <c:pt idx="617" formatCode="General">
                  <c:v>878.83</c:v>
                </c:pt>
                <c:pt idx="618" formatCode="General">
                  <c:v>868.5</c:v>
                </c:pt>
                <c:pt idx="619" formatCode="General">
                  <c:v>838.92</c:v>
                </c:pt>
                <c:pt idx="620" formatCode="General">
                  <c:v>794.09</c:v>
                </c:pt>
                <c:pt idx="621" formatCode="General">
                  <c:v>755.61</c:v>
                </c:pt>
                <c:pt idx="622" formatCode="General">
                  <c:v>760.68</c:v>
                </c:pt>
                <c:pt idx="623" formatCode="General">
                  <c:v>764.58</c:v>
                </c:pt>
                <c:pt idx="624" formatCode="General">
                  <c:v>734.12</c:v>
                </c:pt>
                <c:pt idx="625" formatCode="General">
                  <c:v>683.53</c:v>
                </c:pt>
                <c:pt idx="626" formatCode="General">
                  <c:v>700.44</c:v>
                </c:pt>
                <c:pt idx="627" formatCode="General">
                  <c:v>736.07</c:v>
                </c:pt>
                <c:pt idx="628" formatCode="General">
                  <c:v>785.57</c:v>
                </c:pt>
                <c:pt idx="629" formatCode="General">
                  <c:v>777.59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6911"/>
        <c:axId val="1858423920"/>
      </c:lineChart>
      <c:lineChart>
        <c:grouping val="standard"/>
        <c:varyColors val="0"/>
        <c:ser>
          <c:idx val="1"/>
          <c:order val="1"/>
          <c:tx>
            <c:strRef>
              <c:f>'4 fear plan'!$C$1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plan'!$A$2:$A$631</c:f>
              <c:strCache>
                <c:ptCount val="630"/>
                <c:pt idx="0">
                  <c:v>2022년 7월</c:v>
                </c:pt>
                <c:pt idx="1">
                  <c:v>2022년 6월</c:v>
                </c:pt>
                <c:pt idx="2">
                  <c:v>2022년 5월</c:v>
                </c:pt>
                <c:pt idx="3">
                  <c:v>2022년 4월</c:v>
                </c:pt>
                <c:pt idx="4">
                  <c:v>2022년 3월</c:v>
                </c:pt>
                <c:pt idx="5">
                  <c:v>2022년 2월</c:v>
                </c:pt>
                <c:pt idx="6">
                  <c:v>2022년 1월</c:v>
                </c:pt>
                <c:pt idx="7">
                  <c:v>2021년 12월</c:v>
                </c:pt>
                <c:pt idx="8">
                  <c:v>2021년 11월</c:v>
                </c:pt>
                <c:pt idx="9">
                  <c:v>2021년 10월</c:v>
                </c:pt>
                <c:pt idx="10">
                  <c:v>2021년 9월</c:v>
                </c:pt>
                <c:pt idx="11">
                  <c:v>2021년 8월</c:v>
                </c:pt>
                <c:pt idx="12">
                  <c:v>2021년 7월</c:v>
                </c:pt>
                <c:pt idx="13">
                  <c:v>2021년 6월</c:v>
                </c:pt>
                <c:pt idx="14">
                  <c:v>2021년 5월</c:v>
                </c:pt>
                <c:pt idx="15">
                  <c:v>2021년 4월</c:v>
                </c:pt>
                <c:pt idx="16">
                  <c:v>2021년 3월</c:v>
                </c:pt>
                <c:pt idx="17">
                  <c:v>2021년 2월</c:v>
                </c:pt>
                <c:pt idx="18">
                  <c:v>2021년 1월</c:v>
                </c:pt>
                <c:pt idx="19">
                  <c:v>2020년 12월</c:v>
                </c:pt>
                <c:pt idx="20">
                  <c:v>2020년 11월</c:v>
                </c:pt>
                <c:pt idx="21">
                  <c:v>2020년 10월</c:v>
                </c:pt>
                <c:pt idx="22">
                  <c:v>2020년 9월</c:v>
                </c:pt>
                <c:pt idx="23">
                  <c:v>2020년 8월</c:v>
                </c:pt>
                <c:pt idx="24">
                  <c:v>2020년 7월</c:v>
                </c:pt>
                <c:pt idx="25">
                  <c:v>2020년 6월</c:v>
                </c:pt>
                <c:pt idx="26">
                  <c:v>2020년 5월</c:v>
                </c:pt>
                <c:pt idx="27">
                  <c:v>2020년 4월</c:v>
                </c:pt>
                <c:pt idx="28">
                  <c:v>2020년 3월</c:v>
                </c:pt>
                <c:pt idx="29">
                  <c:v>2020년 2월</c:v>
                </c:pt>
                <c:pt idx="30">
                  <c:v>2020년 1월</c:v>
                </c:pt>
                <c:pt idx="31">
                  <c:v>2019년 12월</c:v>
                </c:pt>
                <c:pt idx="32">
                  <c:v>2019년 11월</c:v>
                </c:pt>
                <c:pt idx="33">
                  <c:v>2019년 10월</c:v>
                </c:pt>
                <c:pt idx="34">
                  <c:v>2019년 9월</c:v>
                </c:pt>
                <c:pt idx="35">
                  <c:v>2019년 8월</c:v>
                </c:pt>
                <c:pt idx="36">
                  <c:v>2019년 7월</c:v>
                </c:pt>
                <c:pt idx="37">
                  <c:v>2019년 6월</c:v>
                </c:pt>
                <c:pt idx="38">
                  <c:v>2019년 5월</c:v>
                </c:pt>
                <c:pt idx="39">
                  <c:v>2019년 4월</c:v>
                </c:pt>
                <c:pt idx="40">
                  <c:v>2019년 3월</c:v>
                </c:pt>
                <c:pt idx="41">
                  <c:v>2019년 2월</c:v>
                </c:pt>
                <c:pt idx="42">
                  <c:v>2019년 1월</c:v>
                </c:pt>
                <c:pt idx="43">
                  <c:v>2018년 12월</c:v>
                </c:pt>
                <c:pt idx="44">
                  <c:v>2018년 11월</c:v>
                </c:pt>
                <c:pt idx="45">
                  <c:v>2018년 10월</c:v>
                </c:pt>
                <c:pt idx="46">
                  <c:v>2018년 9월</c:v>
                </c:pt>
                <c:pt idx="47">
                  <c:v>2018년 8월</c:v>
                </c:pt>
                <c:pt idx="48">
                  <c:v>2018년 7월</c:v>
                </c:pt>
                <c:pt idx="49">
                  <c:v>2018년 6월</c:v>
                </c:pt>
                <c:pt idx="50">
                  <c:v>2018년 5월</c:v>
                </c:pt>
                <c:pt idx="51">
                  <c:v>2018년 4월</c:v>
                </c:pt>
                <c:pt idx="52">
                  <c:v>2018년 3월</c:v>
                </c:pt>
                <c:pt idx="53">
                  <c:v>2018년 2월</c:v>
                </c:pt>
                <c:pt idx="54">
                  <c:v>2018년 1월</c:v>
                </c:pt>
                <c:pt idx="55">
                  <c:v>2017년 12월</c:v>
                </c:pt>
                <c:pt idx="56">
                  <c:v>2017년 11월</c:v>
                </c:pt>
                <c:pt idx="57">
                  <c:v>2017년 10월</c:v>
                </c:pt>
                <c:pt idx="58">
                  <c:v>2017년 9월</c:v>
                </c:pt>
                <c:pt idx="59">
                  <c:v>2017년 8월</c:v>
                </c:pt>
                <c:pt idx="60">
                  <c:v>2017년 7월</c:v>
                </c:pt>
                <c:pt idx="61">
                  <c:v>2017년 6월</c:v>
                </c:pt>
                <c:pt idx="62">
                  <c:v>2017년 5월</c:v>
                </c:pt>
                <c:pt idx="63">
                  <c:v>2017년 4월</c:v>
                </c:pt>
                <c:pt idx="64">
                  <c:v>2017년 3월</c:v>
                </c:pt>
                <c:pt idx="65">
                  <c:v>2017년 2월</c:v>
                </c:pt>
                <c:pt idx="66">
                  <c:v>2017년 1월</c:v>
                </c:pt>
                <c:pt idx="67">
                  <c:v>2016년 12월</c:v>
                </c:pt>
                <c:pt idx="68">
                  <c:v>2016년 11월</c:v>
                </c:pt>
                <c:pt idx="69">
                  <c:v>2016년 10월</c:v>
                </c:pt>
                <c:pt idx="70">
                  <c:v>2016년 9월</c:v>
                </c:pt>
                <c:pt idx="71">
                  <c:v>2016년 8월</c:v>
                </c:pt>
                <c:pt idx="72">
                  <c:v>2016년 7월</c:v>
                </c:pt>
                <c:pt idx="73">
                  <c:v>2016년 6월</c:v>
                </c:pt>
                <c:pt idx="74">
                  <c:v>2016년 5월</c:v>
                </c:pt>
                <c:pt idx="75">
                  <c:v>2016년 4월</c:v>
                </c:pt>
                <c:pt idx="76">
                  <c:v>2016년 3월</c:v>
                </c:pt>
                <c:pt idx="77">
                  <c:v>2016년 2월</c:v>
                </c:pt>
                <c:pt idx="78">
                  <c:v>2016년 1월</c:v>
                </c:pt>
                <c:pt idx="79">
                  <c:v>2015년 12월</c:v>
                </c:pt>
                <c:pt idx="80">
                  <c:v>2015년 11월</c:v>
                </c:pt>
                <c:pt idx="81">
                  <c:v>2015년 10월</c:v>
                </c:pt>
                <c:pt idx="82">
                  <c:v>2015년 9월</c:v>
                </c:pt>
                <c:pt idx="83">
                  <c:v>2015년 8월</c:v>
                </c:pt>
                <c:pt idx="84">
                  <c:v>2015년 7월</c:v>
                </c:pt>
                <c:pt idx="85">
                  <c:v>2015년 6월</c:v>
                </c:pt>
                <c:pt idx="86">
                  <c:v>2015년 5월</c:v>
                </c:pt>
                <c:pt idx="87">
                  <c:v>2015년 4월</c:v>
                </c:pt>
                <c:pt idx="88">
                  <c:v>2015년 3월</c:v>
                </c:pt>
                <c:pt idx="89">
                  <c:v>2015년 2월</c:v>
                </c:pt>
                <c:pt idx="90">
                  <c:v>2015년 1월</c:v>
                </c:pt>
                <c:pt idx="91">
                  <c:v>2014년 12월</c:v>
                </c:pt>
                <c:pt idx="92">
                  <c:v>2014년 11월</c:v>
                </c:pt>
                <c:pt idx="93">
                  <c:v>2014년 10월</c:v>
                </c:pt>
                <c:pt idx="94">
                  <c:v>2014년 9월</c:v>
                </c:pt>
                <c:pt idx="95">
                  <c:v>2014년 8월</c:v>
                </c:pt>
                <c:pt idx="96">
                  <c:v>2014년 7월</c:v>
                </c:pt>
                <c:pt idx="97">
                  <c:v>2014년 6월</c:v>
                </c:pt>
                <c:pt idx="98">
                  <c:v>2014년 5월</c:v>
                </c:pt>
                <c:pt idx="99">
                  <c:v>2014년 4월</c:v>
                </c:pt>
                <c:pt idx="100">
                  <c:v>2014년 3월</c:v>
                </c:pt>
                <c:pt idx="101">
                  <c:v>2014년 2월</c:v>
                </c:pt>
                <c:pt idx="102">
                  <c:v>2014년 1월</c:v>
                </c:pt>
                <c:pt idx="103">
                  <c:v>2013년 12월</c:v>
                </c:pt>
                <c:pt idx="104">
                  <c:v>2013년 11월</c:v>
                </c:pt>
                <c:pt idx="105">
                  <c:v>2013년 10월</c:v>
                </c:pt>
                <c:pt idx="106">
                  <c:v>2013년 9월</c:v>
                </c:pt>
                <c:pt idx="107">
                  <c:v>2013년 8월</c:v>
                </c:pt>
                <c:pt idx="108">
                  <c:v>2013년 7월</c:v>
                </c:pt>
                <c:pt idx="109">
                  <c:v>2013년 6월</c:v>
                </c:pt>
                <c:pt idx="110">
                  <c:v>2013년 5월</c:v>
                </c:pt>
                <c:pt idx="111">
                  <c:v>2013년 4월</c:v>
                </c:pt>
                <c:pt idx="112">
                  <c:v>2013년 3월</c:v>
                </c:pt>
                <c:pt idx="113">
                  <c:v>2013년 2월</c:v>
                </c:pt>
                <c:pt idx="114">
                  <c:v>2013년 1월</c:v>
                </c:pt>
                <c:pt idx="115">
                  <c:v>2012년 12월</c:v>
                </c:pt>
                <c:pt idx="116">
                  <c:v>2012년 11월</c:v>
                </c:pt>
                <c:pt idx="117">
                  <c:v>2012년 10월</c:v>
                </c:pt>
                <c:pt idx="118">
                  <c:v>2012년 9월</c:v>
                </c:pt>
                <c:pt idx="119">
                  <c:v>2012년 8월</c:v>
                </c:pt>
                <c:pt idx="120">
                  <c:v>2012년 7월</c:v>
                </c:pt>
                <c:pt idx="121">
                  <c:v>2012년 6월</c:v>
                </c:pt>
                <c:pt idx="122">
                  <c:v>2012년 5월</c:v>
                </c:pt>
                <c:pt idx="123">
                  <c:v>2012년 4월</c:v>
                </c:pt>
                <c:pt idx="124">
                  <c:v>2012년 3월</c:v>
                </c:pt>
                <c:pt idx="125">
                  <c:v>2012년 2월</c:v>
                </c:pt>
                <c:pt idx="126">
                  <c:v>2012년 1월</c:v>
                </c:pt>
                <c:pt idx="127">
                  <c:v>2011년 12월</c:v>
                </c:pt>
                <c:pt idx="128">
                  <c:v>2011년 11월</c:v>
                </c:pt>
                <c:pt idx="129">
                  <c:v>2011년 10월</c:v>
                </c:pt>
                <c:pt idx="130">
                  <c:v>2011년 9월</c:v>
                </c:pt>
                <c:pt idx="131">
                  <c:v>2011년 8월</c:v>
                </c:pt>
                <c:pt idx="132">
                  <c:v>2011년 7월</c:v>
                </c:pt>
                <c:pt idx="133">
                  <c:v>2011년 6월</c:v>
                </c:pt>
                <c:pt idx="134">
                  <c:v>2011년 5월</c:v>
                </c:pt>
                <c:pt idx="135">
                  <c:v>2011년 4월</c:v>
                </c:pt>
                <c:pt idx="136">
                  <c:v>2011년 3월</c:v>
                </c:pt>
                <c:pt idx="137">
                  <c:v>2011년 2월</c:v>
                </c:pt>
                <c:pt idx="138">
                  <c:v>2011년 1월</c:v>
                </c:pt>
                <c:pt idx="139">
                  <c:v>2010년 12월</c:v>
                </c:pt>
                <c:pt idx="140">
                  <c:v>2010년 11월</c:v>
                </c:pt>
                <c:pt idx="141">
                  <c:v>2010년 10월</c:v>
                </c:pt>
                <c:pt idx="142">
                  <c:v>2010년 9월</c:v>
                </c:pt>
                <c:pt idx="143">
                  <c:v>2010년 8월</c:v>
                </c:pt>
                <c:pt idx="144">
                  <c:v>2010년 7월</c:v>
                </c:pt>
                <c:pt idx="145">
                  <c:v>2010년 6월</c:v>
                </c:pt>
                <c:pt idx="146">
                  <c:v>2010년 5월</c:v>
                </c:pt>
                <c:pt idx="147">
                  <c:v>2010년 4월</c:v>
                </c:pt>
                <c:pt idx="148">
                  <c:v>2010년 3월</c:v>
                </c:pt>
                <c:pt idx="149">
                  <c:v>2010년 2월</c:v>
                </c:pt>
                <c:pt idx="150">
                  <c:v>2010년 1월</c:v>
                </c:pt>
                <c:pt idx="151">
                  <c:v>2009년 12월</c:v>
                </c:pt>
                <c:pt idx="152">
                  <c:v>2009년 11월</c:v>
                </c:pt>
                <c:pt idx="153">
                  <c:v>2009년 10월</c:v>
                </c:pt>
                <c:pt idx="154">
                  <c:v>2009년 9월</c:v>
                </c:pt>
                <c:pt idx="155">
                  <c:v>2009년 8월</c:v>
                </c:pt>
                <c:pt idx="156">
                  <c:v>2009년 7월</c:v>
                </c:pt>
                <c:pt idx="157">
                  <c:v>2009년 6월</c:v>
                </c:pt>
                <c:pt idx="158">
                  <c:v>2009년 5월</c:v>
                </c:pt>
                <c:pt idx="159">
                  <c:v>2009년 4월</c:v>
                </c:pt>
                <c:pt idx="160">
                  <c:v>2009년 3월</c:v>
                </c:pt>
                <c:pt idx="161">
                  <c:v>2009년 2월</c:v>
                </c:pt>
                <c:pt idx="162">
                  <c:v>2009년 1월</c:v>
                </c:pt>
                <c:pt idx="163">
                  <c:v>2008년 12월</c:v>
                </c:pt>
                <c:pt idx="164">
                  <c:v>2008년 11월</c:v>
                </c:pt>
                <c:pt idx="165">
                  <c:v>2008년 10월</c:v>
                </c:pt>
                <c:pt idx="166">
                  <c:v>2008년 9월</c:v>
                </c:pt>
                <c:pt idx="167">
                  <c:v>2008년 8월</c:v>
                </c:pt>
                <c:pt idx="168">
                  <c:v>2008년 7월</c:v>
                </c:pt>
                <c:pt idx="169">
                  <c:v>2008년 6월</c:v>
                </c:pt>
                <c:pt idx="170">
                  <c:v>2008년 5월</c:v>
                </c:pt>
                <c:pt idx="171">
                  <c:v>2008년 4월</c:v>
                </c:pt>
                <c:pt idx="172">
                  <c:v>2008년 3월</c:v>
                </c:pt>
                <c:pt idx="173">
                  <c:v>2008년 2월</c:v>
                </c:pt>
                <c:pt idx="174">
                  <c:v>2008년 1월</c:v>
                </c:pt>
                <c:pt idx="175">
                  <c:v>2007년 12월</c:v>
                </c:pt>
                <c:pt idx="176">
                  <c:v>2007년 11월</c:v>
                </c:pt>
                <c:pt idx="177">
                  <c:v>2007년 10월</c:v>
                </c:pt>
                <c:pt idx="178">
                  <c:v>2007년 9월</c:v>
                </c:pt>
                <c:pt idx="179">
                  <c:v>2007년 8월</c:v>
                </c:pt>
                <c:pt idx="180">
                  <c:v>2007년 7월</c:v>
                </c:pt>
                <c:pt idx="181">
                  <c:v>2007년 6월</c:v>
                </c:pt>
                <c:pt idx="182">
                  <c:v>2007년 5월</c:v>
                </c:pt>
                <c:pt idx="183">
                  <c:v>2007년 4월</c:v>
                </c:pt>
                <c:pt idx="184">
                  <c:v>2007년 3월</c:v>
                </c:pt>
                <c:pt idx="185">
                  <c:v>2007년 2월</c:v>
                </c:pt>
                <c:pt idx="186">
                  <c:v>2007년 1월</c:v>
                </c:pt>
                <c:pt idx="187">
                  <c:v>2006년 12월</c:v>
                </c:pt>
                <c:pt idx="188">
                  <c:v>2006년 11월</c:v>
                </c:pt>
                <c:pt idx="189">
                  <c:v>2006년 10월</c:v>
                </c:pt>
                <c:pt idx="190">
                  <c:v>2006년 9월</c:v>
                </c:pt>
                <c:pt idx="191">
                  <c:v>2006년 8월</c:v>
                </c:pt>
                <c:pt idx="192">
                  <c:v>2006년 7월</c:v>
                </c:pt>
                <c:pt idx="193">
                  <c:v>2006년 6월</c:v>
                </c:pt>
                <c:pt idx="194">
                  <c:v>2006년 5월</c:v>
                </c:pt>
                <c:pt idx="195">
                  <c:v>2006년 4월</c:v>
                </c:pt>
                <c:pt idx="196">
                  <c:v>2006년 3월</c:v>
                </c:pt>
                <c:pt idx="197">
                  <c:v>2006년 2월</c:v>
                </c:pt>
                <c:pt idx="198">
                  <c:v>2006년 1월</c:v>
                </c:pt>
                <c:pt idx="199">
                  <c:v>2005년 12월</c:v>
                </c:pt>
                <c:pt idx="200">
                  <c:v>2005년 11월</c:v>
                </c:pt>
                <c:pt idx="201">
                  <c:v>2005년 10월</c:v>
                </c:pt>
                <c:pt idx="202">
                  <c:v>2005년 9월</c:v>
                </c:pt>
                <c:pt idx="203">
                  <c:v>2005년 8월</c:v>
                </c:pt>
                <c:pt idx="204">
                  <c:v>2005년 7월</c:v>
                </c:pt>
                <c:pt idx="205">
                  <c:v>2005년 6월</c:v>
                </c:pt>
                <c:pt idx="206">
                  <c:v>2005년 5월</c:v>
                </c:pt>
                <c:pt idx="207">
                  <c:v>2005년 4월</c:v>
                </c:pt>
                <c:pt idx="208">
                  <c:v>2005년 3월</c:v>
                </c:pt>
                <c:pt idx="209">
                  <c:v>2005년 2월</c:v>
                </c:pt>
                <c:pt idx="210">
                  <c:v>2005년 1월</c:v>
                </c:pt>
                <c:pt idx="211">
                  <c:v>2004년 12월</c:v>
                </c:pt>
                <c:pt idx="212">
                  <c:v>2004년 11월</c:v>
                </c:pt>
                <c:pt idx="213">
                  <c:v>2004년 10월</c:v>
                </c:pt>
                <c:pt idx="214">
                  <c:v>2004년 9월</c:v>
                </c:pt>
                <c:pt idx="215">
                  <c:v>2004년 8월</c:v>
                </c:pt>
                <c:pt idx="216">
                  <c:v>2004년 7월</c:v>
                </c:pt>
                <c:pt idx="217">
                  <c:v>2004년 6월</c:v>
                </c:pt>
                <c:pt idx="218">
                  <c:v>2004년 5월</c:v>
                </c:pt>
                <c:pt idx="219">
                  <c:v>2004년 4월</c:v>
                </c:pt>
                <c:pt idx="220">
                  <c:v>2004년 3월</c:v>
                </c:pt>
                <c:pt idx="221">
                  <c:v>2004년 2월</c:v>
                </c:pt>
                <c:pt idx="222">
                  <c:v>2004년 1월</c:v>
                </c:pt>
                <c:pt idx="223">
                  <c:v>2003년 12월</c:v>
                </c:pt>
                <c:pt idx="224">
                  <c:v>2003년 11월</c:v>
                </c:pt>
                <c:pt idx="225">
                  <c:v>2003년 10월</c:v>
                </c:pt>
                <c:pt idx="226">
                  <c:v>2003년 9월</c:v>
                </c:pt>
                <c:pt idx="227">
                  <c:v>2003년 8월</c:v>
                </c:pt>
                <c:pt idx="228">
                  <c:v>2003년 7월</c:v>
                </c:pt>
                <c:pt idx="229">
                  <c:v>2003년 6월</c:v>
                </c:pt>
                <c:pt idx="230">
                  <c:v>2003년 5월</c:v>
                </c:pt>
                <c:pt idx="231">
                  <c:v>2003년 4월</c:v>
                </c:pt>
                <c:pt idx="232">
                  <c:v>2003년 3월</c:v>
                </c:pt>
                <c:pt idx="233">
                  <c:v>2003년 2월</c:v>
                </c:pt>
                <c:pt idx="234">
                  <c:v>2003년 1월</c:v>
                </c:pt>
                <c:pt idx="235">
                  <c:v>2002년 12월</c:v>
                </c:pt>
                <c:pt idx="236">
                  <c:v>2002년 11월</c:v>
                </c:pt>
                <c:pt idx="237">
                  <c:v>2002년 10월</c:v>
                </c:pt>
                <c:pt idx="238">
                  <c:v>2002년 9월</c:v>
                </c:pt>
                <c:pt idx="239">
                  <c:v>2002년 8월</c:v>
                </c:pt>
                <c:pt idx="240">
                  <c:v>2002년 7월</c:v>
                </c:pt>
                <c:pt idx="241">
                  <c:v>2002년 6월</c:v>
                </c:pt>
                <c:pt idx="242">
                  <c:v>2002년 5월</c:v>
                </c:pt>
                <c:pt idx="243">
                  <c:v>2002년 4월</c:v>
                </c:pt>
                <c:pt idx="244">
                  <c:v>2002년 3월</c:v>
                </c:pt>
                <c:pt idx="245">
                  <c:v>2002년 2월</c:v>
                </c:pt>
                <c:pt idx="246">
                  <c:v>2002년 1월</c:v>
                </c:pt>
                <c:pt idx="247">
                  <c:v>2001년 12월</c:v>
                </c:pt>
                <c:pt idx="248">
                  <c:v>2001년 11월</c:v>
                </c:pt>
                <c:pt idx="249">
                  <c:v>2001년 10월</c:v>
                </c:pt>
                <c:pt idx="250">
                  <c:v>2001년 9월</c:v>
                </c:pt>
                <c:pt idx="251">
                  <c:v>2001년 8월</c:v>
                </c:pt>
                <c:pt idx="252">
                  <c:v>2001년 7월</c:v>
                </c:pt>
                <c:pt idx="253">
                  <c:v>2001년 6월</c:v>
                </c:pt>
                <c:pt idx="254">
                  <c:v>2001년 5월</c:v>
                </c:pt>
                <c:pt idx="255">
                  <c:v>2001년 4월</c:v>
                </c:pt>
                <c:pt idx="256">
                  <c:v>2001년 3월</c:v>
                </c:pt>
                <c:pt idx="257">
                  <c:v>2001년 2월</c:v>
                </c:pt>
                <c:pt idx="258">
                  <c:v>2001년 1월</c:v>
                </c:pt>
                <c:pt idx="259">
                  <c:v>2000년 12월</c:v>
                </c:pt>
                <c:pt idx="260">
                  <c:v>2000년 11월</c:v>
                </c:pt>
                <c:pt idx="261">
                  <c:v>2000년 10월</c:v>
                </c:pt>
                <c:pt idx="262">
                  <c:v>2000년 9월</c:v>
                </c:pt>
                <c:pt idx="263">
                  <c:v>2000년 8월</c:v>
                </c:pt>
                <c:pt idx="264">
                  <c:v>2000년 7월</c:v>
                </c:pt>
                <c:pt idx="265">
                  <c:v>2000년 6월</c:v>
                </c:pt>
                <c:pt idx="266">
                  <c:v>2000년 5월</c:v>
                </c:pt>
                <c:pt idx="267">
                  <c:v>2000년 4월</c:v>
                </c:pt>
                <c:pt idx="268">
                  <c:v>2000년 3월</c:v>
                </c:pt>
                <c:pt idx="269">
                  <c:v>2000년 2월</c:v>
                </c:pt>
                <c:pt idx="270">
                  <c:v>2000년 1월</c:v>
                </c:pt>
                <c:pt idx="271">
                  <c:v>1999년 12월</c:v>
                </c:pt>
                <c:pt idx="272">
                  <c:v>1999년 11월</c:v>
                </c:pt>
                <c:pt idx="273">
                  <c:v>1999년 10월</c:v>
                </c:pt>
                <c:pt idx="274">
                  <c:v>1999년 9월</c:v>
                </c:pt>
                <c:pt idx="275">
                  <c:v>1999년 8월</c:v>
                </c:pt>
                <c:pt idx="276">
                  <c:v>1999년 7월</c:v>
                </c:pt>
                <c:pt idx="277">
                  <c:v>1999년 6월</c:v>
                </c:pt>
                <c:pt idx="278">
                  <c:v>1999년 5월</c:v>
                </c:pt>
                <c:pt idx="279">
                  <c:v>1999년 4월</c:v>
                </c:pt>
                <c:pt idx="280">
                  <c:v>1999년 3월</c:v>
                </c:pt>
                <c:pt idx="281">
                  <c:v>1999년 2월</c:v>
                </c:pt>
                <c:pt idx="282">
                  <c:v>1999년 1월</c:v>
                </c:pt>
                <c:pt idx="283">
                  <c:v>1998년 12월</c:v>
                </c:pt>
                <c:pt idx="284">
                  <c:v>1998년 11월</c:v>
                </c:pt>
                <c:pt idx="285">
                  <c:v>1998년 10월</c:v>
                </c:pt>
                <c:pt idx="286">
                  <c:v>1998년 9월</c:v>
                </c:pt>
                <c:pt idx="287">
                  <c:v>1998년 8월</c:v>
                </c:pt>
                <c:pt idx="288">
                  <c:v>1998년 7월</c:v>
                </c:pt>
                <c:pt idx="289">
                  <c:v>1998년 6월</c:v>
                </c:pt>
                <c:pt idx="290">
                  <c:v>1998년 5월</c:v>
                </c:pt>
                <c:pt idx="291">
                  <c:v>1998년 4월</c:v>
                </c:pt>
                <c:pt idx="292">
                  <c:v>1998년 3월</c:v>
                </c:pt>
                <c:pt idx="293">
                  <c:v>1998년 2월</c:v>
                </c:pt>
                <c:pt idx="294">
                  <c:v>1998년 1월</c:v>
                </c:pt>
                <c:pt idx="295">
                  <c:v>1997년 12월</c:v>
                </c:pt>
                <c:pt idx="296">
                  <c:v>1997년 11월</c:v>
                </c:pt>
                <c:pt idx="297">
                  <c:v>1997년 10월</c:v>
                </c:pt>
                <c:pt idx="298">
                  <c:v>1997년 9월</c:v>
                </c:pt>
                <c:pt idx="299">
                  <c:v>1997년 8월</c:v>
                </c:pt>
                <c:pt idx="300">
                  <c:v>1997년 7월</c:v>
                </c:pt>
                <c:pt idx="301">
                  <c:v>1997년 6월</c:v>
                </c:pt>
                <c:pt idx="302">
                  <c:v>1997년 5월</c:v>
                </c:pt>
                <c:pt idx="303">
                  <c:v>1997년 4월</c:v>
                </c:pt>
                <c:pt idx="304">
                  <c:v>1997년 3월</c:v>
                </c:pt>
                <c:pt idx="305">
                  <c:v>1997년 2월</c:v>
                </c:pt>
                <c:pt idx="306">
                  <c:v>1997년 1월</c:v>
                </c:pt>
                <c:pt idx="307">
                  <c:v>1996년 12월</c:v>
                </c:pt>
                <c:pt idx="308">
                  <c:v>1996년 11월</c:v>
                </c:pt>
                <c:pt idx="309">
                  <c:v>1996년 10월</c:v>
                </c:pt>
                <c:pt idx="310">
                  <c:v>1996년 9월</c:v>
                </c:pt>
                <c:pt idx="311">
                  <c:v>1996년 8월</c:v>
                </c:pt>
                <c:pt idx="312">
                  <c:v>1996년 7월</c:v>
                </c:pt>
                <c:pt idx="313">
                  <c:v>1996년 6월</c:v>
                </c:pt>
                <c:pt idx="314">
                  <c:v>1996년 5월</c:v>
                </c:pt>
                <c:pt idx="315">
                  <c:v>1996년 4월</c:v>
                </c:pt>
                <c:pt idx="316">
                  <c:v>1996년 3월</c:v>
                </c:pt>
                <c:pt idx="317">
                  <c:v>1996년 2월</c:v>
                </c:pt>
                <c:pt idx="318">
                  <c:v>1996년 1월</c:v>
                </c:pt>
                <c:pt idx="319">
                  <c:v>1995년 12월</c:v>
                </c:pt>
                <c:pt idx="320">
                  <c:v>1995년 11월</c:v>
                </c:pt>
                <c:pt idx="321">
                  <c:v>1995년 10월</c:v>
                </c:pt>
                <c:pt idx="322">
                  <c:v>1995년 9월</c:v>
                </c:pt>
                <c:pt idx="323">
                  <c:v>1995년 8월</c:v>
                </c:pt>
                <c:pt idx="324">
                  <c:v>1995년 7월</c:v>
                </c:pt>
                <c:pt idx="325">
                  <c:v>1995년 6월</c:v>
                </c:pt>
                <c:pt idx="326">
                  <c:v>1995년 5월</c:v>
                </c:pt>
                <c:pt idx="327">
                  <c:v>1995년 4월</c:v>
                </c:pt>
                <c:pt idx="328">
                  <c:v>1995년 3월</c:v>
                </c:pt>
                <c:pt idx="329">
                  <c:v>1995년 2월</c:v>
                </c:pt>
                <c:pt idx="330">
                  <c:v>1995년 1월</c:v>
                </c:pt>
                <c:pt idx="331">
                  <c:v>1994년 12월</c:v>
                </c:pt>
                <c:pt idx="332">
                  <c:v>1994년 11월</c:v>
                </c:pt>
                <c:pt idx="333">
                  <c:v>1994년 10월</c:v>
                </c:pt>
                <c:pt idx="334">
                  <c:v>1994년 9월</c:v>
                </c:pt>
                <c:pt idx="335">
                  <c:v>1994년 8월</c:v>
                </c:pt>
                <c:pt idx="336">
                  <c:v>1994년 7월</c:v>
                </c:pt>
                <c:pt idx="337">
                  <c:v>1994년 6월</c:v>
                </c:pt>
                <c:pt idx="338">
                  <c:v>1994년 5월</c:v>
                </c:pt>
                <c:pt idx="339">
                  <c:v>1994년 4월</c:v>
                </c:pt>
                <c:pt idx="340">
                  <c:v>1994년 3월</c:v>
                </c:pt>
                <c:pt idx="341">
                  <c:v>1994년 2월</c:v>
                </c:pt>
                <c:pt idx="342">
                  <c:v>1994년 1월</c:v>
                </c:pt>
                <c:pt idx="343">
                  <c:v>1993년 12월</c:v>
                </c:pt>
                <c:pt idx="344">
                  <c:v>1993년 11월</c:v>
                </c:pt>
                <c:pt idx="345">
                  <c:v>1993년 10월</c:v>
                </c:pt>
                <c:pt idx="346">
                  <c:v>1993년 9월</c:v>
                </c:pt>
                <c:pt idx="347">
                  <c:v>1993년 8월</c:v>
                </c:pt>
                <c:pt idx="348">
                  <c:v>1993년 7월</c:v>
                </c:pt>
                <c:pt idx="349">
                  <c:v>1993년 6월</c:v>
                </c:pt>
                <c:pt idx="350">
                  <c:v>1993년 5월</c:v>
                </c:pt>
                <c:pt idx="351">
                  <c:v>1993년 4월</c:v>
                </c:pt>
                <c:pt idx="352">
                  <c:v>1993년 3월</c:v>
                </c:pt>
                <c:pt idx="353">
                  <c:v>1993년 2월</c:v>
                </c:pt>
                <c:pt idx="354">
                  <c:v>1993년 1월</c:v>
                </c:pt>
                <c:pt idx="355">
                  <c:v>1992년 12월</c:v>
                </c:pt>
                <c:pt idx="356">
                  <c:v>1992년 11월</c:v>
                </c:pt>
                <c:pt idx="357">
                  <c:v>1992년 10월</c:v>
                </c:pt>
                <c:pt idx="358">
                  <c:v>1992년 9월</c:v>
                </c:pt>
                <c:pt idx="359">
                  <c:v>1992년 8월</c:v>
                </c:pt>
                <c:pt idx="360">
                  <c:v>1992년 7월</c:v>
                </c:pt>
                <c:pt idx="361">
                  <c:v>1992년 6월</c:v>
                </c:pt>
                <c:pt idx="362">
                  <c:v>1992년 5월</c:v>
                </c:pt>
                <c:pt idx="363">
                  <c:v>1992년 4월</c:v>
                </c:pt>
                <c:pt idx="364">
                  <c:v>1992년 3월</c:v>
                </c:pt>
                <c:pt idx="365">
                  <c:v>1992년 2월</c:v>
                </c:pt>
                <c:pt idx="366">
                  <c:v>1992년 1월</c:v>
                </c:pt>
                <c:pt idx="367">
                  <c:v>1991년 12월</c:v>
                </c:pt>
                <c:pt idx="368">
                  <c:v>1991년 11월</c:v>
                </c:pt>
                <c:pt idx="369">
                  <c:v>1991년 10월</c:v>
                </c:pt>
                <c:pt idx="370">
                  <c:v>1991년 9월</c:v>
                </c:pt>
                <c:pt idx="371">
                  <c:v>1991년 8월</c:v>
                </c:pt>
                <c:pt idx="372">
                  <c:v>1991년 7월</c:v>
                </c:pt>
                <c:pt idx="373">
                  <c:v>1991년 6월</c:v>
                </c:pt>
                <c:pt idx="374">
                  <c:v>1991년 5월</c:v>
                </c:pt>
                <c:pt idx="375">
                  <c:v>1991년 4월</c:v>
                </c:pt>
                <c:pt idx="376">
                  <c:v>1991년 3월</c:v>
                </c:pt>
                <c:pt idx="377">
                  <c:v>1991년 2월</c:v>
                </c:pt>
                <c:pt idx="378">
                  <c:v>1991년 1월</c:v>
                </c:pt>
                <c:pt idx="379">
                  <c:v>1990년 12월</c:v>
                </c:pt>
                <c:pt idx="380">
                  <c:v>1990년 11월</c:v>
                </c:pt>
                <c:pt idx="381">
                  <c:v>1990년 10월</c:v>
                </c:pt>
                <c:pt idx="382">
                  <c:v>1990년 9월</c:v>
                </c:pt>
                <c:pt idx="383">
                  <c:v>1990년 8월</c:v>
                </c:pt>
                <c:pt idx="384">
                  <c:v>1990년 7월</c:v>
                </c:pt>
                <c:pt idx="385">
                  <c:v>1990년 6월</c:v>
                </c:pt>
                <c:pt idx="386">
                  <c:v>1990년 5월</c:v>
                </c:pt>
                <c:pt idx="387">
                  <c:v>1990년 4월</c:v>
                </c:pt>
                <c:pt idx="388">
                  <c:v>1990년 3월</c:v>
                </c:pt>
                <c:pt idx="389">
                  <c:v>1990년 2월</c:v>
                </c:pt>
                <c:pt idx="390">
                  <c:v>1990년 1월</c:v>
                </c:pt>
                <c:pt idx="391">
                  <c:v>1989년 12월</c:v>
                </c:pt>
                <c:pt idx="392">
                  <c:v>1989년 11월</c:v>
                </c:pt>
                <c:pt idx="393">
                  <c:v>1989년 10월</c:v>
                </c:pt>
                <c:pt idx="394">
                  <c:v>1989년 9월</c:v>
                </c:pt>
                <c:pt idx="395">
                  <c:v>1989년 8월</c:v>
                </c:pt>
                <c:pt idx="396">
                  <c:v>1989년 7월</c:v>
                </c:pt>
                <c:pt idx="397">
                  <c:v>1989년 6월</c:v>
                </c:pt>
                <c:pt idx="398">
                  <c:v>1989년 5월</c:v>
                </c:pt>
                <c:pt idx="399">
                  <c:v>1989년 4월</c:v>
                </c:pt>
                <c:pt idx="400">
                  <c:v>1989년 3월</c:v>
                </c:pt>
                <c:pt idx="401">
                  <c:v>1989년 2월</c:v>
                </c:pt>
                <c:pt idx="402">
                  <c:v>1989년 1월</c:v>
                </c:pt>
                <c:pt idx="403">
                  <c:v>1988년 12월</c:v>
                </c:pt>
                <c:pt idx="404">
                  <c:v>1988년 11월</c:v>
                </c:pt>
                <c:pt idx="405">
                  <c:v>1988년 10월</c:v>
                </c:pt>
                <c:pt idx="406">
                  <c:v>1988년 9월</c:v>
                </c:pt>
                <c:pt idx="407">
                  <c:v>1988년 8월</c:v>
                </c:pt>
                <c:pt idx="408">
                  <c:v>1988년 7월</c:v>
                </c:pt>
                <c:pt idx="409">
                  <c:v>1988년 6월</c:v>
                </c:pt>
                <c:pt idx="410">
                  <c:v>1988년 5월</c:v>
                </c:pt>
                <c:pt idx="411">
                  <c:v>1988년 4월</c:v>
                </c:pt>
                <c:pt idx="412">
                  <c:v>1988년 3월</c:v>
                </c:pt>
                <c:pt idx="413">
                  <c:v>1988년 2월</c:v>
                </c:pt>
                <c:pt idx="414">
                  <c:v>1988년 1월</c:v>
                </c:pt>
                <c:pt idx="415">
                  <c:v>1987년 12월</c:v>
                </c:pt>
                <c:pt idx="416">
                  <c:v>1987년 11월</c:v>
                </c:pt>
                <c:pt idx="417">
                  <c:v>1987년 10월</c:v>
                </c:pt>
                <c:pt idx="418">
                  <c:v>1987년 9월</c:v>
                </c:pt>
                <c:pt idx="419">
                  <c:v>1987년 8월</c:v>
                </c:pt>
                <c:pt idx="420">
                  <c:v>1987년 7월</c:v>
                </c:pt>
                <c:pt idx="421">
                  <c:v>1987년 6월</c:v>
                </c:pt>
                <c:pt idx="422">
                  <c:v>1987년 5월</c:v>
                </c:pt>
                <c:pt idx="423">
                  <c:v>1987년 4월</c:v>
                </c:pt>
                <c:pt idx="424">
                  <c:v>1987년 3월</c:v>
                </c:pt>
                <c:pt idx="425">
                  <c:v>1987년 2월</c:v>
                </c:pt>
                <c:pt idx="426">
                  <c:v>1987년 1월</c:v>
                </c:pt>
                <c:pt idx="427">
                  <c:v>1986년 12월</c:v>
                </c:pt>
                <c:pt idx="428">
                  <c:v>1986년 11월</c:v>
                </c:pt>
                <c:pt idx="429">
                  <c:v>1986년 10월</c:v>
                </c:pt>
                <c:pt idx="430">
                  <c:v>1986년 9월</c:v>
                </c:pt>
                <c:pt idx="431">
                  <c:v>1986년 8월</c:v>
                </c:pt>
                <c:pt idx="432">
                  <c:v>1986년 7월</c:v>
                </c:pt>
                <c:pt idx="433">
                  <c:v>1986년 6월</c:v>
                </c:pt>
                <c:pt idx="434">
                  <c:v>1986년 5월</c:v>
                </c:pt>
                <c:pt idx="435">
                  <c:v>1986년 4월</c:v>
                </c:pt>
                <c:pt idx="436">
                  <c:v>1986년 3월</c:v>
                </c:pt>
                <c:pt idx="437">
                  <c:v>1986년 2월</c:v>
                </c:pt>
                <c:pt idx="438">
                  <c:v>1986년 1월</c:v>
                </c:pt>
                <c:pt idx="439">
                  <c:v>1985년 12월</c:v>
                </c:pt>
                <c:pt idx="440">
                  <c:v>1985년 11월</c:v>
                </c:pt>
                <c:pt idx="441">
                  <c:v>1985년 10월</c:v>
                </c:pt>
                <c:pt idx="442">
                  <c:v>1985년 9월</c:v>
                </c:pt>
                <c:pt idx="443">
                  <c:v>1985년 8월</c:v>
                </c:pt>
                <c:pt idx="444">
                  <c:v>1985년 7월</c:v>
                </c:pt>
                <c:pt idx="445">
                  <c:v>1985년 6월</c:v>
                </c:pt>
                <c:pt idx="446">
                  <c:v>1985년 5월</c:v>
                </c:pt>
                <c:pt idx="447">
                  <c:v>1985년 4월</c:v>
                </c:pt>
                <c:pt idx="448">
                  <c:v>1985년 3월</c:v>
                </c:pt>
                <c:pt idx="449">
                  <c:v>1985년 2월</c:v>
                </c:pt>
                <c:pt idx="450">
                  <c:v>1985년 1월</c:v>
                </c:pt>
                <c:pt idx="451">
                  <c:v>1984년 12월</c:v>
                </c:pt>
                <c:pt idx="452">
                  <c:v>1984년 11월</c:v>
                </c:pt>
                <c:pt idx="453">
                  <c:v>1984년 10월</c:v>
                </c:pt>
                <c:pt idx="454">
                  <c:v>1984년 9월</c:v>
                </c:pt>
                <c:pt idx="455">
                  <c:v>1984년 8월</c:v>
                </c:pt>
                <c:pt idx="456">
                  <c:v>1984년 7월</c:v>
                </c:pt>
                <c:pt idx="457">
                  <c:v>1984년 6월</c:v>
                </c:pt>
                <c:pt idx="458">
                  <c:v>1984년 5월</c:v>
                </c:pt>
                <c:pt idx="459">
                  <c:v>1984년 4월</c:v>
                </c:pt>
                <c:pt idx="460">
                  <c:v>1984년 3월</c:v>
                </c:pt>
                <c:pt idx="461">
                  <c:v>1984년 2월</c:v>
                </c:pt>
                <c:pt idx="462">
                  <c:v>1984년 1월</c:v>
                </c:pt>
                <c:pt idx="463">
                  <c:v>1983년 12월</c:v>
                </c:pt>
                <c:pt idx="464">
                  <c:v>1983년 11월</c:v>
                </c:pt>
                <c:pt idx="465">
                  <c:v>1983년 10월</c:v>
                </c:pt>
                <c:pt idx="466">
                  <c:v>1983년 9월</c:v>
                </c:pt>
                <c:pt idx="467">
                  <c:v>1983년 8월</c:v>
                </c:pt>
                <c:pt idx="468">
                  <c:v>1983년 7월</c:v>
                </c:pt>
                <c:pt idx="469">
                  <c:v>1983년 6월</c:v>
                </c:pt>
                <c:pt idx="470">
                  <c:v>1983년 5월</c:v>
                </c:pt>
                <c:pt idx="471">
                  <c:v>1983년 4월</c:v>
                </c:pt>
                <c:pt idx="472">
                  <c:v>1983년 3월</c:v>
                </c:pt>
                <c:pt idx="473">
                  <c:v>1983년 2월</c:v>
                </c:pt>
                <c:pt idx="474">
                  <c:v>1983년 1월</c:v>
                </c:pt>
                <c:pt idx="475">
                  <c:v>1982년 12월</c:v>
                </c:pt>
                <c:pt idx="476">
                  <c:v>1982년 11월</c:v>
                </c:pt>
                <c:pt idx="477">
                  <c:v>1982년 10월</c:v>
                </c:pt>
                <c:pt idx="478">
                  <c:v>1982년 9월</c:v>
                </c:pt>
                <c:pt idx="479">
                  <c:v>1982년 8월</c:v>
                </c:pt>
                <c:pt idx="480">
                  <c:v>1982년 7월</c:v>
                </c:pt>
                <c:pt idx="481">
                  <c:v>1982년 6월</c:v>
                </c:pt>
                <c:pt idx="482">
                  <c:v>1982년 5월</c:v>
                </c:pt>
                <c:pt idx="483">
                  <c:v>1982년 4월</c:v>
                </c:pt>
                <c:pt idx="484">
                  <c:v>1982년 3월</c:v>
                </c:pt>
                <c:pt idx="485">
                  <c:v>1982년 2월</c:v>
                </c:pt>
                <c:pt idx="486">
                  <c:v>1982년 1월</c:v>
                </c:pt>
                <c:pt idx="487">
                  <c:v>1981년 12월</c:v>
                </c:pt>
                <c:pt idx="488">
                  <c:v>1981년 11월</c:v>
                </c:pt>
                <c:pt idx="489">
                  <c:v>1981년 10월</c:v>
                </c:pt>
                <c:pt idx="490">
                  <c:v>1981년 9월</c:v>
                </c:pt>
                <c:pt idx="491">
                  <c:v>1981년 8월</c:v>
                </c:pt>
                <c:pt idx="492">
                  <c:v>1981년 7월</c:v>
                </c:pt>
                <c:pt idx="493">
                  <c:v>1981년 6월</c:v>
                </c:pt>
                <c:pt idx="494">
                  <c:v>1981년 5월</c:v>
                </c:pt>
                <c:pt idx="495">
                  <c:v>1981년 4월</c:v>
                </c:pt>
                <c:pt idx="496">
                  <c:v>1981년 3월</c:v>
                </c:pt>
                <c:pt idx="497">
                  <c:v>1981년 2월</c:v>
                </c:pt>
                <c:pt idx="498">
                  <c:v>1981년 1월</c:v>
                </c:pt>
                <c:pt idx="499">
                  <c:v>1980년 12월</c:v>
                </c:pt>
                <c:pt idx="500">
                  <c:v>1980년 11월</c:v>
                </c:pt>
                <c:pt idx="501">
                  <c:v>1980년 10월</c:v>
                </c:pt>
                <c:pt idx="502">
                  <c:v>1980년 9월</c:v>
                </c:pt>
                <c:pt idx="503">
                  <c:v>1980년 8월</c:v>
                </c:pt>
                <c:pt idx="504">
                  <c:v>1980년 7월</c:v>
                </c:pt>
                <c:pt idx="505">
                  <c:v>1980년 6월</c:v>
                </c:pt>
                <c:pt idx="506">
                  <c:v>1980년 5월</c:v>
                </c:pt>
                <c:pt idx="507">
                  <c:v>1980년 4월</c:v>
                </c:pt>
                <c:pt idx="508">
                  <c:v>1980년 3월</c:v>
                </c:pt>
                <c:pt idx="509">
                  <c:v>1980년 2월</c:v>
                </c:pt>
                <c:pt idx="510">
                  <c:v>1980년 1월</c:v>
                </c:pt>
                <c:pt idx="511">
                  <c:v>1979년 12월</c:v>
                </c:pt>
                <c:pt idx="512">
                  <c:v>1979년 11월</c:v>
                </c:pt>
                <c:pt idx="513">
                  <c:v>1979년 10월</c:v>
                </c:pt>
                <c:pt idx="514">
                  <c:v>1979년 9월</c:v>
                </c:pt>
                <c:pt idx="515">
                  <c:v>1979년 8월</c:v>
                </c:pt>
                <c:pt idx="516">
                  <c:v>1979년 7월</c:v>
                </c:pt>
                <c:pt idx="517">
                  <c:v>1979년 6월</c:v>
                </c:pt>
                <c:pt idx="518">
                  <c:v>1979년 5월</c:v>
                </c:pt>
                <c:pt idx="519">
                  <c:v>1979년 4월</c:v>
                </c:pt>
                <c:pt idx="520">
                  <c:v>1979년 3월</c:v>
                </c:pt>
                <c:pt idx="521">
                  <c:v>1979년 2월</c:v>
                </c:pt>
                <c:pt idx="522">
                  <c:v>1979년 1월</c:v>
                </c:pt>
                <c:pt idx="523">
                  <c:v>1978년 12월</c:v>
                </c:pt>
                <c:pt idx="524">
                  <c:v>1978년 11월</c:v>
                </c:pt>
                <c:pt idx="525">
                  <c:v>1978년 10월</c:v>
                </c:pt>
                <c:pt idx="526">
                  <c:v>1978년 9월</c:v>
                </c:pt>
                <c:pt idx="527">
                  <c:v>1978년 8월</c:v>
                </c:pt>
                <c:pt idx="528">
                  <c:v>1978년 7월</c:v>
                </c:pt>
                <c:pt idx="529">
                  <c:v>1978년 6월</c:v>
                </c:pt>
                <c:pt idx="530">
                  <c:v>1978년 5월</c:v>
                </c:pt>
                <c:pt idx="531">
                  <c:v>1978년 4월</c:v>
                </c:pt>
                <c:pt idx="532">
                  <c:v>1978년 3월</c:v>
                </c:pt>
                <c:pt idx="533">
                  <c:v>1978년 2월</c:v>
                </c:pt>
                <c:pt idx="534">
                  <c:v>1978년 1월</c:v>
                </c:pt>
                <c:pt idx="535">
                  <c:v>1977년 12월</c:v>
                </c:pt>
                <c:pt idx="536">
                  <c:v>1977년 11월</c:v>
                </c:pt>
                <c:pt idx="537">
                  <c:v>1977년 10월</c:v>
                </c:pt>
                <c:pt idx="538">
                  <c:v>1977년 9월</c:v>
                </c:pt>
                <c:pt idx="539">
                  <c:v>1977년 8월</c:v>
                </c:pt>
                <c:pt idx="540">
                  <c:v>1977년 7월</c:v>
                </c:pt>
                <c:pt idx="541">
                  <c:v>1977년 6월</c:v>
                </c:pt>
                <c:pt idx="542">
                  <c:v>1977년 5월</c:v>
                </c:pt>
                <c:pt idx="543">
                  <c:v>1977년 4월</c:v>
                </c:pt>
                <c:pt idx="544">
                  <c:v>1977년 3월</c:v>
                </c:pt>
                <c:pt idx="545">
                  <c:v>1977년 2월</c:v>
                </c:pt>
                <c:pt idx="546">
                  <c:v>1977년 1월</c:v>
                </c:pt>
                <c:pt idx="547">
                  <c:v>1976년 12월</c:v>
                </c:pt>
                <c:pt idx="548">
                  <c:v>1976년 11월</c:v>
                </c:pt>
                <c:pt idx="549">
                  <c:v>1976년 10월</c:v>
                </c:pt>
                <c:pt idx="550">
                  <c:v>1976년 9월</c:v>
                </c:pt>
                <c:pt idx="551">
                  <c:v>1976년 8월</c:v>
                </c:pt>
                <c:pt idx="552">
                  <c:v>1976년 7월</c:v>
                </c:pt>
                <c:pt idx="553">
                  <c:v>1976년 6월</c:v>
                </c:pt>
                <c:pt idx="554">
                  <c:v>1976년 5월</c:v>
                </c:pt>
                <c:pt idx="555">
                  <c:v>1976년 4월</c:v>
                </c:pt>
                <c:pt idx="556">
                  <c:v>1976년 3월</c:v>
                </c:pt>
                <c:pt idx="557">
                  <c:v>1976년 2월</c:v>
                </c:pt>
                <c:pt idx="558">
                  <c:v>1976년 1월</c:v>
                </c:pt>
                <c:pt idx="559">
                  <c:v>1975년 12월</c:v>
                </c:pt>
                <c:pt idx="560">
                  <c:v>1975년 11월</c:v>
                </c:pt>
                <c:pt idx="561">
                  <c:v>1975년 10월</c:v>
                </c:pt>
                <c:pt idx="562">
                  <c:v>1975년 9월</c:v>
                </c:pt>
                <c:pt idx="563">
                  <c:v>1975년 8월</c:v>
                </c:pt>
                <c:pt idx="564">
                  <c:v>1975년 7월</c:v>
                </c:pt>
                <c:pt idx="565">
                  <c:v>1975년 6월</c:v>
                </c:pt>
                <c:pt idx="566">
                  <c:v>1975년 5월</c:v>
                </c:pt>
                <c:pt idx="567">
                  <c:v>1975년 4월</c:v>
                </c:pt>
                <c:pt idx="568">
                  <c:v>1975년 3월</c:v>
                </c:pt>
                <c:pt idx="569">
                  <c:v>1975년 2월</c:v>
                </c:pt>
                <c:pt idx="570">
                  <c:v>1975년 1월</c:v>
                </c:pt>
                <c:pt idx="571">
                  <c:v>1974년 12월</c:v>
                </c:pt>
                <c:pt idx="572">
                  <c:v>1974년 11월</c:v>
                </c:pt>
                <c:pt idx="573">
                  <c:v>1974년 10월</c:v>
                </c:pt>
                <c:pt idx="574">
                  <c:v>1974년 9월</c:v>
                </c:pt>
                <c:pt idx="575">
                  <c:v>1974년 8월</c:v>
                </c:pt>
                <c:pt idx="576">
                  <c:v>1974년 7월</c:v>
                </c:pt>
                <c:pt idx="577">
                  <c:v>1974년 6월</c:v>
                </c:pt>
                <c:pt idx="578">
                  <c:v>1974년 5월</c:v>
                </c:pt>
                <c:pt idx="579">
                  <c:v>1974년 4월</c:v>
                </c:pt>
                <c:pt idx="580">
                  <c:v>1974년 3월</c:v>
                </c:pt>
                <c:pt idx="581">
                  <c:v>1974년 2월</c:v>
                </c:pt>
                <c:pt idx="582">
                  <c:v>1974년 1월</c:v>
                </c:pt>
                <c:pt idx="583">
                  <c:v>1973년 12월</c:v>
                </c:pt>
                <c:pt idx="584">
                  <c:v>1973년 11월</c:v>
                </c:pt>
                <c:pt idx="585">
                  <c:v>1973년 10월</c:v>
                </c:pt>
                <c:pt idx="586">
                  <c:v>1973년 9월</c:v>
                </c:pt>
                <c:pt idx="587">
                  <c:v>1973년 8월</c:v>
                </c:pt>
                <c:pt idx="588">
                  <c:v>1973년 7월</c:v>
                </c:pt>
                <c:pt idx="589">
                  <c:v>1973년 6월</c:v>
                </c:pt>
                <c:pt idx="590">
                  <c:v>1973년 5월</c:v>
                </c:pt>
                <c:pt idx="591">
                  <c:v>1973년 4월</c:v>
                </c:pt>
                <c:pt idx="592">
                  <c:v>1973년 3월</c:v>
                </c:pt>
                <c:pt idx="593">
                  <c:v>1973년 2월</c:v>
                </c:pt>
                <c:pt idx="594">
                  <c:v>1973년 1월</c:v>
                </c:pt>
                <c:pt idx="595">
                  <c:v>1972년 12월</c:v>
                </c:pt>
                <c:pt idx="596">
                  <c:v>1972년 11월</c:v>
                </c:pt>
                <c:pt idx="597">
                  <c:v>1972년 10월</c:v>
                </c:pt>
                <c:pt idx="598">
                  <c:v>1972년 9월</c:v>
                </c:pt>
                <c:pt idx="599">
                  <c:v>1972년 8월</c:v>
                </c:pt>
                <c:pt idx="600">
                  <c:v>1972년 7월</c:v>
                </c:pt>
                <c:pt idx="601">
                  <c:v>1972년 6월</c:v>
                </c:pt>
                <c:pt idx="602">
                  <c:v>1972년 5월</c:v>
                </c:pt>
                <c:pt idx="603">
                  <c:v>1972년 4월</c:v>
                </c:pt>
                <c:pt idx="604">
                  <c:v>1972년 3월</c:v>
                </c:pt>
                <c:pt idx="605">
                  <c:v>1972년 2월</c:v>
                </c:pt>
                <c:pt idx="606">
                  <c:v>1972년 1월</c:v>
                </c:pt>
                <c:pt idx="607">
                  <c:v>1971년 12월</c:v>
                </c:pt>
                <c:pt idx="608">
                  <c:v>1971년 11월</c:v>
                </c:pt>
                <c:pt idx="609">
                  <c:v>1971년 10월</c:v>
                </c:pt>
                <c:pt idx="610">
                  <c:v>1971년 9월</c:v>
                </c:pt>
                <c:pt idx="611">
                  <c:v>1971년 8월</c:v>
                </c:pt>
                <c:pt idx="612">
                  <c:v>1971년 7월</c:v>
                </c:pt>
                <c:pt idx="613">
                  <c:v>1971년 6월</c:v>
                </c:pt>
                <c:pt idx="614">
                  <c:v>1971년 5월</c:v>
                </c:pt>
                <c:pt idx="615">
                  <c:v>1971년 4월</c:v>
                </c:pt>
                <c:pt idx="616">
                  <c:v>1971년 3월</c:v>
                </c:pt>
                <c:pt idx="617">
                  <c:v>1971년 2월</c:v>
                </c:pt>
                <c:pt idx="618">
                  <c:v>1971년 1월</c:v>
                </c:pt>
                <c:pt idx="619">
                  <c:v>1970년 12월</c:v>
                </c:pt>
                <c:pt idx="620">
                  <c:v>1970년 11월</c:v>
                </c:pt>
                <c:pt idx="621">
                  <c:v>1970년 10월</c:v>
                </c:pt>
                <c:pt idx="622">
                  <c:v>1970년 9월</c:v>
                </c:pt>
                <c:pt idx="623">
                  <c:v>1970년 8월</c:v>
                </c:pt>
                <c:pt idx="624">
                  <c:v>1970년 7월</c:v>
                </c:pt>
                <c:pt idx="625">
                  <c:v>1970년 6월</c:v>
                </c:pt>
                <c:pt idx="626">
                  <c:v>1970년 5월</c:v>
                </c:pt>
                <c:pt idx="627">
                  <c:v>1970년 4월</c:v>
                </c:pt>
                <c:pt idx="628">
                  <c:v>1970년 3월</c:v>
                </c:pt>
                <c:pt idx="629">
                  <c:v>1970년 2월</c:v>
                </c:pt>
              </c:strCache>
            </c:strRef>
          </c:cat>
          <c:val>
            <c:numRef>
              <c:f>'4 fear plan'!$C$2:$C$631</c:f>
              <c:numCache>
                <c:formatCode>#,##0.00</c:formatCode>
                <c:ptCount val="630"/>
                <c:pt idx="0">
                  <c:v>4130.29</c:v>
                </c:pt>
                <c:pt idx="1">
                  <c:v>3785.38</c:v>
                </c:pt>
                <c:pt idx="2">
                  <c:v>4132.1499999999996</c:v>
                </c:pt>
                <c:pt idx="3">
                  <c:v>4131.93</c:v>
                </c:pt>
                <c:pt idx="4">
                  <c:v>4530.41</c:v>
                </c:pt>
                <c:pt idx="5">
                  <c:v>4373.79</c:v>
                </c:pt>
                <c:pt idx="6">
                  <c:v>4515.55</c:v>
                </c:pt>
                <c:pt idx="7">
                  <c:v>4766.18</c:v>
                </c:pt>
                <c:pt idx="8">
                  <c:v>4567</c:v>
                </c:pt>
                <c:pt idx="9">
                  <c:v>4605.38</c:v>
                </c:pt>
                <c:pt idx="10">
                  <c:v>4307.54</c:v>
                </c:pt>
                <c:pt idx="11">
                  <c:v>4522.68</c:v>
                </c:pt>
                <c:pt idx="12">
                  <c:v>4395.26</c:v>
                </c:pt>
                <c:pt idx="13">
                  <c:v>4297.5</c:v>
                </c:pt>
                <c:pt idx="14">
                  <c:v>4204.1099999999997</c:v>
                </c:pt>
                <c:pt idx="15">
                  <c:v>4181.17</c:v>
                </c:pt>
                <c:pt idx="16">
                  <c:v>3972.89</c:v>
                </c:pt>
                <c:pt idx="17">
                  <c:v>3811.15</c:v>
                </c:pt>
                <c:pt idx="18">
                  <c:v>3714.24</c:v>
                </c:pt>
                <c:pt idx="19">
                  <c:v>3756.07</c:v>
                </c:pt>
                <c:pt idx="20">
                  <c:v>3621.63</c:v>
                </c:pt>
                <c:pt idx="21">
                  <c:v>3269.96</c:v>
                </c:pt>
                <c:pt idx="22">
                  <c:v>3363</c:v>
                </c:pt>
                <c:pt idx="23">
                  <c:v>3500.31</c:v>
                </c:pt>
                <c:pt idx="24">
                  <c:v>3271.12</c:v>
                </c:pt>
                <c:pt idx="25">
                  <c:v>3100.29</c:v>
                </c:pt>
                <c:pt idx="26">
                  <c:v>3044.31</c:v>
                </c:pt>
                <c:pt idx="27">
                  <c:v>2912.43</c:v>
                </c:pt>
                <c:pt idx="28">
                  <c:v>2584.59</c:v>
                </c:pt>
                <c:pt idx="29">
                  <c:v>2954.22</c:v>
                </c:pt>
                <c:pt idx="30">
                  <c:v>3225.52</c:v>
                </c:pt>
                <c:pt idx="31">
                  <c:v>3230.78</c:v>
                </c:pt>
                <c:pt idx="32">
                  <c:v>3140.98</c:v>
                </c:pt>
                <c:pt idx="33">
                  <c:v>3037.56</c:v>
                </c:pt>
                <c:pt idx="34">
                  <c:v>2976.74</c:v>
                </c:pt>
                <c:pt idx="35">
                  <c:v>2926.46</c:v>
                </c:pt>
                <c:pt idx="36">
                  <c:v>2980.38</c:v>
                </c:pt>
                <c:pt idx="37">
                  <c:v>2941.76</c:v>
                </c:pt>
                <c:pt idx="38">
                  <c:v>2752.06</c:v>
                </c:pt>
                <c:pt idx="39">
                  <c:v>2945.83</c:v>
                </c:pt>
                <c:pt idx="40">
                  <c:v>2834.4</c:v>
                </c:pt>
                <c:pt idx="41">
                  <c:v>2784.49</c:v>
                </c:pt>
                <c:pt idx="42">
                  <c:v>2704.1</c:v>
                </c:pt>
                <c:pt idx="43">
                  <c:v>2506.85</c:v>
                </c:pt>
                <c:pt idx="44">
                  <c:v>2760.17</c:v>
                </c:pt>
                <c:pt idx="45">
                  <c:v>2711.74</c:v>
                </c:pt>
                <c:pt idx="46">
                  <c:v>2913.98</c:v>
                </c:pt>
                <c:pt idx="47">
                  <c:v>2901.52</c:v>
                </c:pt>
                <c:pt idx="48">
                  <c:v>2816.29</c:v>
                </c:pt>
                <c:pt idx="49">
                  <c:v>2718.37</c:v>
                </c:pt>
                <c:pt idx="50">
                  <c:v>2705.27</c:v>
                </c:pt>
                <c:pt idx="51">
                  <c:v>2648.05</c:v>
                </c:pt>
                <c:pt idx="52">
                  <c:v>2640.87</c:v>
                </c:pt>
                <c:pt idx="53">
                  <c:v>2713.83</c:v>
                </c:pt>
                <c:pt idx="54">
                  <c:v>2823.81</c:v>
                </c:pt>
                <c:pt idx="55">
                  <c:v>2673.61</c:v>
                </c:pt>
                <c:pt idx="56">
                  <c:v>2647.58</c:v>
                </c:pt>
                <c:pt idx="57">
                  <c:v>2575.2600000000002</c:v>
                </c:pt>
                <c:pt idx="58">
                  <c:v>2519.36</c:v>
                </c:pt>
                <c:pt idx="59">
                  <c:v>2471.65</c:v>
                </c:pt>
                <c:pt idx="60">
                  <c:v>2470.3000000000002</c:v>
                </c:pt>
                <c:pt idx="61">
                  <c:v>2423.41</c:v>
                </c:pt>
                <c:pt idx="62">
                  <c:v>2411.8000000000002</c:v>
                </c:pt>
                <c:pt idx="63">
                  <c:v>2384.1999999999998</c:v>
                </c:pt>
                <c:pt idx="64">
                  <c:v>2362.7199999999998</c:v>
                </c:pt>
                <c:pt idx="65">
                  <c:v>2363.64</c:v>
                </c:pt>
                <c:pt idx="66">
                  <c:v>2278.87</c:v>
                </c:pt>
                <c:pt idx="67">
                  <c:v>2238.83</c:v>
                </c:pt>
                <c:pt idx="68">
                  <c:v>2198.81</c:v>
                </c:pt>
                <c:pt idx="69">
                  <c:v>2126.15</c:v>
                </c:pt>
                <c:pt idx="70">
                  <c:v>2168.27</c:v>
                </c:pt>
                <c:pt idx="71">
                  <c:v>2170.9499999999998</c:v>
                </c:pt>
                <c:pt idx="72">
                  <c:v>2173.6</c:v>
                </c:pt>
                <c:pt idx="73">
                  <c:v>2098.86</c:v>
                </c:pt>
                <c:pt idx="74">
                  <c:v>2096.96</c:v>
                </c:pt>
                <c:pt idx="75">
                  <c:v>2065.3000000000002</c:v>
                </c:pt>
                <c:pt idx="76">
                  <c:v>2059.7399999999998</c:v>
                </c:pt>
                <c:pt idx="77">
                  <c:v>1932.23</c:v>
                </c:pt>
                <c:pt idx="78">
                  <c:v>1940.24</c:v>
                </c:pt>
                <c:pt idx="79">
                  <c:v>2043.94</c:v>
                </c:pt>
                <c:pt idx="80">
                  <c:v>2080.41</c:v>
                </c:pt>
                <c:pt idx="81">
                  <c:v>2079.36</c:v>
                </c:pt>
                <c:pt idx="82">
                  <c:v>1920.03</c:v>
                </c:pt>
                <c:pt idx="83">
                  <c:v>1972.18</c:v>
                </c:pt>
                <c:pt idx="84">
                  <c:v>2103.84</c:v>
                </c:pt>
                <c:pt idx="85">
                  <c:v>2063.11</c:v>
                </c:pt>
                <c:pt idx="86">
                  <c:v>2107.39</c:v>
                </c:pt>
                <c:pt idx="87">
                  <c:v>2085.5100000000002</c:v>
                </c:pt>
                <c:pt idx="88">
                  <c:v>2067.89</c:v>
                </c:pt>
                <c:pt idx="89">
                  <c:v>2104.5</c:v>
                </c:pt>
                <c:pt idx="90">
                  <c:v>1994.99</c:v>
                </c:pt>
                <c:pt idx="91">
                  <c:v>2058.9</c:v>
                </c:pt>
                <c:pt idx="92">
                  <c:v>2067.56</c:v>
                </c:pt>
                <c:pt idx="93">
                  <c:v>2018.05</c:v>
                </c:pt>
                <c:pt idx="94">
                  <c:v>1972.29</c:v>
                </c:pt>
                <c:pt idx="95">
                  <c:v>2003.37</c:v>
                </c:pt>
                <c:pt idx="96">
                  <c:v>1930.67</c:v>
                </c:pt>
                <c:pt idx="97">
                  <c:v>1960.23</c:v>
                </c:pt>
                <c:pt idx="98">
                  <c:v>1923.57</c:v>
                </c:pt>
                <c:pt idx="99">
                  <c:v>1883.95</c:v>
                </c:pt>
                <c:pt idx="100">
                  <c:v>1872.34</c:v>
                </c:pt>
                <c:pt idx="101">
                  <c:v>1859.45</c:v>
                </c:pt>
                <c:pt idx="102">
                  <c:v>1782.59</c:v>
                </c:pt>
                <c:pt idx="103">
                  <c:v>1848.36</c:v>
                </c:pt>
                <c:pt idx="104">
                  <c:v>1805.81</c:v>
                </c:pt>
                <c:pt idx="105">
                  <c:v>1756.54</c:v>
                </c:pt>
                <c:pt idx="106">
                  <c:v>1681.55</c:v>
                </c:pt>
                <c:pt idx="107">
                  <c:v>1632.97</c:v>
                </c:pt>
                <c:pt idx="108">
                  <c:v>1685.73</c:v>
                </c:pt>
                <c:pt idx="109">
                  <c:v>1606.28</c:v>
                </c:pt>
                <c:pt idx="110">
                  <c:v>1630.74</c:v>
                </c:pt>
                <c:pt idx="111">
                  <c:v>1597.57</c:v>
                </c:pt>
                <c:pt idx="112">
                  <c:v>1569.19</c:v>
                </c:pt>
                <c:pt idx="113">
                  <c:v>1514.68</c:v>
                </c:pt>
                <c:pt idx="114">
                  <c:v>1498.11</c:v>
                </c:pt>
                <c:pt idx="115">
                  <c:v>1426.19</c:v>
                </c:pt>
                <c:pt idx="116">
                  <c:v>1416.18</c:v>
                </c:pt>
                <c:pt idx="117">
                  <c:v>1412.16</c:v>
                </c:pt>
                <c:pt idx="118">
                  <c:v>1440.67</c:v>
                </c:pt>
                <c:pt idx="119">
                  <c:v>1406.58</c:v>
                </c:pt>
                <c:pt idx="120">
                  <c:v>1379.32</c:v>
                </c:pt>
                <c:pt idx="121">
                  <c:v>1362.16</c:v>
                </c:pt>
                <c:pt idx="122">
                  <c:v>1310.33</c:v>
                </c:pt>
                <c:pt idx="123">
                  <c:v>1397.91</c:v>
                </c:pt>
                <c:pt idx="124">
                  <c:v>1408.47</c:v>
                </c:pt>
                <c:pt idx="125">
                  <c:v>1365.68</c:v>
                </c:pt>
                <c:pt idx="126">
                  <c:v>1312.41</c:v>
                </c:pt>
                <c:pt idx="127">
                  <c:v>1257.5999999999999</c:v>
                </c:pt>
                <c:pt idx="128">
                  <c:v>1246.96</c:v>
                </c:pt>
                <c:pt idx="129">
                  <c:v>1253.3</c:v>
                </c:pt>
                <c:pt idx="130">
                  <c:v>1131.42</c:v>
                </c:pt>
                <c:pt idx="131">
                  <c:v>1218.8900000000001</c:v>
                </c:pt>
                <c:pt idx="132">
                  <c:v>1292.28</c:v>
                </c:pt>
                <c:pt idx="133">
                  <c:v>1320.64</c:v>
                </c:pt>
                <c:pt idx="134">
                  <c:v>1345.2</c:v>
                </c:pt>
                <c:pt idx="135">
                  <c:v>1363.61</c:v>
                </c:pt>
                <c:pt idx="136">
                  <c:v>1325.83</c:v>
                </c:pt>
                <c:pt idx="137">
                  <c:v>1327.22</c:v>
                </c:pt>
                <c:pt idx="138">
                  <c:v>1286.1199999999999</c:v>
                </c:pt>
                <c:pt idx="139">
                  <c:v>1257.6400000000001</c:v>
                </c:pt>
                <c:pt idx="140">
                  <c:v>1180.55</c:v>
                </c:pt>
                <c:pt idx="141">
                  <c:v>1183.26</c:v>
                </c:pt>
                <c:pt idx="142">
                  <c:v>1141.2</c:v>
                </c:pt>
                <c:pt idx="143">
                  <c:v>1049.33</c:v>
                </c:pt>
                <c:pt idx="144">
                  <c:v>1101.5999999999999</c:v>
                </c:pt>
                <c:pt idx="145">
                  <c:v>1030.71</c:v>
                </c:pt>
                <c:pt idx="146">
                  <c:v>1089.4100000000001</c:v>
                </c:pt>
                <c:pt idx="147">
                  <c:v>1186.69</c:v>
                </c:pt>
                <c:pt idx="148">
                  <c:v>1169.43</c:v>
                </c:pt>
                <c:pt idx="149">
                  <c:v>1104.49</c:v>
                </c:pt>
                <c:pt idx="150">
                  <c:v>1073.8699999999999</c:v>
                </c:pt>
                <c:pt idx="151">
                  <c:v>1115.0999999999999</c:v>
                </c:pt>
                <c:pt idx="152">
                  <c:v>1095.6300000000001</c:v>
                </c:pt>
                <c:pt idx="153">
                  <c:v>1036.19</c:v>
                </c:pt>
                <c:pt idx="154">
                  <c:v>1057.08</c:v>
                </c:pt>
                <c:pt idx="155">
                  <c:v>1020.62</c:v>
                </c:pt>
                <c:pt idx="156" formatCode="General">
                  <c:v>987.48</c:v>
                </c:pt>
                <c:pt idx="157" formatCode="General">
                  <c:v>919.32</c:v>
                </c:pt>
                <c:pt idx="158" formatCode="General">
                  <c:v>919.14</c:v>
                </c:pt>
                <c:pt idx="159" formatCode="General">
                  <c:v>872.81</c:v>
                </c:pt>
                <c:pt idx="160" formatCode="General">
                  <c:v>797.87</c:v>
                </c:pt>
                <c:pt idx="161" formatCode="General">
                  <c:v>735.09</c:v>
                </c:pt>
                <c:pt idx="162" formatCode="General">
                  <c:v>825.88</c:v>
                </c:pt>
                <c:pt idx="163" formatCode="General">
                  <c:v>903.25</c:v>
                </c:pt>
                <c:pt idx="164" formatCode="General">
                  <c:v>896.24</c:v>
                </c:pt>
                <c:pt idx="165" formatCode="General">
                  <c:v>968.75</c:v>
                </c:pt>
                <c:pt idx="166">
                  <c:v>1166.3599999999999</c:v>
                </c:pt>
                <c:pt idx="167">
                  <c:v>1282.83</c:v>
                </c:pt>
                <c:pt idx="168">
                  <c:v>1267.3800000000001</c:v>
                </c:pt>
                <c:pt idx="169">
                  <c:v>1280</c:v>
                </c:pt>
                <c:pt idx="170">
                  <c:v>1400.38</c:v>
                </c:pt>
                <c:pt idx="171">
                  <c:v>1385.59</c:v>
                </c:pt>
                <c:pt idx="172">
                  <c:v>1322.7</c:v>
                </c:pt>
                <c:pt idx="173">
                  <c:v>1330.63</c:v>
                </c:pt>
                <c:pt idx="174">
                  <c:v>1378.55</c:v>
                </c:pt>
                <c:pt idx="175">
                  <c:v>1468.36</c:v>
                </c:pt>
                <c:pt idx="176">
                  <c:v>1481.14</c:v>
                </c:pt>
                <c:pt idx="177">
                  <c:v>1549.38</c:v>
                </c:pt>
                <c:pt idx="178">
                  <c:v>1526.75</c:v>
                </c:pt>
                <c:pt idx="179">
                  <c:v>1473.99</c:v>
                </c:pt>
                <c:pt idx="180">
                  <c:v>1455.27</c:v>
                </c:pt>
                <c:pt idx="181">
                  <c:v>1503.35</c:v>
                </c:pt>
                <c:pt idx="182">
                  <c:v>1530.62</c:v>
                </c:pt>
                <c:pt idx="183">
                  <c:v>1482.37</c:v>
                </c:pt>
                <c:pt idx="184">
                  <c:v>1420.86</c:v>
                </c:pt>
                <c:pt idx="185">
                  <c:v>1406.82</c:v>
                </c:pt>
                <c:pt idx="186">
                  <c:v>1438.24</c:v>
                </c:pt>
                <c:pt idx="187">
                  <c:v>1418.3</c:v>
                </c:pt>
                <c:pt idx="188">
                  <c:v>1400.63</c:v>
                </c:pt>
                <c:pt idx="189">
                  <c:v>1377.94</c:v>
                </c:pt>
                <c:pt idx="190">
                  <c:v>1335.85</c:v>
                </c:pt>
                <c:pt idx="191">
                  <c:v>1303.82</c:v>
                </c:pt>
                <c:pt idx="192">
                  <c:v>1276.6600000000001</c:v>
                </c:pt>
                <c:pt idx="193">
                  <c:v>1270.2</c:v>
                </c:pt>
                <c:pt idx="194">
                  <c:v>1270.0899999999999</c:v>
                </c:pt>
                <c:pt idx="195">
                  <c:v>1310.6099999999999</c:v>
                </c:pt>
                <c:pt idx="196">
                  <c:v>1294.83</c:v>
                </c:pt>
                <c:pt idx="197">
                  <c:v>1280.6600000000001</c:v>
                </c:pt>
                <c:pt idx="198">
                  <c:v>1280.08</c:v>
                </c:pt>
                <c:pt idx="199">
                  <c:v>1248.29</c:v>
                </c:pt>
                <c:pt idx="200">
                  <c:v>1249.48</c:v>
                </c:pt>
                <c:pt idx="201">
                  <c:v>1207.01</c:v>
                </c:pt>
                <c:pt idx="202">
                  <c:v>1228.81</c:v>
                </c:pt>
                <c:pt idx="203">
                  <c:v>1220.33</c:v>
                </c:pt>
                <c:pt idx="204">
                  <c:v>1234.18</c:v>
                </c:pt>
                <c:pt idx="205">
                  <c:v>1191.33</c:v>
                </c:pt>
                <c:pt idx="206">
                  <c:v>1191.5</c:v>
                </c:pt>
                <c:pt idx="207">
                  <c:v>1156.8499999999999</c:v>
                </c:pt>
                <c:pt idx="208">
                  <c:v>1180.5899999999999</c:v>
                </c:pt>
                <c:pt idx="209">
                  <c:v>1203.5999999999999</c:v>
                </c:pt>
                <c:pt idx="210">
                  <c:v>1181.27</c:v>
                </c:pt>
                <c:pt idx="211">
                  <c:v>1211.92</c:v>
                </c:pt>
                <c:pt idx="212">
                  <c:v>1173.82</c:v>
                </c:pt>
                <c:pt idx="213">
                  <c:v>1130.2</c:v>
                </c:pt>
                <c:pt idx="214">
                  <c:v>1114.58</c:v>
                </c:pt>
                <c:pt idx="215">
                  <c:v>1104.24</c:v>
                </c:pt>
                <c:pt idx="216">
                  <c:v>1101.72</c:v>
                </c:pt>
                <c:pt idx="217">
                  <c:v>1140.8399999999999</c:v>
                </c:pt>
                <c:pt idx="218">
                  <c:v>1120.68</c:v>
                </c:pt>
                <c:pt idx="219">
                  <c:v>1107.3</c:v>
                </c:pt>
                <c:pt idx="220">
                  <c:v>1126.21</c:v>
                </c:pt>
                <c:pt idx="221">
                  <c:v>1144.94</c:v>
                </c:pt>
                <c:pt idx="222">
                  <c:v>1131.1300000000001</c:v>
                </c:pt>
                <c:pt idx="223">
                  <c:v>1111.92</c:v>
                </c:pt>
                <c:pt idx="224">
                  <c:v>1058.2</c:v>
                </c:pt>
                <c:pt idx="225">
                  <c:v>1050.71</c:v>
                </c:pt>
                <c:pt idx="226" formatCode="General">
                  <c:v>995.97</c:v>
                </c:pt>
                <c:pt idx="227">
                  <c:v>1008.01</c:v>
                </c:pt>
                <c:pt idx="228" formatCode="General">
                  <c:v>993.32</c:v>
                </c:pt>
                <c:pt idx="229" formatCode="General">
                  <c:v>974.5</c:v>
                </c:pt>
                <c:pt idx="230" formatCode="General">
                  <c:v>963.59</c:v>
                </c:pt>
                <c:pt idx="231" formatCode="General">
                  <c:v>916.92</c:v>
                </c:pt>
                <c:pt idx="232" formatCode="General">
                  <c:v>848.18</c:v>
                </c:pt>
                <c:pt idx="233" formatCode="General">
                  <c:v>841.15</c:v>
                </c:pt>
                <c:pt idx="234" formatCode="General">
                  <c:v>855.7</c:v>
                </c:pt>
                <c:pt idx="235" formatCode="General">
                  <c:v>879.82</c:v>
                </c:pt>
                <c:pt idx="236" formatCode="General">
                  <c:v>936.31</c:v>
                </c:pt>
                <c:pt idx="237" formatCode="General">
                  <c:v>885.76</c:v>
                </c:pt>
                <c:pt idx="238" formatCode="General">
                  <c:v>815.28</c:v>
                </c:pt>
                <c:pt idx="239" formatCode="General">
                  <c:v>916.07</c:v>
                </c:pt>
                <c:pt idx="240" formatCode="General">
                  <c:v>911.62</c:v>
                </c:pt>
                <c:pt idx="241" formatCode="General">
                  <c:v>989.82</c:v>
                </c:pt>
                <c:pt idx="242">
                  <c:v>1067.1400000000001</c:v>
                </c:pt>
                <c:pt idx="243">
                  <c:v>1076.92</c:v>
                </c:pt>
                <c:pt idx="244">
                  <c:v>1147.3900000000001</c:v>
                </c:pt>
                <c:pt idx="245">
                  <c:v>1106.73</c:v>
                </c:pt>
                <c:pt idx="246">
                  <c:v>1130.2</c:v>
                </c:pt>
                <c:pt idx="247">
                  <c:v>1148.08</c:v>
                </c:pt>
                <c:pt idx="248">
                  <c:v>1139.45</c:v>
                </c:pt>
                <c:pt idx="249">
                  <c:v>1059.78</c:v>
                </c:pt>
                <c:pt idx="250">
                  <c:v>1040.94</c:v>
                </c:pt>
                <c:pt idx="251">
                  <c:v>1133.58</c:v>
                </c:pt>
                <c:pt idx="252">
                  <c:v>1211.23</c:v>
                </c:pt>
                <c:pt idx="253">
                  <c:v>1224.3800000000001</c:v>
                </c:pt>
                <c:pt idx="254">
                  <c:v>1255.82</c:v>
                </c:pt>
                <c:pt idx="255">
                  <c:v>1249.46</c:v>
                </c:pt>
                <c:pt idx="256">
                  <c:v>1160.33</c:v>
                </c:pt>
                <c:pt idx="257">
                  <c:v>1239.94</c:v>
                </c:pt>
                <c:pt idx="258">
                  <c:v>1366.01</c:v>
                </c:pt>
                <c:pt idx="259">
                  <c:v>1320.28</c:v>
                </c:pt>
                <c:pt idx="260">
                  <c:v>1314.95</c:v>
                </c:pt>
                <c:pt idx="261">
                  <c:v>1429.4</c:v>
                </c:pt>
                <c:pt idx="262">
                  <c:v>1436.51</c:v>
                </c:pt>
                <c:pt idx="263">
                  <c:v>1517.68</c:v>
                </c:pt>
                <c:pt idx="264">
                  <c:v>1430.83</c:v>
                </c:pt>
                <c:pt idx="265">
                  <c:v>1454.6</c:v>
                </c:pt>
                <c:pt idx="266">
                  <c:v>1420.6</c:v>
                </c:pt>
                <c:pt idx="267">
                  <c:v>1452.43</c:v>
                </c:pt>
                <c:pt idx="268">
                  <c:v>1498.58</c:v>
                </c:pt>
                <c:pt idx="269">
                  <c:v>1366.42</c:v>
                </c:pt>
                <c:pt idx="270">
                  <c:v>1394.46</c:v>
                </c:pt>
                <c:pt idx="271">
                  <c:v>1469.25</c:v>
                </c:pt>
                <c:pt idx="272">
                  <c:v>1388.91</c:v>
                </c:pt>
                <c:pt idx="273">
                  <c:v>1362.93</c:v>
                </c:pt>
                <c:pt idx="274">
                  <c:v>1282.71</c:v>
                </c:pt>
                <c:pt idx="275">
                  <c:v>1320.41</c:v>
                </c:pt>
                <c:pt idx="276">
                  <c:v>1328.72</c:v>
                </c:pt>
                <c:pt idx="277">
                  <c:v>1372.71</c:v>
                </c:pt>
                <c:pt idx="278">
                  <c:v>1301.8399999999999</c:v>
                </c:pt>
                <c:pt idx="279">
                  <c:v>1335.18</c:v>
                </c:pt>
                <c:pt idx="280">
                  <c:v>1286.3699999999999</c:v>
                </c:pt>
                <c:pt idx="281">
                  <c:v>1238.33</c:v>
                </c:pt>
                <c:pt idx="282">
                  <c:v>1279.6400000000001</c:v>
                </c:pt>
                <c:pt idx="283">
                  <c:v>1229.23</c:v>
                </c:pt>
                <c:pt idx="284">
                  <c:v>1163.6300000000001</c:v>
                </c:pt>
                <c:pt idx="285">
                  <c:v>1098.67</c:v>
                </c:pt>
                <c:pt idx="286">
                  <c:v>1017.01</c:v>
                </c:pt>
                <c:pt idx="287" formatCode="General">
                  <c:v>957.28</c:v>
                </c:pt>
                <c:pt idx="288">
                  <c:v>1120.67</c:v>
                </c:pt>
                <c:pt idx="289">
                  <c:v>1133.8399999999999</c:v>
                </c:pt>
                <c:pt idx="290">
                  <c:v>1090.82</c:v>
                </c:pt>
                <c:pt idx="291">
                  <c:v>1111.75</c:v>
                </c:pt>
                <c:pt idx="292">
                  <c:v>1101.75</c:v>
                </c:pt>
                <c:pt idx="293">
                  <c:v>1049.3399999999999</c:v>
                </c:pt>
                <c:pt idx="294" formatCode="General">
                  <c:v>980.28</c:v>
                </c:pt>
                <c:pt idx="295" formatCode="General">
                  <c:v>970.43</c:v>
                </c:pt>
                <c:pt idx="296" formatCode="General">
                  <c:v>955.4</c:v>
                </c:pt>
                <c:pt idx="297" formatCode="General">
                  <c:v>914.62</c:v>
                </c:pt>
                <c:pt idx="298" formatCode="General">
                  <c:v>947.28</c:v>
                </c:pt>
                <c:pt idx="299" formatCode="General">
                  <c:v>899.47</c:v>
                </c:pt>
                <c:pt idx="300" formatCode="General">
                  <c:v>954.31</c:v>
                </c:pt>
                <c:pt idx="301" formatCode="General">
                  <c:v>885.14</c:v>
                </c:pt>
                <c:pt idx="302" formatCode="General">
                  <c:v>848.28</c:v>
                </c:pt>
                <c:pt idx="303" formatCode="General">
                  <c:v>801.34</c:v>
                </c:pt>
                <c:pt idx="304" formatCode="General">
                  <c:v>757.12</c:v>
                </c:pt>
                <c:pt idx="305" formatCode="General">
                  <c:v>790.82</c:v>
                </c:pt>
                <c:pt idx="306" formatCode="General">
                  <c:v>786.16</c:v>
                </c:pt>
                <c:pt idx="307" formatCode="General">
                  <c:v>740.74</c:v>
                </c:pt>
                <c:pt idx="308" formatCode="General">
                  <c:v>757.02</c:v>
                </c:pt>
                <c:pt idx="309" formatCode="General">
                  <c:v>705.27</c:v>
                </c:pt>
                <c:pt idx="310" formatCode="General">
                  <c:v>687.33</c:v>
                </c:pt>
                <c:pt idx="311" formatCode="General">
                  <c:v>651.99</c:v>
                </c:pt>
                <c:pt idx="312" formatCode="General">
                  <c:v>639.95000000000005</c:v>
                </c:pt>
                <c:pt idx="313" formatCode="General">
                  <c:v>670.63</c:v>
                </c:pt>
                <c:pt idx="314" formatCode="General">
                  <c:v>669.12</c:v>
                </c:pt>
                <c:pt idx="315" formatCode="General">
                  <c:v>654.16999999999996</c:v>
                </c:pt>
                <c:pt idx="316" formatCode="General">
                  <c:v>645.5</c:v>
                </c:pt>
                <c:pt idx="317" formatCode="General">
                  <c:v>640.42999999999995</c:v>
                </c:pt>
                <c:pt idx="318" formatCode="General">
                  <c:v>636.02</c:v>
                </c:pt>
                <c:pt idx="319" formatCode="General">
                  <c:v>615.92999999999995</c:v>
                </c:pt>
                <c:pt idx="320" formatCode="General">
                  <c:v>605.37</c:v>
                </c:pt>
                <c:pt idx="321" formatCode="General">
                  <c:v>581.5</c:v>
                </c:pt>
                <c:pt idx="322" formatCode="General">
                  <c:v>584.41</c:v>
                </c:pt>
                <c:pt idx="323" formatCode="General">
                  <c:v>561.88</c:v>
                </c:pt>
                <c:pt idx="324" formatCode="General">
                  <c:v>562.05999999999995</c:v>
                </c:pt>
                <c:pt idx="325" formatCode="General">
                  <c:v>544.75</c:v>
                </c:pt>
                <c:pt idx="326" formatCode="General">
                  <c:v>533.4</c:v>
                </c:pt>
                <c:pt idx="327" formatCode="General">
                  <c:v>514.71</c:v>
                </c:pt>
                <c:pt idx="328" formatCode="General">
                  <c:v>500.71</c:v>
                </c:pt>
                <c:pt idx="329" formatCode="General">
                  <c:v>487.39</c:v>
                </c:pt>
                <c:pt idx="330" formatCode="General">
                  <c:v>470.42</c:v>
                </c:pt>
                <c:pt idx="331" formatCode="General">
                  <c:v>459.27</c:v>
                </c:pt>
                <c:pt idx="332" formatCode="General">
                  <c:v>453.69</c:v>
                </c:pt>
                <c:pt idx="333" formatCode="General">
                  <c:v>472.35</c:v>
                </c:pt>
                <c:pt idx="334" formatCode="General">
                  <c:v>462.71</c:v>
                </c:pt>
                <c:pt idx="335" formatCode="General">
                  <c:v>475.49</c:v>
                </c:pt>
                <c:pt idx="336" formatCode="General">
                  <c:v>458.26</c:v>
                </c:pt>
                <c:pt idx="337" formatCode="General">
                  <c:v>444.27</c:v>
                </c:pt>
                <c:pt idx="338" formatCode="General">
                  <c:v>456.5</c:v>
                </c:pt>
                <c:pt idx="339" formatCode="General">
                  <c:v>450.91</c:v>
                </c:pt>
                <c:pt idx="340" formatCode="General">
                  <c:v>445.77</c:v>
                </c:pt>
                <c:pt idx="341" formatCode="General">
                  <c:v>467.14</c:v>
                </c:pt>
                <c:pt idx="342" formatCode="General">
                  <c:v>481.61</c:v>
                </c:pt>
                <c:pt idx="343" formatCode="General">
                  <c:v>466.45</c:v>
                </c:pt>
                <c:pt idx="344" formatCode="General">
                  <c:v>461.79</c:v>
                </c:pt>
                <c:pt idx="345" formatCode="General">
                  <c:v>467.83</c:v>
                </c:pt>
                <c:pt idx="346" formatCode="General">
                  <c:v>458.93</c:v>
                </c:pt>
                <c:pt idx="347" formatCode="General">
                  <c:v>463.56</c:v>
                </c:pt>
                <c:pt idx="348" formatCode="General">
                  <c:v>448.13</c:v>
                </c:pt>
                <c:pt idx="349" formatCode="General">
                  <c:v>450.53</c:v>
                </c:pt>
                <c:pt idx="350" formatCode="General">
                  <c:v>450.19</c:v>
                </c:pt>
                <c:pt idx="351" formatCode="General">
                  <c:v>440.19</c:v>
                </c:pt>
                <c:pt idx="352" formatCode="General">
                  <c:v>451.67</c:v>
                </c:pt>
                <c:pt idx="353" formatCode="General">
                  <c:v>443.38</c:v>
                </c:pt>
                <c:pt idx="354" formatCode="General">
                  <c:v>438.78</c:v>
                </c:pt>
                <c:pt idx="355" formatCode="General">
                  <c:v>435.71</c:v>
                </c:pt>
                <c:pt idx="356" formatCode="General">
                  <c:v>431.35</c:v>
                </c:pt>
                <c:pt idx="357" formatCode="General">
                  <c:v>418.68</c:v>
                </c:pt>
                <c:pt idx="358" formatCode="General">
                  <c:v>417.8</c:v>
                </c:pt>
                <c:pt idx="359" formatCode="General">
                  <c:v>414.03</c:v>
                </c:pt>
                <c:pt idx="360" formatCode="General">
                  <c:v>424.21</c:v>
                </c:pt>
                <c:pt idx="361" formatCode="General">
                  <c:v>408.14</c:v>
                </c:pt>
                <c:pt idx="362" formatCode="General">
                  <c:v>415.35</c:v>
                </c:pt>
                <c:pt idx="363" formatCode="General">
                  <c:v>414.95</c:v>
                </c:pt>
                <c:pt idx="364" formatCode="General">
                  <c:v>403.69</c:v>
                </c:pt>
                <c:pt idx="365" formatCode="General">
                  <c:v>412.7</c:v>
                </c:pt>
                <c:pt idx="366" formatCode="General">
                  <c:v>408.78</c:v>
                </c:pt>
                <c:pt idx="367" formatCode="General">
                  <c:v>417.09</c:v>
                </c:pt>
                <c:pt idx="368" formatCode="General">
                  <c:v>375.22</c:v>
                </c:pt>
                <c:pt idx="369" formatCode="General">
                  <c:v>392.45</c:v>
                </c:pt>
                <c:pt idx="370" formatCode="General">
                  <c:v>387.86</c:v>
                </c:pt>
                <c:pt idx="371" formatCode="General">
                  <c:v>395.43</c:v>
                </c:pt>
                <c:pt idx="372" formatCode="General">
                  <c:v>387.81</c:v>
                </c:pt>
                <c:pt idx="373" formatCode="General">
                  <c:v>371.16</c:v>
                </c:pt>
                <c:pt idx="374" formatCode="General">
                  <c:v>389.83</c:v>
                </c:pt>
                <c:pt idx="375" formatCode="General">
                  <c:v>375.34</c:v>
                </c:pt>
                <c:pt idx="376" formatCode="General">
                  <c:v>375.22</c:v>
                </c:pt>
                <c:pt idx="377" formatCode="General">
                  <c:v>367.07</c:v>
                </c:pt>
                <c:pt idx="378" formatCode="General">
                  <c:v>343.93</c:v>
                </c:pt>
                <c:pt idx="379" formatCode="General">
                  <c:v>330.22</c:v>
                </c:pt>
                <c:pt idx="380" formatCode="General">
                  <c:v>322.22000000000003</c:v>
                </c:pt>
                <c:pt idx="381" formatCode="General">
                  <c:v>304</c:v>
                </c:pt>
                <c:pt idx="382" formatCode="General">
                  <c:v>306.05</c:v>
                </c:pt>
                <c:pt idx="383" formatCode="General">
                  <c:v>322.56</c:v>
                </c:pt>
                <c:pt idx="384" formatCode="General">
                  <c:v>356.15</c:v>
                </c:pt>
                <c:pt idx="385" formatCode="General">
                  <c:v>358.02</c:v>
                </c:pt>
                <c:pt idx="386" formatCode="General">
                  <c:v>361.23</c:v>
                </c:pt>
                <c:pt idx="387" formatCode="General">
                  <c:v>330.8</c:v>
                </c:pt>
                <c:pt idx="388" formatCode="General">
                  <c:v>339.94</c:v>
                </c:pt>
                <c:pt idx="389" formatCode="General">
                  <c:v>331.89</c:v>
                </c:pt>
                <c:pt idx="390" formatCode="General">
                  <c:v>329.08</c:v>
                </c:pt>
                <c:pt idx="391" formatCode="General">
                  <c:v>353.4</c:v>
                </c:pt>
                <c:pt idx="392" formatCode="General">
                  <c:v>345.99</c:v>
                </c:pt>
                <c:pt idx="393" formatCode="General">
                  <c:v>340.36</c:v>
                </c:pt>
                <c:pt idx="394" formatCode="General">
                  <c:v>349.15</c:v>
                </c:pt>
                <c:pt idx="395" formatCode="General">
                  <c:v>351.45</c:v>
                </c:pt>
                <c:pt idx="396" formatCode="General">
                  <c:v>346.08</c:v>
                </c:pt>
                <c:pt idx="397" formatCode="General">
                  <c:v>317.98</c:v>
                </c:pt>
                <c:pt idx="398" formatCode="General">
                  <c:v>320.52</c:v>
                </c:pt>
                <c:pt idx="399" formatCode="General">
                  <c:v>309.64</c:v>
                </c:pt>
                <c:pt idx="400" formatCode="General">
                  <c:v>294.87</c:v>
                </c:pt>
                <c:pt idx="401" formatCode="General">
                  <c:v>288.86</c:v>
                </c:pt>
                <c:pt idx="402" formatCode="General">
                  <c:v>297.47000000000003</c:v>
                </c:pt>
                <c:pt idx="403" formatCode="General">
                  <c:v>277.72000000000003</c:v>
                </c:pt>
                <c:pt idx="404" formatCode="General">
                  <c:v>273.7</c:v>
                </c:pt>
                <c:pt idx="405" formatCode="General">
                  <c:v>278.97000000000003</c:v>
                </c:pt>
                <c:pt idx="406" formatCode="General">
                  <c:v>271.91000000000003</c:v>
                </c:pt>
                <c:pt idx="407" formatCode="General">
                  <c:v>261.52</c:v>
                </c:pt>
                <c:pt idx="408" formatCode="General">
                  <c:v>272.02</c:v>
                </c:pt>
                <c:pt idx="409" formatCode="General">
                  <c:v>273.5</c:v>
                </c:pt>
                <c:pt idx="410" formatCode="General">
                  <c:v>262.16000000000003</c:v>
                </c:pt>
                <c:pt idx="411" formatCode="General">
                  <c:v>261.33</c:v>
                </c:pt>
                <c:pt idx="412" formatCode="General">
                  <c:v>258.89</c:v>
                </c:pt>
                <c:pt idx="413" formatCode="General">
                  <c:v>267.82</c:v>
                </c:pt>
                <c:pt idx="414" formatCode="General">
                  <c:v>257.07</c:v>
                </c:pt>
                <c:pt idx="415" formatCode="General">
                  <c:v>247.08</c:v>
                </c:pt>
                <c:pt idx="416" formatCode="General">
                  <c:v>230.3</c:v>
                </c:pt>
                <c:pt idx="417" formatCode="General">
                  <c:v>251.79</c:v>
                </c:pt>
                <c:pt idx="418" formatCode="General">
                  <c:v>321.83</c:v>
                </c:pt>
                <c:pt idx="419" formatCode="General">
                  <c:v>329.8</c:v>
                </c:pt>
                <c:pt idx="420" formatCode="General">
                  <c:v>318.66000000000003</c:v>
                </c:pt>
                <c:pt idx="421" formatCode="General">
                  <c:v>304</c:v>
                </c:pt>
                <c:pt idx="422" formatCode="General">
                  <c:v>290.10000000000002</c:v>
                </c:pt>
                <c:pt idx="423" formatCode="General">
                  <c:v>288.36</c:v>
                </c:pt>
                <c:pt idx="424" formatCode="General">
                  <c:v>291.7</c:v>
                </c:pt>
                <c:pt idx="425" formatCode="General">
                  <c:v>284.2</c:v>
                </c:pt>
                <c:pt idx="426" formatCode="General">
                  <c:v>274.08</c:v>
                </c:pt>
                <c:pt idx="427" formatCode="General">
                  <c:v>242.17</c:v>
                </c:pt>
                <c:pt idx="428" formatCode="General">
                  <c:v>249.22</c:v>
                </c:pt>
                <c:pt idx="429" formatCode="General">
                  <c:v>243.98</c:v>
                </c:pt>
                <c:pt idx="430" formatCode="General">
                  <c:v>231.32</c:v>
                </c:pt>
                <c:pt idx="431" formatCode="General">
                  <c:v>252.93</c:v>
                </c:pt>
                <c:pt idx="432" formatCode="General">
                  <c:v>236.12</c:v>
                </c:pt>
                <c:pt idx="433" formatCode="General">
                  <c:v>250.84</c:v>
                </c:pt>
                <c:pt idx="434" formatCode="General">
                  <c:v>247.35</c:v>
                </c:pt>
                <c:pt idx="435" formatCode="General">
                  <c:v>235.52</c:v>
                </c:pt>
                <c:pt idx="436" formatCode="General">
                  <c:v>238.9</c:v>
                </c:pt>
                <c:pt idx="437" formatCode="General">
                  <c:v>226.92</c:v>
                </c:pt>
                <c:pt idx="438" formatCode="General">
                  <c:v>211.78</c:v>
                </c:pt>
                <c:pt idx="439" formatCode="General">
                  <c:v>211.28</c:v>
                </c:pt>
                <c:pt idx="440" formatCode="General">
                  <c:v>202.17</c:v>
                </c:pt>
                <c:pt idx="441" formatCode="General">
                  <c:v>189.82</c:v>
                </c:pt>
                <c:pt idx="442" formatCode="General">
                  <c:v>182.08</c:v>
                </c:pt>
                <c:pt idx="443" formatCode="General">
                  <c:v>188.63</c:v>
                </c:pt>
                <c:pt idx="444" formatCode="General">
                  <c:v>190.92</c:v>
                </c:pt>
                <c:pt idx="445" formatCode="General">
                  <c:v>191.85</c:v>
                </c:pt>
                <c:pt idx="446" formatCode="General">
                  <c:v>189.55</c:v>
                </c:pt>
                <c:pt idx="447" formatCode="General">
                  <c:v>179.83</c:v>
                </c:pt>
                <c:pt idx="448" formatCode="General">
                  <c:v>180.66</c:v>
                </c:pt>
                <c:pt idx="449" formatCode="General">
                  <c:v>181.18</c:v>
                </c:pt>
                <c:pt idx="450" formatCode="General">
                  <c:v>179.63</c:v>
                </c:pt>
                <c:pt idx="451" formatCode="General">
                  <c:v>167.24</c:v>
                </c:pt>
                <c:pt idx="452" formatCode="General">
                  <c:v>163.58000000000001</c:v>
                </c:pt>
                <c:pt idx="453" formatCode="General">
                  <c:v>166.09</c:v>
                </c:pt>
                <c:pt idx="454" formatCode="General">
                  <c:v>166.1</c:v>
                </c:pt>
                <c:pt idx="455" formatCode="General">
                  <c:v>166.68</c:v>
                </c:pt>
                <c:pt idx="456" formatCode="General">
                  <c:v>150.66</c:v>
                </c:pt>
                <c:pt idx="457" formatCode="General">
                  <c:v>153.18</c:v>
                </c:pt>
                <c:pt idx="458" formatCode="General">
                  <c:v>150.55000000000001</c:v>
                </c:pt>
                <c:pt idx="459" formatCode="General">
                  <c:v>160.05000000000001</c:v>
                </c:pt>
                <c:pt idx="460" formatCode="General">
                  <c:v>159.18</c:v>
                </c:pt>
                <c:pt idx="461" formatCode="General">
                  <c:v>157.06</c:v>
                </c:pt>
                <c:pt idx="462" formatCode="General">
                  <c:v>163.41</c:v>
                </c:pt>
                <c:pt idx="463" formatCode="General">
                  <c:v>164.93</c:v>
                </c:pt>
                <c:pt idx="464" formatCode="General">
                  <c:v>166.4</c:v>
                </c:pt>
                <c:pt idx="465" formatCode="General">
                  <c:v>163.55000000000001</c:v>
                </c:pt>
                <c:pt idx="466" formatCode="General">
                  <c:v>166.07</c:v>
                </c:pt>
                <c:pt idx="467" formatCode="General">
                  <c:v>164.4</c:v>
                </c:pt>
                <c:pt idx="468" formatCode="General">
                  <c:v>162.56</c:v>
                </c:pt>
                <c:pt idx="469" formatCode="General">
                  <c:v>167.64</c:v>
                </c:pt>
                <c:pt idx="470" formatCode="General">
                  <c:v>162.38999999999999</c:v>
                </c:pt>
                <c:pt idx="471" formatCode="General">
                  <c:v>164.43</c:v>
                </c:pt>
                <c:pt idx="472" formatCode="General">
                  <c:v>152.96</c:v>
                </c:pt>
                <c:pt idx="473" formatCode="General">
                  <c:v>148.06</c:v>
                </c:pt>
                <c:pt idx="474" formatCode="General">
                  <c:v>145.30000000000001</c:v>
                </c:pt>
                <c:pt idx="475" formatCode="General">
                  <c:v>140.63999999999999</c:v>
                </c:pt>
                <c:pt idx="476" formatCode="General">
                  <c:v>138.53</c:v>
                </c:pt>
                <c:pt idx="477" formatCode="General">
                  <c:v>133.72</c:v>
                </c:pt>
                <c:pt idx="478" formatCode="General">
                  <c:v>120.42</c:v>
                </c:pt>
                <c:pt idx="479" formatCode="General">
                  <c:v>119.51</c:v>
                </c:pt>
                <c:pt idx="480" formatCode="General">
                  <c:v>107.09</c:v>
                </c:pt>
                <c:pt idx="481" formatCode="General">
                  <c:v>109.61</c:v>
                </c:pt>
                <c:pt idx="482" formatCode="General">
                  <c:v>111.88</c:v>
                </c:pt>
                <c:pt idx="483" formatCode="General">
                  <c:v>116.44</c:v>
                </c:pt>
                <c:pt idx="484" formatCode="General">
                  <c:v>111.96</c:v>
                </c:pt>
                <c:pt idx="485" formatCode="General">
                  <c:v>113.11</c:v>
                </c:pt>
                <c:pt idx="486" formatCode="General">
                  <c:v>120.4</c:v>
                </c:pt>
                <c:pt idx="487" formatCode="General">
                  <c:v>122.55</c:v>
                </c:pt>
                <c:pt idx="488" formatCode="General">
                  <c:v>126.35</c:v>
                </c:pt>
                <c:pt idx="489" formatCode="General">
                  <c:v>121.89</c:v>
                </c:pt>
                <c:pt idx="490" formatCode="General">
                  <c:v>116.18</c:v>
                </c:pt>
                <c:pt idx="491" formatCode="General">
                  <c:v>122.79</c:v>
                </c:pt>
                <c:pt idx="492" formatCode="General">
                  <c:v>130.91999999999999</c:v>
                </c:pt>
                <c:pt idx="493" formatCode="General">
                  <c:v>131.21</c:v>
                </c:pt>
                <c:pt idx="494" formatCode="General">
                  <c:v>132.59</c:v>
                </c:pt>
                <c:pt idx="495" formatCode="General">
                  <c:v>132.81</c:v>
                </c:pt>
                <c:pt idx="496" formatCode="General">
                  <c:v>136</c:v>
                </c:pt>
                <c:pt idx="497" formatCode="General">
                  <c:v>131.27000000000001</c:v>
                </c:pt>
                <c:pt idx="498" formatCode="General">
                  <c:v>129.55000000000001</c:v>
                </c:pt>
                <c:pt idx="499" formatCode="General">
                  <c:v>135.76</c:v>
                </c:pt>
                <c:pt idx="500" formatCode="General">
                  <c:v>140.52000000000001</c:v>
                </c:pt>
                <c:pt idx="501" formatCode="General">
                  <c:v>127.47</c:v>
                </c:pt>
                <c:pt idx="502" formatCode="General">
                  <c:v>125.46</c:v>
                </c:pt>
                <c:pt idx="503" formatCode="General">
                  <c:v>122.38</c:v>
                </c:pt>
                <c:pt idx="504" formatCode="General">
                  <c:v>121.67</c:v>
                </c:pt>
                <c:pt idx="505" formatCode="General">
                  <c:v>114.24</c:v>
                </c:pt>
                <c:pt idx="506" formatCode="General">
                  <c:v>111.24</c:v>
                </c:pt>
                <c:pt idx="507" formatCode="General">
                  <c:v>106.29</c:v>
                </c:pt>
                <c:pt idx="508" formatCode="General">
                  <c:v>102.09</c:v>
                </c:pt>
                <c:pt idx="509" formatCode="General">
                  <c:v>113.66</c:v>
                </c:pt>
                <c:pt idx="510" formatCode="General">
                  <c:v>114.16</c:v>
                </c:pt>
                <c:pt idx="511" formatCode="General">
                  <c:v>107.94</c:v>
                </c:pt>
                <c:pt idx="512" formatCode="General">
                  <c:v>106.16</c:v>
                </c:pt>
                <c:pt idx="513" formatCode="General">
                  <c:v>101.82</c:v>
                </c:pt>
                <c:pt idx="514" formatCode="General">
                  <c:v>109.32</c:v>
                </c:pt>
                <c:pt idx="515" formatCode="General">
                  <c:v>109.32</c:v>
                </c:pt>
                <c:pt idx="516" formatCode="General">
                  <c:v>103.81</c:v>
                </c:pt>
                <c:pt idx="517" formatCode="General">
                  <c:v>102.91</c:v>
                </c:pt>
                <c:pt idx="518" formatCode="General">
                  <c:v>99.08</c:v>
                </c:pt>
                <c:pt idx="519" formatCode="General">
                  <c:v>101.76</c:v>
                </c:pt>
                <c:pt idx="520" formatCode="General">
                  <c:v>101.59</c:v>
                </c:pt>
                <c:pt idx="521" formatCode="General">
                  <c:v>96.28</c:v>
                </c:pt>
                <c:pt idx="522" formatCode="General">
                  <c:v>99.93</c:v>
                </c:pt>
                <c:pt idx="523" formatCode="General">
                  <c:v>96.11</c:v>
                </c:pt>
                <c:pt idx="524" formatCode="General">
                  <c:v>94.7</c:v>
                </c:pt>
                <c:pt idx="525" formatCode="General">
                  <c:v>93.15</c:v>
                </c:pt>
                <c:pt idx="526" formatCode="General">
                  <c:v>102.54</c:v>
                </c:pt>
                <c:pt idx="527" formatCode="General">
                  <c:v>103.29</c:v>
                </c:pt>
                <c:pt idx="528" formatCode="General">
                  <c:v>100.68</c:v>
                </c:pt>
                <c:pt idx="529" formatCode="General">
                  <c:v>95.53</c:v>
                </c:pt>
                <c:pt idx="530" formatCode="General">
                  <c:v>97.24</c:v>
                </c:pt>
                <c:pt idx="531" formatCode="General">
                  <c:v>96.83</c:v>
                </c:pt>
                <c:pt idx="532" formatCode="General">
                  <c:v>89.21</c:v>
                </c:pt>
                <c:pt idx="533" formatCode="General">
                  <c:v>87.04</c:v>
                </c:pt>
                <c:pt idx="534" formatCode="General">
                  <c:v>89.25</c:v>
                </c:pt>
                <c:pt idx="535" formatCode="General">
                  <c:v>95.1</c:v>
                </c:pt>
                <c:pt idx="536" formatCode="General">
                  <c:v>94.83</c:v>
                </c:pt>
                <c:pt idx="537" formatCode="General">
                  <c:v>92.34</c:v>
                </c:pt>
                <c:pt idx="538" formatCode="General">
                  <c:v>96.53</c:v>
                </c:pt>
                <c:pt idx="539" formatCode="General">
                  <c:v>96.77</c:v>
                </c:pt>
                <c:pt idx="540" formatCode="General">
                  <c:v>98.85</c:v>
                </c:pt>
                <c:pt idx="541" formatCode="General">
                  <c:v>100.48</c:v>
                </c:pt>
                <c:pt idx="542" formatCode="General">
                  <c:v>96.12</c:v>
                </c:pt>
                <c:pt idx="543" formatCode="General">
                  <c:v>98.44</c:v>
                </c:pt>
                <c:pt idx="544" formatCode="General">
                  <c:v>98.42</c:v>
                </c:pt>
                <c:pt idx="545" formatCode="General">
                  <c:v>99.82</c:v>
                </c:pt>
                <c:pt idx="546" formatCode="General">
                  <c:v>102.03</c:v>
                </c:pt>
                <c:pt idx="547" formatCode="General">
                  <c:v>107.46</c:v>
                </c:pt>
                <c:pt idx="548" formatCode="General">
                  <c:v>102.1</c:v>
                </c:pt>
                <c:pt idx="549" formatCode="General">
                  <c:v>102.9</c:v>
                </c:pt>
                <c:pt idx="550" formatCode="General">
                  <c:v>105.24</c:v>
                </c:pt>
                <c:pt idx="551" formatCode="General">
                  <c:v>102.91</c:v>
                </c:pt>
                <c:pt idx="552" formatCode="General">
                  <c:v>103.44</c:v>
                </c:pt>
                <c:pt idx="553" formatCode="General">
                  <c:v>104.28</c:v>
                </c:pt>
                <c:pt idx="554" formatCode="General">
                  <c:v>100.18</c:v>
                </c:pt>
                <c:pt idx="555" formatCode="General">
                  <c:v>101.64</c:v>
                </c:pt>
                <c:pt idx="556" formatCode="General">
                  <c:v>102.77</c:v>
                </c:pt>
                <c:pt idx="557" formatCode="General">
                  <c:v>99.71</c:v>
                </c:pt>
                <c:pt idx="558" formatCode="General">
                  <c:v>100.86</c:v>
                </c:pt>
                <c:pt idx="559" formatCode="General">
                  <c:v>90.19</c:v>
                </c:pt>
                <c:pt idx="560" formatCode="General">
                  <c:v>91.24</c:v>
                </c:pt>
                <c:pt idx="561" formatCode="General">
                  <c:v>89.04</c:v>
                </c:pt>
                <c:pt idx="562" formatCode="General">
                  <c:v>83.87</c:v>
                </c:pt>
                <c:pt idx="563" formatCode="General">
                  <c:v>86.88</c:v>
                </c:pt>
                <c:pt idx="564" formatCode="General">
                  <c:v>88.75</c:v>
                </c:pt>
                <c:pt idx="565" formatCode="General">
                  <c:v>95.19</c:v>
                </c:pt>
                <c:pt idx="566" formatCode="General">
                  <c:v>91.15</c:v>
                </c:pt>
                <c:pt idx="567" formatCode="General">
                  <c:v>87.3</c:v>
                </c:pt>
                <c:pt idx="568" formatCode="General">
                  <c:v>83.36</c:v>
                </c:pt>
                <c:pt idx="569" formatCode="General">
                  <c:v>81.59</c:v>
                </c:pt>
                <c:pt idx="570" formatCode="General">
                  <c:v>76.98</c:v>
                </c:pt>
                <c:pt idx="571" formatCode="General">
                  <c:v>68.56</c:v>
                </c:pt>
                <c:pt idx="572" formatCode="General">
                  <c:v>69.97</c:v>
                </c:pt>
                <c:pt idx="573" formatCode="General">
                  <c:v>73.900000000000006</c:v>
                </c:pt>
                <c:pt idx="574" formatCode="General">
                  <c:v>63.54</c:v>
                </c:pt>
                <c:pt idx="575" formatCode="General">
                  <c:v>72.150000000000006</c:v>
                </c:pt>
                <c:pt idx="576" formatCode="General">
                  <c:v>79.31</c:v>
                </c:pt>
                <c:pt idx="577" formatCode="General">
                  <c:v>86</c:v>
                </c:pt>
                <c:pt idx="578" formatCode="General">
                  <c:v>87.28</c:v>
                </c:pt>
                <c:pt idx="579" formatCode="General">
                  <c:v>90.31</c:v>
                </c:pt>
                <c:pt idx="580" formatCode="General">
                  <c:v>93.98</c:v>
                </c:pt>
                <c:pt idx="581" formatCode="General">
                  <c:v>96.22</c:v>
                </c:pt>
                <c:pt idx="582" formatCode="General">
                  <c:v>96.57</c:v>
                </c:pt>
                <c:pt idx="583" formatCode="General">
                  <c:v>97.55</c:v>
                </c:pt>
                <c:pt idx="584" formatCode="General">
                  <c:v>95.96</c:v>
                </c:pt>
                <c:pt idx="585" formatCode="General">
                  <c:v>108.29</c:v>
                </c:pt>
                <c:pt idx="586" formatCode="General">
                  <c:v>108.43</c:v>
                </c:pt>
                <c:pt idx="587" formatCode="General">
                  <c:v>104.25</c:v>
                </c:pt>
                <c:pt idx="588" formatCode="General">
                  <c:v>108.22</c:v>
                </c:pt>
                <c:pt idx="589" formatCode="General">
                  <c:v>104.26</c:v>
                </c:pt>
                <c:pt idx="590" formatCode="General">
                  <c:v>104.95</c:v>
                </c:pt>
                <c:pt idx="591" formatCode="General">
                  <c:v>106.97</c:v>
                </c:pt>
                <c:pt idx="592" formatCode="General">
                  <c:v>111.52</c:v>
                </c:pt>
                <c:pt idx="593" formatCode="General">
                  <c:v>111.68</c:v>
                </c:pt>
                <c:pt idx="594" formatCode="General">
                  <c:v>116.03</c:v>
                </c:pt>
                <c:pt idx="595" formatCode="General">
                  <c:v>118.05</c:v>
                </c:pt>
                <c:pt idx="596" formatCode="General">
                  <c:v>116.67</c:v>
                </c:pt>
                <c:pt idx="597" formatCode="General">
                  <c:v>111.58</c:v>
                </c:pt>
                <c:pt idx="598" formatCode="General">
                  <c:v>110.55</c:v>
                </c:pt>
                <c:pt idx="599" formatCode="General">
                  <c:v>111.09</c:v>
                </c:pt>
                <c:pt idx="600" formatCode="General">
                  <c:v>107.39</c:v>
                </c:pt>
                <c:pt idx="601" formatCode="General">
                  <c:v>107.14</c:v>
                </c:pt>
                <c:pt idx="602" formatCode="General">
                  <c:v>109.53</c:v>
                </c:pt>
                <c:pt idx="603" formatCode="General">
                  <c:v>107.67</c:v>
                </c:pt>
                <c:pt idx="604" formatCode="General">
                  <c:v>107.2</c:v>
                </c:pt>
                <c:pt idx="605" formatCode="General">
                  <c:v>106.57</c:v>
                </c:pt>
                <c:pt idx="606" formatCode="General">
                  <c:v>103.94</c:v>
                </c:pt>
                <c:pt idx="607" formatCode="General">
                  <c:v>102.09</c:v>
                </c:pt>
                <c:pt idx="608" formatCode="General">
                  <c:v>93.99</c:v>
                </c:pt>
                <c:pt idx="609" formatCode="General">
                  <c:v>94.23</c:v>
                </c:pt>
                <c:pt idx="610" formatCode="General">
                  <c:v>98.34</c:v>
                </c:pt>
                <c:pt idx="611" formatCode="General">
                  <c:v>99.03</c:v>
                </c:pt>
                <c:pt idx="612" formatCode="General">
                  <c:v>95.58</c:v>
                </c:pt>
                <c:pt idx="613" formatCode="General">
                  <c:v>98.7</c:v>
                </c:pt>
                <c:pt idx="614" formatCode="General">
                  <c:v>99.63</c:v>
                </c:pt>
                <c:pt idx="615" formatCode="General">
                  <c:v>103.95</c:v>
                </c:pt>
                <c:pt idx="616" formatCode="General">
                  <c:v>100.31</c:v>
                </c:pt>
                <c:pt idx="617" formatCode="General">
                  <c:v>96.75</c:v>
                </c:pt>
                <c:pt idx="618" formatCode="General">
                  <c:v>95.88</c:v>
                </c:pt>
                <c:pt idx="619" formatCode="General">
                  <c:v>92.15</c:v>
                </c:pt>
                <c:pt idx="620" formatCode="General">
                  <c:v>87.2</c:v>
                </c:pt>
                <c:pt idx="621" formatCode="General">
                  <c:v>83.25</c:v>
                </c:pt>
                <c:pt idx="622" formatCode="General">
                  <c:v>84.3</c:v>
                </c:pt>
                <c:pt idx="623" formatCode="General">
                  <c:v>81.52</c:v>
                </c:pt>
                <c:pt idx="624" formatCode="General">
                  <c:v>78.05</c:v>
                </c:pt>
                <c:pt idx="625" formatCode="General">
                  <c:v>72.72</c:v>
                </c:pt>
                <c:pt idx="626" formatCode="General">
                  <c:v>76.55</c:v>
                </c:pt>
                <c:pt idx="627" formatCode="General">
                  <c:v>81.52</c:v>
                </c:pt>
                <c:pt idx="628" formatCode="General">
                  <c:v>89.63</c:v>
                </c:pt>
                <c:pt idx="629" formatCode="General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3-824A-92F7-2AAECD62F6C1}"/>
            </c:ext>
          </c:extLst>
        </c:ser>
        <c:ser>
          <c:idx val="2"/>
          <c:order val="2"/>
          <c:tx>
            <c:strRef>
              <c:f>'4 fear plan'!$D$1</c:f>
              <c:strCache>
                <c:ptCount val="1"/>
                <c:pt idx="0">
                  <c:v>나스닥 종합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plan'!$A$2:$A$631</c:f>
              <c:strCache>
                <c:ptCount val="630"/>
                <c:pt idx="0">
                  <c:v>2022년 7월</c:v>
                </c:pt>
                <c:pt idx="1">
                  <c:v>2022년 6월</c:v>
                </c:pt>
                <c:pt idx="2">
                  <c:v>2022년 5월</c:v>
                </c:pt>
                <c:pt idx="3">
                  <c:v>2022년 4월</c:v>
                </c:pt>
                <c:pt idx="4">
                  <c:v>2022년 3월</c:v>
                </c:pt>
                <c:pt idx="5">
                  <c:v>2022년 2월</c:v>
                </c:pt>
                <c:pt idx="6">
                  <c:v>2022년 1월</c:v>
                </c:pt>
                <c:pt idx="7">
                  <c:v>2021년 12월</c:v>
                </c:pt>
                <c:pt idx="8">
                  <c:v>2021년 11월</c:v>
                </c:pt>
                <c:pt idx="9">
                  <c:v>2021년 10월</c:v>
                </c:pt>
                <c:pt idx="10">
                  <c:v>2021년 9월</c:v>
                </c:pt>
                <c:pt idx="11">
                  <c:v>2021년 8월</c:v>
                </c:pt>
                <c:pt idx="12">
                  <c:v>2021년 7월</c:v>
                </c:pt>
                <c:pt idx="13">
                  <c:v>2021년 6월</c:v>
                </c:pt>
                <c:pt idx="14">
                  <c:v>2021년 5월</c:v>
                </c:pt>
                <c:pt idx="15">
                  <c:v>2021년 4월</c:v>
                </c:pt>
                <c:pt idx="16">
                  <c:v>2021년 3월</c:v>
                </c:pt>
                <c:pt idx="17">
                  <c:v>2021년 2월</c:v>
                </c:pt>
                <c:pt idx="18">
                  <c:v>2021년 1월</c:v>
                </c:pt>
                <c:pt idx="19">
                  <c:v>2020년 12월</c:v>
                </c:pt>
                <c:pt idx="20">
                  <c:v>2020년 11월</c:v>
                </c:pt>
                <c:pt idx="21">
                  <c:v>2020년 10월</c:v>
                </c:pt>
                <c:pt idx="22">
                  <c:v>2020년 9월</c:v>
                </c:pt>
                <c:pt idx="23">
                  <c:v>2020년 8월</c:v>
                </c:pt>
                <c:pt idx="24">
                  <c:v>2020년 7월</c:v>
                </c:pt>
                <c:pt idx="25">
                  <c:v>2020년 6월</c:v>
                </c:pt>
                <c:pt idx="26">
                  <c:v>2020년 5월</c:v>
                </c:pt>
                <c:pt idx="27">
                  <c:v>2020년 4월</c:v>
                </c:pt>
                <c:pt idx="28">
                  <c:v>2020년 3월</c:v>
                </c:pt>
                <c:pt idx="29">
                  <c:v>2020년 2월</c:v>
                </c:pt>
                <c:pt idx="30">
                  <c:v>2020년 1월</c:v>
                </c:pt>
                <c:pt idx="31">
                  <c:v>2019년 12월</c:v>
                </c:pt>
                <c:pt idx="32">
                  <c:v>2019년 11월</c:v>
                </c:pt>
                <c:pt idx="33">
                  <c:v>2019년 10월</c:v>
                </c:pt>
                <c:pt idx="34">
                  <c:v>2019년 9월</c:v>
                </c:pt>
                <c:pt idx="35">
                  <c:v>2019년 8월</c:v>
                </c:pt>
                <c:pt idx="36">
                  <c:v>2019년 7월</c:v>
                </c:pt>
                <c:pt idx="37">
                  <c:v>2019년 6월</c:v>
                </c:pt>
                <c:pt idx="38">
                  <c:v>2019년 5월</c:v>
                </c:pt>
                <c:pt idx="39">
                  <c:v>2019년 4월</c:v>
                </c:pt>
                <c:pt idx="40">
                  <c:v>2019년 3월</c:v>
                </c:pt>
                <c:pt idx="41">
                  <c:v>2019년 2월</c:v>
                </c:pt>
                <c:pt idx="42">
                  <c:v>2019년 1월</c:v>
                </c:pt>
                <c:pt idx="43">
                  <c:v>2018년 12월</c:v>
                </c:pt>
                <c:pt idx="44">
                  <c:v>2018년 11월</c:v>
                </c:pt>
                <c:pt idx="45">
                  <c:v>2018년 10월</c:v>
                </c:pt>
                <c:pt idx="46">
                  <c:v>2018년 9월</c:v>
                </c:pt>
                <c:pt idx="47">
                  <c:v>2018년 8월</c:v>
                </c:pt>
                <c:pt idx="48">
                  <c:v>2018년 7월</c:v>
                </c:pt>
                <c:pt idx="49">
                  <c:v>2018년 6월</c:v>
                </c:pt>
                <c:pt idx="50">
                  <c:v>2018년 5월</c:v>
                </c:pt>
                <c:pt idx="51">
                  <c:v>2018년 4월</c:v>
                </c:pt>
                <c:pt idx="52">
                  <c:v>2018년 3월</c:v>
                </c:pt>
                <c:pt idx="53">
                  <c:v>2018년 2월</c:v>
                </c:pt>
                <c:pt idx="54">
                  <c:v>2018년 1월</c:v>
                </c:pt>
                <c:pt idx="55">
                  <c:v>2017년 12월</c:v>
                </c:pt>
                <c:pt idx="56">
                  <c:v>2017년 11월</c:v>
                </c:pt>
                <c:pt idx="57">
                  <c:v>2017년 10월</c:v>
                </c:pt>
                <c:pt idx="58">
                  <c:v>2017년 9월</c:v>
                </c:pt>
                <c:pt idx="59">
                  <c:v>2017년 8월</c:v>
                </c:pt>
                <c:pt idx="60">
                  <c:v>2017년 7월</c:v>
                </c:pt>
                <c:pt idx="61">
                  <c:v>2017년 6월</c:v>
                </c:pt>
                <c:pt idx="62">
                  <c:v>2017년 5월</c:v>
                </c:pt>
                <c:pt idx="63">
                  <c:v>2017년 4월</c:v>
                </c:pt>
                <c:pt idx="64">
                  <c:v>2017년 3월</c:v>
                </c:pt>
                <c:pt idx="65">
                  <c:v>2017년 2월</c:v>
                </c:pt>
                <c:pt idx="66">
                  <c:v>2017년 1월</c:v>
                </c:pt>
                <c:pt idx="67">
                  <c:v>2016년 12월</c:v>
                </c:pt>
                <c:pt idx="68">
                  <c:v>2016년 11월</c:v>
                </c:pt>
                <c:pt idx="69">
                  <c:v>2016년 10월</c:v>
                </c:pt>
                <c:pt idx="70">
                  <c:v>2016년 9월</c:v>
                </c:pt>
                <c:pt idx="71">
                  <c:v>2016년 8월</c:v>
                </c:pt>
                <c:pt idx="72">
                  <c:v>2016년 7월</c:v>
                </c:pt>
                <c:pt idx="73">
                  <c:v>2016년 6월</c:v>
                </c:pt>
                <c:pt idx="74">
                  <c:v>2016년 5월</c:v>
                </c:pt>
                <c:pt idx="75">
                  <c:v>2016년 4월</c:v>
                </c:pt>
                <c:pt idx="76">
                  <c:v>2016년 3월</c:v>
                </c:pt>
                <c:pt idx="77">
                  <c:v>2016년 2월</c:v>
                </c:pt>
                <c:pt idx="78">
                  <c:v>2016년 1월</c:v>
                </c:pt>
                <c:pt idx="79">
                  <c:v>2015년 12월</c:v>
                </c:pt>
                <c:pt idx="80">
                  <c:v>2015년 11월</c:v>
                </c:pt>
                <c:pt idx="81">
                  <c:v>2015년 10월</c:v>
                </c:pt>
                <c:pt idx="82">
                  <c:v>2015년 9월</c:v>
                </c:pt>
                <c:pt idx="83">
                  <c:v>2015년 8월</c:v>
                </c:pt>
                <c:pt idx="84">
                  <c:v>2015년 7월</c:v>
                </c:pt>
                <c:pt idx="85">
                  <c:v>2015년 6월</c:v>
                </c:pt>
                <c:pt idx="86">
                  <c:v>2015년 5월</c:v>
                </c:pt>
                <c:pt idx="87">
                  <c:v>2015년 4월</c:v>
                </c:pt>
                <c:pt idx="88">
                  <c:v>2015년 3월</c:v>
                </c:pt>
                <c:pt idx="89">
                  <c:v>2015년 2월</c:v>
                </c:pt>
                <c:pt idx="90">
                  <c:v>2015년 1월</c:v>
                </c:pt>
                <c:pt idx="91">
                  <c:v>2014년 12월</c:v>
                </c:pt>
                <c:pt idx="92">
                  <c:v>2014년 11월</c:v>
                </c:pt>
                <c:pt idx="93">
                  <c:v>2014년 10월</c:v>
                </c:pt>
                <c:pt idx="94">
                  <c:v>2014년 9월</c:v>
                </c:pt>
                <c:pt idx="95">
                  <c:v>2014년 8월</c:v>
                </c:pt>
                <c:pt idx="96">
                  <c:v>2014년 7월</c:v>
                </c:pt>
                <c:pt idx="97">
                  <c:v>2014년 6월</c:v>
                </c:pt>
                <c:pt idx="98">
                  <c:v>2014년 5월</c:v>
                </c:pt>
                <c:pt idx="99">
                  <c:v>2014년 4월</c:v>
                </c:pt>
                <c:pt idx="100">
                  <c:v>2014년 3월</c:v>
                </c:pt>
                <c:pt idx="101">
                  <c:v>2014년 2월</c:v>
                </c:pt>
                <c:pt idx="102">
                  <c:v>2014년 1월</c:v>
                </c:pt>
                <c:pt idx="103">
                  <c:v>2013년 12월</c:v>
                </c:pt>
                <c:pt idx="104">
                  <c:v>2013년 11월</c:v>
                </c:pt>
                <c:pt idx="105">
                  <c:v>2013년 10월</c:v>
                </c:pt>
                <c:pt idx="106">
                  <c:v>2013년 9월</c:v>
                </c:pt>
                <c:pt idx="107">
                  <c:v>2013년 8월</c:v>
                </c:pt>
                <c:pt idx="108">
                  <c:v>2013년 7월</c:v>
                </c:pt>
                <c:pt idx="109">
                  <c:v>2013년 6월</c:v>
                </c:pt>
                <c:pt idx="110">
                  <c:v>2013년 5월</c:v>
                </c:pt>
                <c:pt idx="111">
                  <c:v>2013년 4월</c:v>
                </c:pt>
                <c:pt idx="112">
                  <c:v>2013년 3월</c:v>
                </c:pt>
                <c:pt idx="113">
                  <c:v>2013년 2월</c:v>
                </c:pt>
                <c:pt idx="114">
                  <c:v>2013년 1월</c:v>
                </c:pt>
                <c:pt idx="115">
                  <c:v>2012년 12월</c:v>
                </c:pt>
                <c:pt idx="116">
                  <c:v>2012년 11월</c:v>
                </c:pt>
                <c:pt idx="117">
                  <c:v>2012년 10월</c:v>
                </c:pt>
                <c:pt idx="118">
                  <c:v>2012년 9월</c:v>
                </c:pt>
                <c:pt idx="119">
                  <c:v>2012년 8월</c:v>
                </c:pt>
                <c:pt idx="120">
                  <c:v>2012년 7월</c:v>
                </c:pt>
                <c:pt idx="121">
                  <c:v>2012년 6월</c:v>
                </c:pt>
                <c:pt idx="122">
                  <c:v>2012년 5월</c:v>
                </c:pt>
                <c:pt idx="123">
                  <c:v>2012년 4월</c:v>
                </c:pt>
                <c:pt idx="124">
                  <c:v>2012년 3월</c:v>
                </c:pt>
                <c:pt idx="125">
                  <c:v>2012년 2월</c:v>
                </c:pt>
                <c:pt idx="126">
                  <c:v>2012년 1월</c:v>
                </c:pt>
                <c:pt idx="127">
                  <c:v>2011년 12월</c:v>
                </c:pt>
                <c:pt idx="128">
                  <c:v>2011년 11월</c:v>
                </c:pt>
                <c:pt idx="129">
                  <c:v>2011년 10월</c:v>
                </c:pt>
                <c:pt idx="130">
                  <c:v>2011년 9월</c:v>
                </c:pt>
                <c:pt idx="131">
                  <c:v>2011년 8월</c:v>
                </c:pt>
                <c:pt idx="132">
                  <c:v>2011년 7월</c:v>
                </c:pt>
                <c:pt idx="133">
                  <c:v>2011년 6월</c:v>
                </c:pt>
                <c:pt idx="134">
                  <c:v>2011년 5월</c:v>
                </c:pt>
                <c:pt idx="135">
                  <c:v>2011년 4월</c:v>
                </c:pt>
                <c:pt idx="136">
                  <c:v>2011년 3월</c:v>
                </c:pt>
                <c:pt idx="137">
                  <c:v>2011년 2월</c:v>
                </c:pt>
                <c:pt idx="138">
                  <c:v>2011년 1월</c:v>
                </c:pt>
                <c:pt idx="139">
                  <c:v>2010년 12월</c:v>
                </c:pt>
                <c:pt idx="140">
                  <c:v>2010년 11월</c:v>
                </c:pt>
                <c:pt idx="141">
                  <c:v>2010년 10월</c:v>
                </c:pt>
                <c:pt idx="142">
                  <c:v>2010년 9월</c:v>
                </c:pt>
                <c:pt idx="143">
                  <c:v>2010년 8월</c:v>
                </c:pt>
                <c:pt idx="144">
                  <c:v>2010년 7월</c:v>
                </c:pt>
                <c:pt idx="145">
                  <c:v>2010년 6월</c:v>
                </c:pt>
                <c:pt idx="146">
                  <c:v>2010년 5월</c:v>
                </c:pt>
                <c:pt idx="147">
                  <c:v>2010년 4월</c:v>
                </c:pt>
                <c:pt idx="148">
                  <c:v>2010년 3월</c:v>
                </c:pt>
                <c:pt idx="149">
                  <c:v>2010년 2월</c:v>
                </c:pt>
                <c:pt idx="150">
                  <c:v>2010년 1월</c:v>
                </c:pt>
                <c:pt idx="151">
                  <c:v>2009년 12월</c:v>
                </c:pt>
                <c:pt idx="152">
                  <c:v>2009년 11월</c:v>
                </c:pt>
                <c:pt idx="153">
                  <c:v>2009년 10월</c:v>
                </c:pt>
                <c:pt idx="154">
                  <c:v>2009년 9월</c:v>
                </c:pt>
                <c:pt idx="155">
                  <c:v>2009년 8월</c:v>
                </c:pt>
                <c:pt idx="156">
                  <c:v>2009년 7월</c:v>
                </c:pt>
                <c:pt idx="157">
                  <c:v>2009년 6월</c:v>
                </c:pt>
                <c:pt idx="158">
                  <c:v>2009년 5월</c:v>
                </c:pt>
                <c:pt idx="159">
                  <c:v>2009년 4월</c:v>
                </c:pt>
                <c:pt idx="160">
                  <c:v>2009년 3월</c:v>
                </c:pt>
                <c:pt idx="161">
                  <c:v>2009년 2월</c:v>
                </c:pt>
                <c:pt idx="162">
                  <c:v>2009년 1월</c:v>
                </c:pt>
                <c:pt idx="163">
                  <c:v>2008년 12월</c:v>
                </c:pt>
                <c:pt idx="164">
                  <c:v>2008년 11월</c:v>
                </c:pt>
                <c:pt idx="165">
                  <c:v>2008년 10월</c:v>
                </c:pt>
                <c:pt idx="166">
                  <c:v>2008년 9월</c:v>
                </c:pt>
                <c:pt idx="167">
                  <c:v>2008년 8월</c:v>
                </c:pt>
                <c:pt idx="168">
                  <c:v>2008년 7월</c:v>
                </c:pt>
                <c:pt idx="169">
                  <c:v>2008년 6월</c:v>
                </c:pt>
                <c:pt idx="170">
                  <c:v>2008년 5월</c:v>
                </c:pt>
                <c:pt idx="171">
                  <c:v>2008년 4월</c:v>
                </c:pt>
                <c:pt idx="172">
                  <c:v>2008년 3월</c:v>
                </c:pt>
                <c:pt idx="173">
                  <c:v>2008년 2월</c:v>
                </c:pt>
                <c:pt idx="174">
                  <c:v>2008년 1월</c:v>
                </c:pt>
                <c:pt idx="175">
                  <c:v>2007년 12월</c:v>
                </c:pt>
                <c:pt idx="176">
                  <c:v>2007년 11월</c:v>
                </c:pt>
                <c:pt idx="177">
                  <c:v>2007년 10월</c:v>
                </c:pt>
                <c:pt idx="178">
                  <c:v>2007년 9월</c:v>
                </c:pt>
                <c:pt idx="179">
                  <c:v>2007년 8월</c:v>
                </c:pt>
                <c:pt idx="180">
                  <c:v>2007년 7월</c:v>
                </c:pt>
                <c:pt idx="181">
                  <c:v>2007년 6월</c:v>
                </c:pt>
                <c:pt idx="182">
                  <c:v>2007년 5월</c:v>
                </c:pt>
                <c:pt idx="183">
                  <c:v>2007년 4월</c:v>
                </c:pt>
                <c:pt idx="184">
                  <c:v>2007년 3월</c:v>
                </c:pt>
                <c:pt idx="185">
                  <c:v>2007년 2월</c:v>
                </c:pt>
                <c:pt idx="186">
                  <c:v>2007년 1월</c:v>
                </c:pt>
                <c:pt idx="187">
                  <c:v>2006년 12월</c:v>
                </c:pt>
                <c:pt idx="188">
                  <c:v>2006년 11월</c:v>
                </c:pt>
                <c:pt idx="189">
                  <c:v>2006년 10월</c:v>
                </c:pt>
                <c:pt idx="190">
                  <c:v>2006년 9월</c:v>
                </c:pt>
                <c:pt idx="191">
                  <c:v>2006년 8월</c:v>
                </c:pt>
                <c:pt idx="192">
                  <c:v>2006년 7월</c:v>
                </c:pt>
                <c:pt idx="193">
                  <c:v>2006년 6월</c:v>
                </c:pt>
                <c:pt idx="194">
                  <c:v>2006년 5월</c:v>
                </c:pt>
                <c:pt idx="195">
                  <c:v>2006년 4월</c:v>
                </c:pt>
                <c:pt idx="196">
                  <c:v>2006년 3월</c:v>
                </c:pt>
                <c:pt idx="197">
                  <c:v>2006년 2월</c:v>
                </c:pt>
                <c:pt idx="198">
                  <c:v>2006년 1월</c:v>
                </c:pt>
                <c:pt idx="199">
                  <c:v>2005년 12월</c:v>
                </c:pt>
                <c:pt idx="200">
                  <c:v>2005년 11월</c:v>
                </c:pt>
                <c:pt idx="201">
                  <c:v>2005년 10월</c:v>
                </c:pt>
                <c:pt idx="202">
                  <c:v>2005년 9월</c:v>
                </c:pt>
                <c:pt idx="203">
                  <c:v>2005년 8월</c:v>
                </c:pt>
                <c:pt idx="204">
                  <c:v>2005년 7월</c:v>
                </c:pt>
                <c:pt idx="205">
                  <c:v>2005년 6월</c:v>
                </c:pt>
                <c:pt idx="206">
                  <c:v>2005년 5월</c:v>
                </c:pt>
                <c:pt idx="207">
                  <c:v>2005년 4월</c:v>
                </c:pt>
                <c:pt idx="208">
                  <c:v>2005년 3월</c:v>
                </c:pt>
                <c:pt idx="209">
                  <c:v>2005년 2월</c:v>
                </c:pt>
                <c:pt idx="210">
                  <c:v>2005년 1월</c:v>
                </c:pt>
                <c:pt idx="211">
                  <c:v>2004년 12월</c:v>
                </c:pt>
                <c:pt idx="212">
                  <c:v>2004년 11월</c:v>
                </c:pt>
                <c:pt idx="213">
                  <c:v>2004년 10월</c:v>
                </c:pt>
                <c:pt idx="214">
                  <c:v>2004년 9월</c:v>
                </c:pt>
                <c:pt idx="215">
                  <c:v>2004년 8월</c:v>
                </c:pt>
                <c:pt idx="216">
                  <c:v>2004년 7월</c:v>
                </c:pt>
                <c:pt idx="217">
                  <c:v>2004년 6월</c:v>
                </c:pt>
                <c:pt idx="218">
                  <c:v>2004년 5월</c:v>
                </c:pt>
                <c:pt idx="219">
                  <c:v>2004년 4월</c:v>
                </c:pt>
                <c:pt idx="220">
                  <c:v>2004년 3월</c:v>
                </c:pt>
                <c:pt idx="221">
                  <c:v>2004년 2월</c:v>
                </c:pt>
                <c:pt idx="222">
                  <c:v>2004년 1월</c:v>
                </c:pt>
                <c:pt idx="223">
                  <c:v>2003년 12월</c:v>
                </c:pt>
                <c:pt idx="224">
                  <c:v>2003년 11월</c:v>
                </c:pt>
                <c:pt idx="225">
                  <c:v>2003년 10월</c:v>
                </c:pt>
                <c:pt idx="226">
                  <c:v>2003년 9월</c:v>
                </c:pt>
                <c:pt idx="227">
                  <c:v>2003년 8월</c:v>
                </c:pt>
                <c:pt idx="228">
                  <c:v>2003년 7월</c:v>
                </c:pt>
                <c:pt idx="229">
                  <c:v>2003년 6월</c:v>
                </c:pt>
                <c:pt idx="230">
                  <c:v>2003년 5월</c:v>
                </c:pt>
                <c:pt idx="231">
                  <c:v>2003년 4월</c:v>
                </c:pt>
                <c:pt idx="232">
                  <c:v>2003년 3월</c:v>
                </c:pt>
                <c:pt idx="233">
                  <c:v>2003년 2월</c:v>
                </c:pt>
                <c:pt idx="234">
                  <c:v>2003년 1월</c:v>
                </c:pt>
                <c:pt idx="235">
                  <c:v>2002년 12월</c:v>
                </c:pt>
                <c:pt idx="236">
                  <c:v>2002년 11월</c:v>
                </c:pt>
                <c:pt idx="237">
                  <c:v>2002년 10월</c:v>
                </c:pt>
                <c:pt idx="238">
                  <c:v>2002년 9월</c:v>
                </c:pt>
                <c:pt idx="239">
                  <c:v>2002년 8월</c:v>
                </c:pt>
                <c:pt idx="240">
                  <c:v>2002년 7월</c:v>
                </c:pt>
                <c:pt idx="241">
                  <c:v>2002년 6월</c:v>
                </c:pt>
                <c:pt idx="242">
                  <c:v>2002년 5월</c:v>
                </c:pt>
                <c:pt idx="243">
                  <c:v>2002년 4월</c:v>
                </c:pt>
                <c:pt idx="244">
                  <c:v>2002년 3월</c:v>
                </c:pt>
                <c:pt idx="245">
                  <c:v>2002년 2월</c:v>
                </c:pt>
                <c:pt idx="246">
                  <c:v>2002년 1월</c:v>
                </c:pt>
                <c:pt idx="247">
                  <c:v>2001년 12월</c:v>
                </c:pt>
                <c:pt idx="248">
                  <c:v>2001년 11월</c:v>
                </c:pt>
                <c:pt idx="249">
                  <c:v>2001년 10월</c:v>
                </c:pt>
                <c:pt idx="250">
                  <c:v>2001년 9월</c:v>
                </c:pt>
                <c:pt idx="251">
                  <c:v>2001년 8월</c:v>
                </c:pt>
                <c:pt idx="252">
                  <c:v>2001년 7월</c:v>
                </c:pt>
                <c:pt idx="253">
                  <c:v>2001년 6월</c:v>
                </c:pt>
                <c:pt idx="254">
                  <c:v>2001년 5월</c:v>
                </c:pt>
                <c:pt idx="255">
                  <c:v>2001년 4월</c:v>
                </c:pt>
                <c:pt idx="256">
                  <c:v>2001년 3월</c:v>
                </c:pt>
                <c:pt idx="257">
                  <c:v>2001년 2월</c:v>
                </c:pt>
                <c:pt idx="258">
                  <c:v>2001년 1월</c:v>
                </c:pt>
                <c:pt idx="259">
                  <c:v>2000년 12월</c:v>
                </c:pt>
                <c:pt idx="260">
                  <c:v>2000년 11월</c:v>
                </c:pt>
                <c:pt idx="261">
                  <c:v>2000년 10월</c:v>
                </c:pt>
                <c:pt idx="262">
                  <c:v>2000년 9월</c:v>
                </c:pt>
                <c:pt idx="263">
                  <c:v>2000년 8월</c:v>
                </c:pt>
                <c:pt idx="264">
                  <c:v>2000년 7월</c:v>
                </c:pt>
                <c:pt idx="265">
                  <c:v>2000년 6월</c:v>
                </c:pt>
                <c:pt idx="266">
                  <c:v>2000년 5월</c:v>
                </c:pt>
                <c:pt idx="267">
                  <c:v>2000년 4월</c:v>
                </c:pt>
                <c:pt idx="268">
                  <c:v>2000년 3월</c:v>
                </c:pt>
                <c:pt idx="269">
                  <c:v>2000년 2월</c:v>
                </c:pt>
                <c:pt idx="270">
                  <c:v>2000년 1월</c:v>
                </c:pt>
                <c:pt idx="271">
                  <c:v>1999년 12월</c:v>
                </c:pt>
                <c:pt idx="272">
                  <c:v>1999년 11월</c:v>
                </c:pt>
                <c:pt idx="273">
                  <c:v>1999년 10월</c:v>
                </c:pt>
                <c:pt idx="274">
                  <c:v>1999년 9월</c:v>
                </c:pt>
                <c:pt idx="275">
                  <c:v>1999년 8월</c:v>
                </c:pt>
                <c:pt idx="276">
                  <c:v>1999년 7월</c:v>
                </c:pt>
                <c:pt idx="277">
                  <c:v>1999년 6월</c:v>
                </c:pt>
                <c:pt idx="278">
                  <c:v>1999년 5월</c:v>
                </c:pt>
                <c:pt idx="279">
                  <c:v>1999년 4월</c:v>
                </c:pt>
                <c:pt idx="280">
                  <c:v>1999년 3월</c:v>
                </c:pt>
                <c:pt idx="281">
                  <c:v>1999년 2월</c:v>
                </c:pt>
                <c:pt idx="282">
                  <c:v>1999년 1월</c:v>
                </c:pt>
                <c:pt idx="283">
                  <c:v>1998년 12월</c:v>
                </c:pt>
                <c:pt idx="284">
                  <c:v>1998년 11월</c:v>
                </c:pt>
                <c:pt idx="285">
                  <c:v>1998년 10월</c:v>
                </c:pt>
                <c:pt idx="286">
                  <c:v>1998년 9월</c:v>
                </c:pt>
                <c:pt idx="287">
                  <c:v>1998년 8월</c:v>
                </c:pt>
                <c:pt idx="288">
                  <c:v>1998년 7월</c:v>
                </c:pt>
                <c:pt idx="289">
                  <c:v>1998년 6월</c:v>
                </c:pt>
                <c:pt idx="290">
                  <c:v>1998년 5월</c:v>
                </c:pt>
                <c:pt idx="291">
                  <c:v>1998년 4월</c:v>
                </c:pt>
                <c:pt idx="292">
                  <c:v>1998년 3월</c:v>
                </c:pt>
                <c:pt idx="293">
                  <c:v>1998년 2월</c:v>
                </c:pt>
                <c:pt idx="294">
                  <c:v>1998년 1월</c:v>
                </c:pt>
                <c:pt idx="295">
                  <c:v>1997년 12월</c:v>
                </c:pt>
                <c:pt idx="296">
                  <c:v>1997년 11월</c:v>
                </c:pt>
                <c:pt idx="297">
                  <c:v>1997년 10월</c:v>
                </c:pt>
                <c:pt idx="298">
                  <c:v>1997년 9월</c:v>
                </c:pt>
                <c:pt idx="299">
                  <c:v>1997년 8월</c:v>
                </c:pt>
                <c:pt idx="300">
                  <c:v>1997년 7월</c:v>
                </c:pt>
                <c:pt idx="301">
                  <c:v>1997년 6월</c:v>
                </c:pt>
                <c:pt idx="302">
                  <c:v>1997년 5월</c:v>
                </c:pt>
                <c:pt idx="303">
                  <c:v>1997년 4월</c:v>
                </c:pt>
                <c:pt idx="304">
                  <c:v>1997년 3월</c:v>
                </c:pt>
                <c:pt idx="305">
                  <c:v>1997년 2월</c:v>
                </c:pt>
                <c:pt idx="306">
                  <c:v>1997년 1월</c:v>
                </c:pt>
                <c:pt idx="307">
                  <c:v>1996년 12월</c:v>
                </c:pt>
                <c:pt idx="308">
                  <c:v>1996년 11월</c:v>
                </c:pt>
                <c:pt idx="309">
                  <c:v>1996년 10월</c:v>
                </c:pt>
                <c:pt idx="310">
                  <c:v>1996년 9월</c:v>
                </c:pt>
                <c:pt idx="311">
                  <c:v>1996년 8월</c:v>
                </c:pt>
                <c:pt idx="312">
                  <c:v>1996년 7월</c:v>
                </c:pt>
                <c:pt idx="313">
                  <c:v>1996년 6월</c:v>
                </c:pt>
                <c:pt idx="314">
                  <c:v>1996년 5월</c:v>
                </c:pt>
                <c:pt idx="315">
                  <c:v>1996년 4월</c:v>
                </c:pt>
                <c:pt idx="316">
                  <c:v>1996년 3월</c:v>
                </c:pt>
                <c:pt idx="317">
                  <c:v>1996년 2월</c:v>
                </c:pt>
                <c:pt idx="318">
                  <c:v>1996년 1월</c:v>
                </c:pt>
                <c:pt idx="319">
                  <c:v>1995년 12월</c:v>
                </c:pt>
                <c:pt idx="320">
                  <c:v>1995년 11월</c:v>
                </c:pt>
                <c:pt idx="321">
                  <c:v>1995년 10월</c:v>
                </c:pt>
                <c:pt idx="322">
                  <c:v>1995년 9월</c:v>
                </c:pt>
                <c:pt idx="323">
                  <c:v>1995년 8월</c:v>
                </c:pt>
                <c:pt idx="324">
                  <c:v>1995년 7월</c:v>
                </c:pt>
                <c:pt idx="325">
                  <c:v>1995년 6월</c:v>
                </c:pt>
                <c:pt idx="326">
                  <c:v>1995년 5월</c:v>
                </c:pt>
                <c:pt idx="327">
                  <c:v>1995년 4월</c:v>
                </c:pt>
                <c:pt idx="328">
                  <c:v>1995년 3월</c:v>
                </c:pt>
                <c:pt idx="329">
                  <c:v>1995년 2월</c:v>
                </c:pt>
                <c:pt idx="330">
                  <c:v>1995년 1월</c:v>
                </c:pt>
                <c:pt idx="331">
                  <c:v>1994년 12월</c:v>
                </c:pt>
                <c:pt idx="332">
                  <c:v>1994년 11월</c:v>
                </c:pt>
                <c:pt idx="333">
                  <c:v>1994년 10월</c:v>
                </c:pt>
                <c:pt idx="334">
                  <c:v>1994년 9월</c:v>
                </c:pt>
                <c:pt idx="335">
                  <c:v>1994년 8월</c:v>
                </c:pt>
                <c:pt idx="336">
                  <c:v>1994년 7월</c:v>
                </c:pt>
                <c:pt idx="337">
                  <c:v>1994년 6월</c:v>
                </c:pt>
                <c:pt idx="338">
                  <c:v>1994년 5월</c:v>
                </c:pt>
                <c:pt idx="339">
                  <c:v>1994년 4월</c:v>
                </c:pt>
                <c:pt idx="340">
                  <c:v>1994년 3월</c:v>
                </c:pt>
                <c:pt idx="341">
                  <c:v>1994년 2월</c:v>
                </c:pt>
                <c:pt idx="342">
                  <c:v>1994년 1월</c:v>
                </c:pt>
                <c:pt idx="343">
                  <c:v>1993년 12월</c:v>
                </c:pt>
                <c:pt idx="344">
                  <c:v>1993년 11월</c:v>
                </c:pt>
                <c:pt idx="345">
                  <c:v>1993년 10월</c:v>
                </c:pt>
                <c:pt idx="346">
                  <c:v>1993년 9월</c:v>
                </c:pt>
                <c:pt idx="347">
                  <c:v>1993년 8월</c:v>
                </c:pt>
                <c:pt idx="348">
                  <c:v>1993년 7월</c:v>
                </c:pt>
                <c:pt idx="349">
                  <c:v>1993년 6월</c:v>
                </c:pt>
                <c:pt idx="350">
                  <c:v>1993년 5월</c:v>
                </c:pt>
                <c:pt idx="351">
                  <c:v>1993년 4월</c:v>
                </c:pt>
                <c:pt idx="352">
                  <c:v>1993년 3월</c:v>
                </c:pt>
                <c:pt idx="353">
                  <c:v>1993년 2월</c:v>
                </c:pt>
                <c:pt idx="354">
                  <c:v>1993년 1월</c:v>
                </c:pt>
                <c:pt idx="355">
                  <c:v>1992년 12월</c:v>
                </c:pt>
                <c:pt idx="356">
                  <c:v>1992년 11월</c:v>
                </c:pt>
                <c:pt idx="357">
                  <c:v>1992년 10월</c:v>
                </c:pt>
                <c:pt idx="358">
                  <c:v>1992년 9월</c:v>
                </c:pt>
                <c:pt idx="359">
                  <c:v>1992년 8월</c:v>
                </c:pt>
                <c:pt idx="360">
                  <c:v>1992년 7월</c:v>
                </c:pt>
                <c:pt idx="361">
                  <c:v>1992년 6월</c:v>
                </c:pt>
                <c:pt idx="362">
                  <c:v>1992년 5월</c:v>
                </c:pt>
                <c:pt idx="363">
                  <c:v>1992년 4월</c:v>
                </c:pt>
                <c:pt idx="364">
                  <c:v>1992년 3월</c:v>
                </c:pt>
                <c:pt idx="365">
                  <c:v>1992년 2월</c:v>
                </c:pt>
                <c:pt idx="366">
                  <c:v>1992년 1월</c:v>
                </c:pt>
                <c:pt idx="367">
                  <c:v>1991년 12월</c:v>
                </c:pt>
                <c:pt idx="368">
                  <c:v>1991년 11월</c:v>
                </c:pt>
                <c:pt idx="369">
                  <c:v>1991년 10월</c:v>
                </c:pt>
                <c:pt idx="370">
                  <c:v>1991년 9월</c:v>
                </c:pt>
                <c:pt idx="371">
                  <c:v>1991년 8월</c:v>
                </c:pt>
                <c:pt idx="372">
                  <c:v>1991년 7월</c:v>
                </c:pt>
                <c:pt idx="373">
                  <c:v>1991년 6월</c:v>
                </c:pt>
                <c:pt idx="374">
                  <c:v>1991년 5월</c:v>
                </c:pt>
                <c:pt idx="375">
                  <c:v>1991년 4월</c:v>
                </c:pt>
                <c:pt idx="376">
                  <c:v>1991년 3월</c:v>
                </c:pt>
                <c:pt idx="377">
                  <c:v>1991년 2월</c:v>
                </c:pt>
                <c:pt idx="378">
                  <c:v>1991년 1월</c:v>
                </c:pt>
                <c:pt idx="379">
                  <c:v>1990년 12월</c:v>
                </c:pt>
                <c:pt idx="380">
                  <c:v>1990년 11월</c:v>
                </c:pt>
                <c:pt idx="381">
                  <c:v>1990년 10월</c:v>
                </c:pt>
                <c:pt idx="382">
                  <c:v>1990년 9월</c:v>
                </c:pt>
                <c:pt idx="383">
                  <c:v>1990년 8월</c:v>
                </c:pt>
                <c:pt idx="384">
                  <c:v>1990년 7월</c:v>
                </c:pt>
                <c:pt idx="385">
                  <c:v>1990년 6월</c:v>
                </c:pt>
                <c:pt idx="386">
                  <c:v>1990년 5월</c:v>
                </c:pt>
                <c:pt idx="387">
                  <c:v>1990년 4월</c:v>
                </c:pt>
                <c:pt idx="388">
                  <c:v>1990년 3월</c:v>
                </c:pt>
                <c:pt idx="389">
                  <c:v>1990년 2월</c:v>
                </c:pt>
                <c:pt idx="390">
                  <c:v>1990년 1월</c:v>
                </c:pt>
                <c:pt idx="391">
                  <c:v>1989년 12월</c:v>
                </c:pt>
                <c:pt idx="392">
                  <c:v>1989년 11월</c:v>
                </c:pt>
                <c:pt idx="393">
                  <c:v>1989년 10월</c:v>
                </c:pt>
                <c:pt idx="394">
                  <c:v>1989년 9월</c:v>
                </c:pt>
                <c:pt idx="395">
                  <c:v>1989년 8월</c:v>
                </c:pt>
                <c:pt idx="396">
                  <c:v>1989년 7월</c:v>
                </c:pt>
                <c:pt idx="397">
                  <c:v>1989년 6월</c:v>
                </c:pt>
                <c:pt idx="398">
                  <c:v>1989년 5월</c:v>
                </c:pt>
                <c:pt idx="399">
                  <c:v>1989년 4월</c:v>
                </c:pt>
                <c:pt idx="400">
                  <c:v>1989년 3월</c:v>
                </c:pt>
                <c:pt idx="401">
                  <c:v>1989년 2월</c:v>
                </c:pt>
                <c:pt idx="402">
                  <c:v>1989년 1월</c:v>
                </c:pt>
                <c:pt idx="403">
                  <c:v>1988년 12월</c:v>
                </c:pt>
                <c:pt idx="404">
                  <c:v>1988년 11월</c:v>
                </c:pt>
                <c:pt idx="405">
                  <c:v>1988년 10월</c:v>
                </c:pt>
                <c:pt idx="406">
                  <c:v>1988년 9월</c:v>
                </c:pt>
                <c:pt idx="407">
                  <c:v>1988년 8월</c:v>
                </c:pt>
                <c:pt idx="408">
                  <c:v>1988년 7월</c:v>
                </c:pt>
                <c:pt idx="409">
                  <c:v>1988년 6월</c:v>
                </c:pt>
                <c:pt idx="410">
                  <c:v>1988년 5월</c:v>
                </c:pt>
                <c:pt idx="411">
                  <c:v>1988년 4월</c:v>
                </c:pt>
                <c:pt idx="412">
                  <c:v>1988년 3월</c:v>
                </c:pt>
                <c:pt idx="413">
                  <c:v>1988년 2월</c:v>
                </c:pt>
                <c:pt idx="414">
                  <c:v>1988년 1월</c:v>
                </c:pt>
                <c:pt idx="415">
                  <c:v>1987년 12월</c:v>
                </c:pt>
                <c:pt idx="416">
                  <c:v>1987년 11월</c:v>
                </c:pt>
                <c:pt idx="417">
                  <c:v>1987년 10월</c:v>
                </c:pt>
                <c:pt idx="418">
                  <c:v>1987년 9월</c:v>
                </c:pt>
                <c:pt idx="419">
                  <c:v>1987년 8월</c:v>
                </c:pt>
                <c:pt idx="420">
                  <c:v>1987년 7월</c:v>
                </c:pt>
                <c:pt idx="421">
                  <c:v>1987년 6월</c:v>
                </c:pt>
                <c:pt idx="422">
                  <c:v>1987년 5월</c:v>
                </c:pt>
                <c:pt idx="423">
                  <c:v>1987년 4월</c:v>
                </c:pt>
                <c:pt idx="424">
                  <c:v>1987년 3월</c:v>
                </c:pt>
                <c:pt idx="425">
                  <c:v>1987년 2월</c:v>
                </c:pt>
                <c:pt idx="426">
                  <c:v>1987년 1월</c:v>
                </c:pt>
                <c:pt idx="427">
                  <c:v>1986년 12월</c:v>
                </c:pt>
                <c:pt idx="428">
                  <c:v>1986년 11월</c:v>
                </c:pt>
                <c:pt idx="429">
                  <c:v>1986년 10월</c:v>
                </c:pt>
                <c:pt idx="430">
                  <c:v>1986년 9월</c:v>
                </c:pt>
                <c:pt idx="431">
                  <c:v>1986년 8월</c:v>
                </c:pt>
                <c:pt idx="432">
                  <c:v>1986년 7월</c:v>
                </c:pt>
                <c:pt idx="433">
                  <c:v>1986년 6월</c:v>
                </c:pt>
                <c:pt idx="434">
                  <c:v>1986년 5월</c:v>
                </c:pt>
                <c:pt idx="435">
                  <c:v>1986년 4월</c:v>
                </c:pt>
                <c:pt idx="436">
                  <c:v>1986년 3월</c:v>
                </c:pt>
                <c:pt idx="437">
                  <c:v>1986년 2월</c:v>
                </c:pt>
                <c:pt idx="438">
                  <c:v>1986년 1월</c:v>
                </c:pt>
                <c:pt idx="439">
                  <c:v>1985년 12월</c:v>
                </c:pt>
                <c:pt idx="440">
                  <c:v>1985년 11월</c:v>
                </c:pt>
                <c:pt idx="441">
                  <c:v>1985년 10월</c:v>
                </c:pt>
                <c:pt idx="442">
                  <c:v>1985년 9월</c:v>
                </c:pt>
                <c:pt idx="443">
                  <c:v>1985년 8월</c:v>
                </c:pt>
                <c:pt idx="444">
                  <c:v>1985년 7월</c:v>
                </c:pt>
                <c:pt idx="445">
                  <c:v>1985년 6월</c:v>
                </c:pt>
                <c:pt idx="446">
                  <c:v>1985년 5월</c:v>
                </c:pt>
                <c:pt idx="447">
                  <c:v>1985년 4월</c:v>
                </c:pt>
                <c:pt idx="448">
                  <c:v>1985년 3월</c:v>
                </c:pt>
                <c:pt idx="449">
                  <c:v>1985년 2월</c:v>
                </c:pt>
                <c:pt idx="450">
                  <c:v>1985년 1월</c:v>
                </c:pt>
                <c:pt idx="451">
                  <c:v>1984년 12월</c:v>
                </c:pt>
                <c:pt idx="452">
                  <c:v>1984년 11월</c:v>
                </c:pt>
                <c:pt idx="453">
                  <c:v>1984년 10월</c:v>
                </c:pt>
                <c:pt idx="454">
                  <c:v>1984년 9월</c:v>
                </c:pt>
                <c:pt idx="455">
                  <c:v>1984년 8월</c:v>
                </c:pt>
                <c:pt idx="456">
                  <c:v>1984년 7월</c:v>
                </c:pt>
                <c:pt idx="457">
                  <c:v>1984년 6월</c:v>
                </c:pt>
                <c:pt idx="458">
                  <c:v>1984년 5월</c:v>
                </c:pt>
                <c:pt idx="459">
                  <c:v>1984년 4월</c:v>
                </c:pt>
                <c:pt idx="460">
                  <c:v>1984년 3월</c:v>
                </c:pt>
                <c:pt idx="461">
                  <c:v>1984년 2월</c:v>
                </c:pt>
                <c:pt idx="462">
                  <c:v>1984년 1월</c:v>
                </c:pt>
                <c:pt idx="463">
                  <c:v>1983년 12월</c:v>
                </c:pt>
                <c:pt idx="464">
                  <c:v>1983년 11월</c:v>
                </c:pt>
                <c:pt idx="465">
                  <c:v>1983년 10월</c:v>
                </c:pt>
                <c:pt idx="466">
                  <c:v>1983년 9월</c:v>
                </c:pt>
                <c:pt idx="467">
                  <c:v>1983년 8월</c:v>
                </c:pt>
                <c:pt idx="468">
                  <c:v>1983년 7월</c:v>
                </c:pt>
                <c:pt idx="469">
                  <c:v>1983년 6월</c:v>
                </c:pt>
                <c:pt idx="470">
                  <c:v>1983년 5월</c:v>
                </c:pt>
                <c:pt idx="471">
                  <c:v>1983년 4월</c:v>
                </c:pt>
                <c:pt idx="472">
                  <c:v>1983년 3월</c:v>
                </c:pt>
                <c:pt idx="473">
                  <c:v>1983년 2월</c:v>
                </c:pt>
                <c:pt idx="474">
                  <c:v>1983년 1월</c:v>
                </c:pt>
                <c:pt idx="475">
                  <c:v>1982년 12월</c:v>
                </c:pt>
                <c:pt idx="476">
                  <c:v>1982년 11월</c:v>
                </c:pt>
                <c:pt idx="477">
                  <c:v>1982년 10월</c:v>
                </c:pt>
                <c:pt idx="478">
                  <c:v>1982년 9월</c:v>
                </c:pt>
                <c:pt idx="479">
                  <c:v>1982년 8월</c:v>
                </c:pt>
                <c:pt idx="480">
                  <c:v>1982년 7월</c:v>
                </c:pt>
                <c:pt idx="481">
                  <c:v>1982년 6월</c:v>
                </c:pt>
                <c:pt idx="482">
                  <c:v>1982년 5월</c:v>
                </c:pt>
                <c:pt idx="483">
                  <c:v>1982년 4월</c:v>
                </c:pt>
                <c:pt idx="484">
                  <c:v>1982년 3월</c:v>
                </c:pt>
                <c:pt idx="485">
                  <c:v>1982년 2월</c:v>
                </c:pt>
                <c:pt idx="486">
                  <c:v>1982년 1월</c:v>
                </c:pt>
                <c:pt idx="487">
                  <c:v>1981년 12월</c:v>
                </c:pt>
                <c:pt idx="488">
                  <c:v>1981년 11월</c:v>
                </c:pt>
                <c:pt idx="489">
                  <c:v>1981년 10월</c:v>
                </c:pt>
                <c:pt idx="490">
                  <c:v>1981년 9월</c:v>
                </c:pt>
                <c:pt idx="491">
                  <c:v>1981년 8월</c:v>
                </c:pt>
                <c:pt idx="492">
                  <c:v>1981년 7월</c:v>
                </c:pt>
                <c:pt idx="493">
                  <c:v>1981년 6월</c:v>
                </c:pt>
                <c:pt idx="494">
                  <c:v>1981년 5월</c:v>
                </c:pt>
                <c:pt idx="495">
                  <c:v>1981년 4월</c:v>
                </c:pt>
                <c:pt idx="496">
                  <c:v>1981년 3월</c:v>
                </c:pt>
                <c:pt idx="497">
                  <c:v>1981년 2월</c:v>
                </c:pt>
                <c:pt idx="498">
                  <c:v>1981년 1월</c:v>
                </c:pt>
                <c:pt idx="499">
                  <c:v>1980년 12월</c:v>
                </c:pt>
                <c:pt idx="500">
                  <c:v>1980년 11월</c:v>
                </c:pt>
                <c:pt idx="501">
                  <c:v>1980년 10월</c:v>
                </c:pt>
                <c:pt idx="502">
                  <c:v>1980년 9월</c:v>
                </c:pt>
                <c:pt idx="503">
                  <c:v>1980년 8월</c:v>
                </c:pt>
                <c:pt idx="504">
                  <c:v>1980년 7월</c:v>
                </c:pt>
                <c:pt idx="505">
                  <c:v>1980년 6월</c:v>
                </c:pt>
                <c:pt idx="506">
                  <c:v>1980년 5월</c:v>
                </c:pt>
                <c:pt idx="507">
                  <c:v>1980년 4월</c:v>
                </c:pt>
                <c:pt idx="508">
                  <c:v>1980년 3월</c:v>
                </c:pt>
                <c:pt idx="509">
                  <c:v>1980년 2월</c:v>
                </c:pt>
                <c:pt idx="510">
                  <c:v>1980년 1월</c:v>
                </c:pt>
                <c:pt idx="511">
                  <c:v>1979년 12월</c:v>
                </c:pt>
                <c:pt idx="512">
                  <c:v>1979년 11월</c:v>
                </c:pt>
                <c:pt idx="513">
                  <c:v>1979년 10월</c:v>
                </c:pt>
                <c:pt idx="514">
                  <c:v>1979년 9월</c:v>
                </c:pt>
                <c:pt idx="515">
                  <c:v>1979년 8월</c:v>
                </c:pt>
                <c:pt idx="516">
                  <c:v>1979년 7월</c:v>
                </c:pt>
                <c:pt idx="517">
                  <c:v>1979년 6월</c:v>
                </c:pt>
                <c:pt idx="518">
                  <c:v>1979년 5월</c:v>
                </c:pt>
                <c:pt idx="519">
                  <c:v>1979년 4월</c:v>
                </c:pt>
                <c:pt idx="520">
                  <c:v>1979년 3월</c:v>
                </c:pt>
                <c:pt idx="521">
                  <c:v>1979년 2월</c:v>
                </c:pt>
                <c:pt idx="522">
                  <c:v>1979년 1월</c:v>
                </c:pt>
                <c:pt idx="523">
                  <c:v>1978년 12월</c:v>
                </c:pt>
                <c:pt idx="524">
                  <c:v>1978년 11월</c:v>
                </c:pt>
                <c:pt idx="525">
                  <c:v>1978년 10월</c:v>
                </c:pt>
                <c:pt idx="526">
                  <c:v>1978년 9월</c:v>
                </c:pt>
                <c:pt idx="527">
                  <c:v>1978년 8월</c:v>
                </c:pt>
                <c:pt idx="528">
                  <c:v>1978년 7월</c:v>
                </c:pt>
                <c:pt idx="529">
                  <c:v>1978년 6월</c:v>
                </c:pt>
                <c:pt idx="530">
                  <c:v>1978년 5월</c:v>
                </c:pt>
                <c:pt idx="531">
                  <c:v>1978년 4월</c:v>
                </c:pt>
                <c:pt idx="532">
                  <c:v>1978년 3월</c:v>
                </c:pt>
                <c:pt idx="533">
                  <c:v>1978년 2월</c:v>
                </c:pt>
                <c:pt idx="534">
                  <c:v>1978년 1월</c:v>
                </c:pt>
                <c:pt idx="535">
                  <c:v>1977년 12월</c:v>
                </c:pt>
                <c:pt idx="536">
                  <c:v>1977년 11월</c:v>
                </c:pt>
                <c:pt idx="537">
                  <c:v>1977년 10월</c:v>
                </c:pt>
                <c:pt idx="538">
                  <c:v>1977년 9월</c:v>
                </c:pt>
                <c:pt idx="539">
                  <c:v>1977년 8월</c:v>
                </c:pt>
                <c:pt idx="540">
                  <c:v>1977년 7월</c:v>
                </c:pt>
                <c:pt idx="541">
                  <c:v>1977년 6월</c:v>
                </c:pt>
                <c:pt idx="542">
                  <c:v>1977년 5월</c:v>
                </c:pt>
                <c:pt idx="543">
                  <c:v>1977년 4월</c:v>
                </c:pt>
                <c:pt idx="544">
                  <c:v>1977년 3월</c:v>
                </c:pt>
                <c:pt idx="545">
                  <c:v>1977년 2월</c:v>
                </c:pt>
                <c:pt idx="546">
                  <c:v>1977년 1월</c:v>
                </c:pt>
                <c:pt idx="547">
                  <c:v>1976년 12월</c:v>
                </c:pt>
                <c:pt idx="548">
                  <c:v>1976년 11월</c:v>
                </c:pt>
                <c:pt idx="549">
                  <c:v>1976년 10월</c:v>
                </c:pt>
                <c:pt idx="550">
                  <c:v>1976년 9월</c:v>
                </c:pt>
                <c:pt idx="551">
                  <c:v>1976년 8월</c:v>
                </c:pt>
                <c:pt idx="552">
                  <c:v>1976년 7월</c:v>
                </c:pt>
                <c:pt idx="553">
                  <c:v>1976년 6월</c:v>
                </c:pt>
                <c:pt idx="554">
                  <c:v>1976년 5월</c:v>
                </c:pt>
                <c:pt idx="555">
                  <c:v>1976년 4월</c:v>
                </c:pt>
                <c:pt idx="556">
                  <c:v>1976년 3월</c:v>
                </c:pt>
                <c:pt idx="557">
                  <c:v>1976년 2월</c:v>
                </c:pt>
                <c:pt idx="558">
                  <c:v>1976년 1월</c:v>
                </c:pt>
                <c:pt idx="559">
                  <c:v>1975년 12월</c:v>
                </c:pt>
                <c:pt idx="560">
                  <c:v>1975년 11월</c:v>
                </c:pt>
                <c:pt idx="561">
                  <c:v>1975년 10월</c:v>
                </c:pt>
                <c:pt idx="562">
                  <c:v>1975년 9월</c:v>
                </c:pt>
                <c:pt idx="563">
                  <c:v>1975년 8월</c:v>
                </c:pt>
                <c:pt idx="564">
                  <c:v>1975년 7월</c:v>
                </c:pt>
                <c:pt idx="565">
                  <c:v>1975년 6월</c:v>
                </c:pt>
                <c:pt idx="566">
                  <c:v>1975년 5월</c:v>
                </c:pt>
                <c:pt idx="567">
                  <c:v>1975년 4월</c:v>
                </c:pt>
                <c:pt idx="568">
                  <c:v>1975년 3월</c:v>
                </c:pt>
                <c:pt idx="569">
                  <c:v>1975년 2월</c:v>
                </c:pt>
                <c:pt idx="570">
                  <c:v>1975년 1월</c:v>
                </c:pt>
                <c:pt idx="571">
                  <c:v>1974년 12월</c:v>
                </c:pt>
                <c:pt idx="572">
                  <c:v>1974년 11월</c:v>
                </c:pt>
                <c:pt idx="573">
                  <c:v>1974년 10월</c:v>
                </c:pt>
                <c:pt idx="574">
                  <c:v>1974년 9월</c:v>
                </c:pt>
                <c:pt idx="575">
                  <c:v>1974년 8월</c:v>
                </c:pt>
                <c:pt idx="576">
                  <c:v>1974년 7월</c:v>
                </c:pt>
                <c:pt idx="577">
                  <c:v>1974년 6월</c:v>
                </c:pt>
                <c:pt idx="578">
                  <c:v>1974년 5월</c:v>
                </c:pt>
                <c:pt idx="579">
                  <c:v>1974년 4월</c:v>
                </c:pt>
                <c:pt idx="580">
                  <c:v>1974년 3월</c:v>
                </c:pt>
                <c:pt idx="581">
                  <c:v>1974년 2월</c:v>
                </c:pt>
                <c:pt idx="582">
                  <c:v>1974년 1월</c:v>
                </c:pt>
                <c:pt idx="583">
                  <c:v>1973년 12월</c:v>
                </c:pt>
                <c:pt idx="584">
                  <c:v>1973년 11월</c:v>
                </c:pt>
                <c:pt idx="585">
                  <c:v>1973년 10월</c:v>
                </c:pt>
                <c:pt idx="586">
                  <c:v>1973년 9월</c:v>
                </c:pt>
                <c:pt idx="587">
                  <c:v>1973년 8월</c:v>
                </c:pt>
                <c:pt idx="588">
                  <c:v>1973년 7월</c:v>
                </c:pt>
                <c:pt idx="589">
                  <c:v>1973년 6월</c:v>
                </c:pt>
                <c:pt idx="590">
                  <c:v>1973년 5월</c:v>
                </c:pt>
                <c:pt idx="591">
                  <c:v>1973년 4월</c:v>
                </c:pt>
                <c:pt idx="592">
                  <c:v>1973년 3월</c:v>
                </c:pt>
                <c:pt idx="593">
                  <c:v>1973년 2월</c:v>
                </c:pt>
                <c:pt idx="594">
                  <c:v>1973년 1월</c:v>
                </c:pt>
                <c:pt idx="595">
                  <c:v>1972년 12월</c:v>
                </c:pt>
                <c:pt idx="596">
                  <c:v>1972년 11월</c:v>
                </c:pt>
                <c:pt idx="597">
                  <c:v>1972년 10월</c:v>
                </c:pt>
                <c:pt idx="598">
                  <c:v>1972년 9월</c:v>
                </c:pt>
                <c:pt idx="599">
                  <c:v>1972년 8월</c:v>
                </c:pt>
                <c:pt idx="600">
                  <c:v>1972년 7월</c:v>
                </c:pt>
                <c:pt idx="601">
                  <c:v>1972년 6월</c:v>
                </c:pt>
                <c:pt idx="602">
                  <c:v>1972년 5월</c:v>
                </c:pt>
                <c:pt idx="603">
                  <c:v>1972년 4월</c:v>
                </c:pt>
                <c:pt idx="604">
                  <c:v>1972년 3월</c:v>
                </c:pt>
                <c:pt idx="605">
                  <c:v>1972년 2월</c:v>
                </c:pt>
                <c:pt idx="606">
                  <c:v>1972년 1월</c:v>
                </c:pt>
                <c:pt idx="607">
                  <c:v>1971년 12월</c:v>
                </c:pt>
                <c:pt idx="608">
                  <c:v>1971년 11월</c:v>
                </c:pt>
                <c:pt idx="609">
                  <c:v>1971년 10월</c:v>
                </c:pt>
                <c:pt idx="610">
                  <c:v>1971년 9월</c:v>
                </c:pt>
                <c:pt idx="611">
                  <c:v>1971년 8월</c:v>
                </c:pt>
                <c:pt idx="612">
                  <c:v>1971년 7월</c:v>
                </c:pt>
                <c:pt idx="613">
                  <c:v>1971년 6월</c:v>
                </c:pt>
                <c:pt idx="614">
                  <c:v>1971년 5월</c:v>
                </c:pt>
                <c:pt idx="615">
                  <c:v>1971년 4월</c:v>
                </c:pt>
                <c:pt idx="616">
                  <c:v>1971년 3월</c:v>
                </c:pt>
                <c:pt idx="617">
                  <c:v>1971년 2월</c:v>
                </c:pt>
                <c:pt idx="618">
                  <c:v>1971년 1월</c:v>
                </c:pt>
                <c:pt idx="619">
                  <c:v>1970년 12월</c:v>
                </c:pt>
                <c:pt idx="620">
                  <c:v>1970년 11월</c:v>
                </c:pt>
                <c:pt idx="621">
                  <c:v>1970년 10월</c:v>
                </c:pt>
                <c:pt idx="622">
                  <c:v>1970년 9월</c:v>
                </c:pt>
                <c:pt idx="623">
                  <c:v>1970년 8월</c:v>
                </c:pt>
                <c:pt idx="624">
                  <c:v>1970년 7월</c:v>
                </c:pt>
                <c:pt idx="625">
                  <c:v>1970년 6월</c:v>
                </c:pt>
                <c:pt idx="626">
                  <c:v>1970년 5월</c:v>
                </c:pt>
                <c:pt idx="627">
                  <c:v>1970년 4월</c:v>
                </c:pt>
                <c:pt idx="628">
                  <c:v>1970년 3월</c:v>
                </c:pt>
                <c:pt idx="629">
                  <c:v>1970년 2월</c:v>
                </c:pt>
              </c:strCache>
            </c:strRef>
          </c:cat>
          <c:val>
            <c:numRef>
              <c:f>'4 fear plan'!$D$2:$D$631</c:f>
              <c:numCache>
                <c:formatCode>#,##0.00</c:formatCode>
                <c:ptCount val="630"/>
                <c:pt idx="0">
                  <c:v>12390.69</c:v>
                </c:pt>
                <c:pt idx="1">
                  <c:v>11028.74</c:v>
                </c:pt>
                <c:pt idx="2">
                  <c:v>12081.39</c:v>
                </c:pt>
                <c:pt idx="3">
                  <c:v>12334.64</c:v>
                </c:pt>
                <c:pt idx="4">
                  <c:v>14220.52</c:v>
                </c:pt>
                <c:pt idx="5">
                  <c:v>13751.4</c:v>
                </c:pt>
                <c:pt idx="6">
                  <c:v>14239.88</c:v>
                </c:pt>
                <c:pt idx="7">
                  <c:v>15644.97</c:v>
                </c:pt>
                <c:pt idx="8">
                  <c:v>15537.69</c:v>
                </c:pt>
                <c:pt idx="9">
                  <c:v>15498.39</c:v>
                </c:pt>
                <c:pt idx="10">
                  <c:v>14448.58</c:v>
                </c:pt>
                <c:pt idx="11">
                  <c:v>15259.24</c:v>
                </c:pt>
                <c:pt idx="12">
                  <c:v>14672.68</c:v>
                </c:pt>
                <c:pt idx="13">
                  <c:v>14503.95</c:v>
                </c:pt>
                <c:pt idx="14">
                  <c:v>13748.74</c:v>
                </c:pt>
                <c:pt idx="15">
                  <c:v>13962.68</c:v>
                </c:pt>
                <c:pt idx="16">
                  <c:v>13246.87</c:v>
                </c:pt>
                <c:pt idx="17">
                  <c:v>13192.35</c:v>
                </c:pt>
                <c:pt idx="18">
                  <c:v>13070.69</c:v>
                </c:pt>
                <c:pt idx="19">
                  <c:v>12888.28</c:v>
                </c:pt>
                <c:pt idx="20">
                  <c:v>12198.74</c:v>
                </c:pt>
                <c:pt idx="21">
                  <c:v>10911.59</c:v>
                </c:pt>
                <c:pt idx="22">
                  <c:v>11167.68</c:v>
                </c:pt>
                <c:pt idx="23">
                  <c:v>11775.46</c:v>
                </c:pt>
                <c:pt idx="24">
                  <c:v>10745.27</c:v>
                </c:pt>
                <c:pt idx="25">
                  <c:v>10058.76</c:v>
                </c:pt>
                <c:pt idx="26">
                  <c:v>9489.8700000000008</c:v>
                </c:pt>
                <c:pt idx="27">
                  <c:v>8889.5499999999993</c:v>
                </c:pt>
                <c:pt idx="28">
                  <c:v>7700.1</c:v>
                </c:pt>
                <c:pt idx="29">
                  <c:v>8567.3700000000008</c:v>
                </c:pt>
                <c:pt idx="30">
                  <c:v>9150.94</c:v>
                </c:pt>
                <c:pt idx="31">
                  <c:v>8972.6</c:v>
                </c:pt>
                <c:pt idx="32">
                  <c:v>8665.4699999999993</c:v>
                </c:pt>
                <c:pt idx="33">
                  <c:v>8292.36</c:v>
                </c:pt>
                <c:pt idx="34">
                  <c:v>7999.33</c:v>
                </c:pt>
                <c:pt idx="35">
                  <c:v>7962.88</c:v>
                </c:pt>
                <c:pt idx="36">
                  <c:v>8175.42</c:v>
                </c:pt>
                <c:pt idx="37">
                  <c:v>8006.24</c:v>
                </c:pt>
                <c:pt idx="38">
                  <c:v>7453.15</c:v>
                </c:pt>
                <c:pt idx="39">
                  <c:v>8095.39</c:v>
                </c:pt>
                <c:pt idx="40">
                  <c:v>7729.32</c:v>
                </c:pt>
                <c:pt idx="41">
                  <c:v>7532.53</c:v>
                </c:pt>
                <c:pt idx="42">
                  <c:v>7281.74</c:v>
                </c:pt>
                <c:pt idx="43">
                  <c:v>6635.28</c:v>
                </c:pt>
                <c:pt idx="44">
                  <c:v>7330.54</c:v>
                </c:pt>
                <c:pt idx="45">
                  <c:v>7305.9</c:v>
                </c:pt>
                <c:pt idx="46">
                  <c:v>8046.35</c:v>
                </c:pt>
                <c:pt idx="47">
                  <c:v>8109.54</c:v>
                </c:pt>
                <c:pt idx="48">
                  <c:v>7671.79</c:v>
                </c:pt>
                <c:pt idx="49">
                  <c:v>7510.3</c:v>
                </c:pt>
                <c:pt idx="50">
                  <c:v>7442.12</c:v>
                </c:pt>
                <c:pt idx="51">
                  <c:v>7066.27</c:v>
                </c:pt>
                <c:pt idx="52">
                  <c:v>7063.44</c:v>
                </c:pt>
                <c:pt idx="53">
                  <c:v>7273.01</c:v>
                </c:pt>
                <c:pt idx="54">
                  <c:v>7411.48</c:v>
                </c:pt>
                <c:pt idx="55">
                  <c:v>6903.39</c:v>
                </c:pt>
                <c:pt idx="56">
                  <c:v>6873.97</c:v>
                </c:pt>
                <c:pt idx="57">
                  <c:v>6727.67</c:v>
                </c:pt>
                <c:pt idx="58">
                  <c:v>6495.96</c:v>
                </c:pt>
                <c:pt idx="59">
                  <c:v>6428.66</c:v>
                </c:pt>
                <c:pt idx="60">
                  <c:v>6348.12</c:v>
                </c:pt>
                <c:pt idx="61">
                  <c:v>6140.42</c:v>
                </c:pt>
                <c:pt idx="62">
                  <c:v>6198.52</c:v>
                </c:pt>
                <c:pt idx="63">
                  <c:v>6047.61</c:v>
                </c:pt>
                <c:pt idx="64">
                  <c:v>5911.74</c:v>
                </c:pt>
                <c:pt idx="65">
                  <c:v>5825.44</c:v>
                </c:pt>
                <c:pt idx="66">
                  <c:v>5614.79</c:v>
                </c:pt>
                <c:pt idx="67">
                  <c:v>5383.12</c:v>
                </c:pt>
                <c:pt idx="68">
                  <c:v>5323.68</c:v>
                </c:pt>
                <c:pt idx="69">
                  <c:v>5189.1400000000003</c:v>
                </c:pt>
                <c:pt idx="70">
                  <c:v>5312</c:v>
                </c:pt>
                <c:pt idx="71">
                  <c:v>5213.22</c:v>
                </c:pt>
                <c:pt idx="72">
                  <c:v>5162.13</c:v>
                </c:pt>
                <c:pt idx="73">
                  <c:v>4842.67</c:v>
                </c:pt>
                <c:pt idx="74">
                  <c:v>4948.0600000000004</c:v>
                </c:pt>
                <c:pt idx="75">
                  <c:v>4775.3599999999997</c:v>
                </c:pt>
                <c:pt idx="76">
                  <c:v>4869.8500000000004</c:v>
                </c:pt>
                <c:pt idx="77">
                  <c:v>4557.95</c:v>
                </c:pt>
                <c:pt idx="78">
                  <c:v>4613.95</c:v>
                </c:pt>
                <c:pt idx="79">
                  <c:v>5007.41</c:v>
                </c:pt>
                <c:pt idx="80">
                  <c:v>5108.67</c:v>
                </c:pt>
                <c:pt idx="81">
                  <c:v>5053.75</c:v>
                </c:pt>
                <c:pt idx="82">
                  <c:v>4620.16</c:v>
                </c:pt>
                <c:pt idx="83">
                  <c:v>4776.51</c:v>
                </c:pt>
                <c:pt idx="84">
                  <c:v>5128.28</c:v>
                </c:pt>
                <c:pt idx="85">
                  <c:v>4986.87</c:v>
                </c:pt>
                <c:pt idx="86">
                  <c:v>5070.0200000000004</c:v>
                </c:pt>
                <c:pt idx="87">
                  <c:v>4941.42</c:v>
                </c:pt>
                <c:pt idx="88">
                  <c:v>4900.88</c:v>
                </c:pt>
                <c:pt idx="89">
                  <c:v>4963.53</c:v>
                </c:pt>
                <c:pt idx="90">
                  <c:v>4635.24</c:v>
                </c:pt>
                <c:pt idx="91">
                  <c:v>4736.05</c:v>
                </c:pt>
                <c:pt idx="92">
                  <c:v>4791.63</c:v>
                </c:pt>
                <c:pt idx="93">
                  <c:v>4630.74</c:v>
                </c:pt>
                <c:pt idx="94">
                  <c:v>4493.3900000000003</c:v>
                </c:pt>
                <c:pt idx="95">
                  <c:v>4580.2700000000004</c:v>
                </c:pt>
                <c:pt idx="96">
                  <c:v>4369.7700000000004</c:v>
                </c:pt>
                <c:pt idx="97">
                  <c:v>4408.18</c:v>
                </c:pt>
                <c:pt idx="98">
                  <c:v>4242.62</c:v>
                </c:pt>
                <c:pt idx="99">
                  <c:v>4114.5600000000004</c:v>
                </c:pt>
                <c:pt idx="100">
                  <c:v>4198.99</c:v>
                </c:pt>
                <c:pt idx="101">
                  <c:v>4308.12</c:v>
                </c:pt>
                <c:pt idx="102">
                  <c:v>4103.88</c:v>
                </c:pt>
                <c:pt idx="103">
                  <c:v>4176.59</c:v>
                </c:pt>
                <c:pt idx="104">
                  <c:v>4059.89</c:v>
                </c:pt>
                <c:pt idx="105">
                  <c:v>3919.71</c:v>
                </c:pt>
                <c:pt idx="106">
                  <c:v>3771.48</c:v>
                </c:pt>
                <c:pt idx="107">
                  <c:v>3589.87</c:v>
                </c:pt>
                <c:pt idx="108">
                  <c:v>3626.37</c:v>
                </c:pt>
                <c:pt idx="109">
                  <c:v>3403.25</c:v>
                </c:pt>
                <c:pt idx="110">
                  <c:v>3455.91</c:v>
                </c:pt>
                <c:pt idx="111">
                  <c:v>3328.79</c:v>
                </c:pt>
                <c:pt idx="112">
                  <c:v>3267.52</c:v>
                </c:pt>
                <c:pt idx="113">
                  <c:v>3160.19</c:v>
                </c:pt>
                <c:pt idx="114">
                  <c:v>3142.13</c:v>
                </c:pt>
                <c:pt idx="115">
                  <c:v>3019.51</c:v>
                </c:pt>
                <c:pt idx="116">
                  <c:v>3010.24</c:v>
                </c:pt>
                <c:pt idx="117">
                  <c:v>2977.23</c:v>
                </c:pt>
                <c:pt idx="118">
                  <c:v>3116.23</c:v>
                </c:pt>
                <c:pt idx="119">
                  <c:v>3066.96</c:v>
                </c:pt>
                <c:pt idx="120">
                  <c:v>2939.52</c:v>
                </c:pt>
                <c:pt idx="121">
                  <c:v>2935.05</c:v>
                </c:pt>
                <c:pt idx="122">
                  <c:v>2827.34</c:v>
                </c:pt>
                <c:pt idx="123">
                  <c:v>3046.36</c:v>
                </c:pt>
                <c:pt idx="124">
                  <c:v>3091.57</c:v>
                </c:pt>
                <c:pt idx="125">
                  <c:v>2966.89</c:v>
                </c:pt>
                <c:pt idx="126">
                  <c:v>2813.84</c:v>
                </c:pt>
                <c:pt idx="127">
                  <c:v>2605.15</c:v>
                </c:pt>
                <c:pt idx="128">
                  <c:v>2620.34</c:v>
                </c:pt>
                <c:pt idx="129">
                  <c:v>2684.41</c:v>
                </c:pt>
                <c:pt idx="130">
                  <c:v>2415.4</c:v>
                </c:pt>
                <c:pt idx="131">
                  <c:v>2579.46</c:v>
                </c:pt>
                <c:pt idx="132">
                  <c:v>2756.38</c:v>
                </c:pt>
                <c:pt idx="133">
                  <c:v>2773.52</c:v>
                </c:pt>
                <c:pt idx="134">
                  <c:v>2835.3</c:v>
                </c:pt>
                <c:pt idx="135">
                  <c:v>2873.54</c:v>
                </c:pt>
                <c:pt idx="136">
                  <c:v>2781.07</c:v>
                </c:pt>
                <c:pt idx="137">
                  <c:v>2782.27</c:v>
                </c:pt>
                <c:pt idx="138">
                  <c:v>2700.08</c:v>
                </c:pt>
                <c:pt idx="139">
                  <c:v>2652.87</c:v>
                </c:pt>
                <c:pt idx="140">
                  <c:v>2498.23</c:v>
                </c:pt>
                <c:pt idx="141">
                  <c:v>2507.41</c:v>
                </c:pt>
                <c:pt idx="142">
                  <c:v>2368.62</c:v>
                </c:pt>
                <c:pt idx="143">
                  <c:v>2114.0300000000002</c:v>
                </c:pt>
                <c:pt idx="144">
                  <c:v>2254.6999999999998</c:v>
                </c:pt>
                <c:pt idx="145">
                  <c:v>2109.2399999999998</c:v>
                </c:pt>
                <c:pt idx="146">
                  <c:v>2257.04</c:v>
                </c:pt>
                <c:pt idx="147">
                  <c:v>2461.19</c:v>
                </c:pt>
                <c:pt idx="148">
                  <c:v>2397.96</c:v>
                </c:pt>
                <c:pt idx="149">
                  <c:v>2238.2600000000002</c:v>
                </c:pt>
                <c:pt idx="150">
                  <c:v>2147.35</c:v>
                </c:pt>
                <c:pt idx="151">
                  <c:v>2269.15</c:v>
                </c:pt>
                <c:pt idx="152">
                  <c:v>2144.6</c:v>
                </c:pt>
                <c:pt idx="153">
                  <c:v>2045.11</c:v>
                </c:pt>
                <c:pt idx="154">
                  <c:v>2122.42</c:v>
                </c:pt>
                <c:pt idx="155">
                  <c:v>2009.06</c:v>
                </c:pt>
                <c:pt idx="156">
                  <c:v>1978.5</c:v>
                </c:pt>
                <c:pt idx="157">
                  <c:v>1835.04</c:v>
                </c:pt>
                <c:pt idx="158">
                  <c:v>1774.33</c:v>
                </c:pt>
                <c:pt idx="159">
                  <c:v>1717.3</c:v>
                </c:pt>
                <c:pt idx="160">
                  <c:v>1528.59</c:v>
                </c:pt>
                <c:pt idx="161">
                  <c:v>1377.84</c:v>
                </c:pt>
                <c:pt idx="162">
                  <c:v>1476.42</c:v>
                </c:pt>
                <c:pt idx="163">
                  <c:v>1577.03</c:v>
                </c:pt>
                <c:pt idx="164">
                  <c:v>1535.57</c:v>
                </c:pt>
                <c:pt idx="165">
                  <c:v>1720.95</c:v>
                </c:pt>
                <c:pt idx="166">
                  <c:v>2091.88</c:v>
                </c:pt>
                <c:pt idx="167">
                  <c:v>2367.52</c:v>
                </c:pt>
                <c:pt idx="168">
                  <c:v>2325.5500000000002</c:v>
                </c:pt>
                <c:pt idx="169">
                  <c:v>2292.98</c:v>
                </c:pt>
                <c:pt idx="170">
                  <c:v>2522.66</c:v>
                </c:pt>
                <c:pt idx="171">
                  <c:v>2412.8000000000002</c:v>
                </c:pt>
                <c:pt idx="172">
                  <c:v>2279.1</c:v>
                </c:pt>
                <c:pt idx="173">
                  <c:v>2271.48</c:v>
                </c:pt>
                <c:pt idx="174">
                  <c:v>2389.86</c:v>
                </c:pt>
                <c:pt idx="175">
                  <c:v>2652.28</c:v>
                </c:pt>
                <c:pt idx="176">
                  <c:v>2660.96</c:v>
                </c:pt>
                <c:pt idx="177">
                  <c:v>2859.12</c:v>
                </c:pt>
                <c:pt idx="178">
                  <c:v>2701.5</c:v>
                </c:pt>
                <c:pt idx="179">
                  <c:v>2596.36</c:v>
                </c:pt>
                <c:pt idx="180">
                  <c:v>2545.5700000000002</c:v>
                </c:pt>
                <c:pt idx="181">
                  <c:v>2603.23</c:v>
                </c:pt>
                <c:pt idx="182">
                  <c:v>2604.52</c:v>
                </c:pt>
                <c:pt idx="183">
                  <c:v>2525.09</c:v>
                </c:pt>
                <c:pt idx="184">
                  <c:v>2421.64</c:v>
                </c:pt>
                <c:pt idx="185">
                  <c:v>2416.15</c:v>
                </c:pt>
                <c:pt idx="186">
                  <c:v>2463.9299999999998</c:v>
                </c:pt>
                <c:pt idx="187">
                  <c:v>2415.29</c:v>
                </c:pt>
                <c:pt idx="188">
                  <c:v>2431.77</c:v>
                </c:pt>
                <c:pt idx="189">
                  <c:v>2366.71</c:v>
                </c:pt>
                <c:pt idx="190">
                  <c:v>2258.4299999999998</c:v>
                </c:pt>
                <c:pt idx="191">
                  <c:v>2183.75</c:v>
                </c:pt>
                <c:pt idx="192">
                  <c:v>2091.4699999999998</c:v>
                </c:pt>
                <c:pt idx="193">
                  <c:v>2172.09</c:v>
                </c:pt>
                <c:pt idx="194">
                  <c:v>2178.88</c:v>
                </c:pt>
                <c:pt idx="195">
                  <c:v>2322.5700000000002</c:v>
                </c:pt>
                <c:pt idx="196">
                  <c:v>2339.79</c:v>
                </c:pt>
                <c:pt idx="197">
                  <c:v>2281.39</c:v>
                </c:pt>
                <c:pt idx="198">
                  <c:v>2305.8200000000002</c:v>
                </c:pt>
                <c:pt idx="199">
                  <c:v>2205.3200000000002</c:v>
                </c:pt>
                <c:pt idx="200">
                  <c:v>2232.8200000000002</c:v>
                </c:pt>
                <c:pt idx="201">
                  <c:v>2120.3000000000002</c:v>
                </c:pt>
                <c:pt idx="202">
                  <c:v>2151.69</c:v>
                </c:pt>
                <c:pt idx="203">
                  <c:v>2152.09</c:v>
                </c:pt>
                <c:pt idx="204">
                  <c:v>2184.83</c:v>
                </c:pt>
                <c:pt idx="205">
                  <c:v>2056.96</c:v>
                </c:pt>
                <c:pt idx="206">
                  <c:v>2068.2199999999998</c:v>
                </c:pt>
                <c:pt idx="207">
                  <c:v>1921.65</c:v>
                </c:pt>
                <c:pt idx="208">
                  <c:v>1999.23</c:v>
                </c:pt>
                <c:pt idx="209">
                  <c:v>2051.7199999999998</c:v>
                </c:pt>
                <c:pt idx="210">
                  <c:v>2062.41</c:v>
                </c:pt>
                <c:pt idx="211">
                  <c:v>2175.44</c:v>
                </c:pt>
                <c:pt idx="212">
                  <c:v>2096.81</c:v>
                </c:pt>
                <c:pt idx="213">
                  <c:v>1974.99</c:v>
                </c:pt>
                <c:pt idx="214">
                  <c:v>1896.84</c:v>
                </c:pt>
                <c:pt idx="215">
                  <c:v>1838.1</c:v>
                </c:pt>
                <c:pt idx="216">
                  <c:v>1887.36</c:v>
                </c:pt>
                <c:pt idx="217">
                  <c:v>2047.79</c:v>
                </c:pt>
                <c:pt idx="218">
                  <c:v>1986.74</c:v>
                </c:pt>
                <c:pt idx="219">
                  <c:v>1920.15</c:v>
                </c:pt>
                <c:pt idx="220">
                  <c:v>1994.22</c:v>
                </c:pt>
                <c:pt idx="221">
                  <c:v>2029.82</c:v>
                </c:pt>
                <c:pt idx="222">
                  <c:v>2066.15</c:v>
                </c:pt>
                <c:pt idx="223">
                  <c:v>2003.37</c:v>
                </c:pt>
                <c:pt idx="224">
                  <c:v>1960.26</c:v>
                </c:pt>
                <c:pt idx="225">
                  <c:v>1932.21</c:v>
                </c:pt>
                <c:pt idx="226">
                  <c:v>1786.94</c:v>
                </c:pt>
                <c:pt idx="227">
                  <c:v>1810.45</c:v>
                </c:pt>
                <c:pt idx="228">
                  <c:v>1735.02</c:v>
                </c:pt>
                <c:pt idx="229">
                  <c:v>1622.8</c:v>
                </c:pt>
                <c:pt idx="230">
                  <c:v>1595.91</c:v>
                </c:pt>
                <c:pt idx="231">
                  <c:v>1464.31</c:v>
                </c:pt>
                <c:pt idx="232">
                  <c:v>1341.17</c:v>
                </c:pt>
                <c:pt idx="233">
                  <c:v>1337.52</c:v>
                </c:pt>
                <c:pt idx="234">
                  <c:v>1320.91</c:v>
                </c:pt>
                <c:pt idx="235">
                  <c:v>1335.51</c:v>
                </c:pt>
                <c:pt idx="236">
                  <c:v>1478.78</c:v>
                </c:pt>
                <c:pt idx="237">
                  <c:v>1329.75</c:v>
                </c:pt>
                <c:pt idx="238">
                  <c:v>1172.06</c:v>
                </c:pt>
                <c:pt idx="239">
                  <c:v>1314.85</c:v>
                </c:pt>
                <c:pt idx="240">
                  <c:v>1328.26</c:v>
                </c:pt>
                <c:pt idx="241">
                  <c:v>1463.21</c:v>
                </c:pt>
                <c:pt idx="242">
                  <c:v>1615.73</c:v>
                </c:pt>
                <c:pt idx="243">
                  <c:v>1688.23</c:v>
                </c:pt>
                <c:pt idx="244">
                  <c:v>1845.35</c:v>
                </c:pt>
                <c:pt idx="245">
                  <c:v>1731.49</c:v>
                </c:pt>
                <c:pt idx="246">
                  <c:v>1934.03</c:v>
                </c:pt>
                <c:pt idx="247">
                  <c:v>1950.4</c:v>
                </c:pt>
                <c:pt idx="248">
                  <c:v>1930.58</c:v>
                </c:pt>
                <c:pt idx="249">
                  <c:v>1690.2</c:v>
                </c:pt>
                <c:pt idx="250">
                  <c:v>1498.8</c:v>
                </c:pt>
                <c:pt idx="251">
                  <c:v>1805.43</c:v>
                </c:pt>
                <c:pt idx="252">
                  <c:v>2027.13</c:v>
                </c:pt>
                <c:pt idx="253">
                  <c:v>2161.2399999999998</c:v>
                </c:pt>
                <c:pt idx="254">
                  <c:v>2110.4899999999998</c:v>
                </c:pt>
                <c:pt idx="255">
                  <c:v>2116.2399999999998</c:v>
                </c:pt>
                <c:pt idx="256">
                  <c:v>1840.26</c:v>
                </c:pt>
                <c:pt idx="257">
                  <c:v>2151.83</c:v>
                </c:pt>
                <c:pt idx="258">
                  <c:v>2772.73</c:v>
                </c:pt>
                <c:pt idx="259">
                  <c:v>2470.52</c:v>
                </c:pt>
                <c:pt idx="260">
                  <c:v>2597.9299999999998</c:v>
                </c:pt>
                <c:pt idx="261">
                  <c:v>3369.63</c:v>
                </c:pt>
                <c:pt idx="262">
                  <c:v>3672.82</c:v>
                </c:pt>
                <c:pt idx="263">
                  <c:v>4206.3500000000004</c:v>
                </c:pt>
                <c:pt idx="264">
                  <c:v>3766.99</c:v>
                </c:pt>
                <c:pt idx="265">
                  <c:v>3966.11</c:v>
                </c:pt>
                <c:pt idx="266">
                  <c:v>3400.91</c:v>
                </c:pt>
                <c:pt idx="267">
                  <c:v>3860.66</c:v>
                </c:pt>
                <c:pt idx="268">
                  <c:v>4572.83</c:v>
                </c:pt>
                <c:pt idx="269">
                  <c:v>4696.6899999999996</c:v>
                </c:pt>
                <c:pt idx="270">
                  <c:v>3940.35</c:v>
                </c:pt>
                <c:pt idx="271">
                  <c:v>4069.31</c:v>
                </c:pt>
                <c:pt idx="272">
                  <c:v>3336.16</c:v>
                </c:pt>
                <c:pt idx="273">
                  <c:v>2966.43</c:v>
                </c:pt>
                <c:pt idx="274">
                  <c:v>2746.16</c:v>
                </c:pt>
                <c:pt idx="275">
                  <c:v>2739.35</c:v>
                </c:pt>
                <c:pt idx="276">
                  <c:v>2638.49</c:v>
                </c:pt>
                <c:pt idx="277">
                  <c:v>2686.12</c:v>
                </c:pt>
                <c:pt idx="278">
                  <c:v>2470.52</c:v>
                </c:pt>
                <c:pt idx="279">
                  <c:v>2542.85</c:v>
                </c:pt>
                <c:pt idx="280">
                  <c:v>2461.4</c:v>
                </c:pt>
                <c:pt idx="281">
                  <c:v>2288.0300000000002</c:v>
                </c:pt>
                <c:pt idx="282">
                  <c:v>2505.89</c:v>
                </c:pt>
                <c:pt idx="283">
                  <c:v>2192.69</c:v>
                </c:pt>
                <c:pt idx="284">
                  <c:v>1949.54</c:v>
                </c:pt>
                <c:pt idx="285">
                  <c:v>1771.39</c:v>
                </c:pt>
                <c:pt idx="286">
                  <c:v>1693.84</c:v>
                </c:pt>
                <c:pt idx="287">
                  <c:v>1499.25</c:v>
                </c:pt>
                <c:pt idx="288">
                  <c:v>1872.39</c:v>
                </c:pt>
                <c:pt idx="289">
                  <c:v>1894.74</c:v>
                </c:pt>
                <c:pt idx="290">
                  <c:v>1778.87</c:v>
                </c:pt>
                <c:pt idx="291">
                  <c:v>1868.41</c:v>
                </c:pt>
                <c:pt idx="292">
                  <c:v>1835.68</c:v>
                </c:pt>
                <c:pt idx="293">
                  <c:v>1770.51</c:v>
                </c:pt>
                <c:pt idx="294">
                  <c:v>1619.36</c:v>
                </c:pt>
                <c:pt idx="295">
                  <c:v>1570.35</c:v>
                </c:pt>
                <c:pt idx="296">
                  <c:v>1600.55</c:v>
                </c:pt>
                <c:pt idx="297">
                  <c:v>1593.61</c:v>
                </c:pt>
                <c:pt idx="298">
                  <c:v>1685.69</c:v>
                </c:pt>
                <c:pt idx="299">
                  <c:v>1587.32</c:v>
                </c:pt>
                <c:pt idx="300">
                  <c:v>1593.81</c:v>
                </c:pt>
                <c:pt idx="301">
                  <c:v>1442.07</c:v>
                </c:pt>
                <c:pt idx="302">
                  <c:v>1400.32</c:v>
                </c:pt>
                <c:pt idx="303">
                  <c:v>1260.76</c:v>
                </c:pt>
                <c:pt idx="304">
                  <c:v>1221.7</c:v>
                </c:pt>
                <c:pt idx="305">
                  <c:v>1309</c:v>
                </c:pt>
                <c:pt idx="306">
                  <c:v>1379.85</c:v>
                </c:pt>
                <c:pt idx="307">
                  <c:v>1291.03</c:v>
                </c:pt>
                <c:pt idx="308">
                  <c:v>1292.6099999999999</c:v>
                </c:pt>
                <c:pt idx="309">
                  <c:v>1221.51</c:v>
                </c:pt>
                <c:pt idx="310">
                  <c:v>1226.92</c:v>
                </c:pt>
                <c:pt idx="311">
                  <c:v>1141.5</c:v>
                </c:pt>
                <c:pt idx="312">
                  <c:v>1080.5899999999999</c:v>
                </c:pt>
                <c:pt idx="313">
                  <c:v>1185.02</c:v>
                </c:pt>
                <c:pt idx="314">
                  <c:v>1243.43</c:v>
                </c:pt>
                <c:pt idx="315">
                  <c:v>1190.52</c:v>
                </c:pt>
                <c:pt idx="316">
                  <c:v>1101.4000000000001</c:v>
                </c:pt>
                <c:pt idx="317">
                  <c:v>1100.05</c:v>
                </c:pt>
                <c:pt idx="318">
                  <c:v>1059.79</c:v>
                </c:pt>
                <c:pt idx="319">
                  <c:v>1052.1300000000001</c:v>
                </c:pt>
                <c:pt idx="320">
                  <c:v>1059.2</c:v>
                </c:pt>
                <c:pt idx="321">
                  <c:v>1036.06</c:v>
                </c:pt>
                <c:pt idx="322">
                  <c:v>1043.54</c:v>
                </c:pt>
                <c:pt idx="323">
                  <c:v>1020.11</c:v>
                </c:pt>
                <c:pt idx="324">
                  <c:v>1001.21</c:v>
                </c:pt>
                <c:pt idx="325" formatCode="General">
                  <c:v>933.45</c:v>
                </c:pt>
                <c:pt idx="326" formatCode="General">
                  <c:v>864.58</c:v>
                </c:pt>
                <c:pt idx="327" formatCode="General">
                  <c:v>843.98</c:v>
                </c:pt>
                <c:pt idx="328" formatCode="General">
                  <c:v>817.21</c:v>
                </c:pt>
                <c:pt idx="329" formatCode="General">
                  <c:v>793.73</c:v>
                </c:pt>
                <c:pt idx="330" formatCode="General">
                  <c:v>755.2</c:v>
                </c:pt>
                <c:pt idx="331" formatCode="General">
                  <c:v>751.96</c:v>
                </c:pt>
                <c:pt idx="332" formatCode="General">
                  <c:v>750.32</c:v>
                </c:pt>
                <c:pt idx="333" formatCode="General">
                  <c:v>777.49</c:v>
                </c:pt>
                <c:pt idx="334" formatCode="General">
                  <c:v>764.29</c:v>
                </c:pt>
                <c:pt idx="335" formatCode="General">
                  <c:v>765.62</c:v>
                </c:pt>
                <c:pt idx="336" formatCode="General">
                  <c:v>722.16</c:v>
                </c:pt>
                <c:pt idx="337" formatCode="General">
                  <c:v>705.96</c:v>
                </c:pt>
                <c:pt idx="338" formatCode="General">
                  <c:v>735.19</c:v>
                </c:pt>
                <c:pt idx="339" formatCode="General">
                  <c:v>733.84</c:v>
                </c:pt>
                <c:pt idx="340" formatCode="General">
                  <c:v>743.46</c:v>
                </c:pt>
                <c:pt idx="341" formatCode="General">
                  <c:v>792.5</c:v>
                </c:pt>
                <c:pt idx="342" formatCode="General">
                  <c:v>800.47</c:v>
                </c:pt>
                <c:pt idx="343" formatCode="General">
                  <c:v>776.8</c:v>
                </c:pt>
                <c:pt idx="344" formatCode="General">
                  <c:v>754.39</c:v>
                </c:pt>
                <c:pt idx="345" formatCode="General">
                  <c:v>779.26</c:v>
                </c:pt>
                <c:pt idx="346" formatCode="General">
                  <c:v>762.78</c:v>
                </c:pt>
                <c:pt idx="347" formatCode="General">
                  <c:v>742.84</c:v>
                </c:pt>
                <c:pt idx="348" formatCode="General">
                  <c:v>704.7</c:v>
                </c:pt>
                <c:pt idx="349" formatCode="General">
                  <c:v>703.95</c:v>
                </c:pt>
                <c:pt idx="350" formatCode="General">
                  <c:v>700.53</c:v>
                </c:pt>
                <c:pt idx="351" formatCode="General">
                  <c:v>661.42</c:v>
                </c:pt>
                <c:pt idx="352" formatCode="General">
                  <c:v>690.13</c:v>
                </c:pt>
                <c:pt idx="353" formatCode="General">
                  <c:v>670.77</c:v>
                </c:pt>
                <c:pt idx="354" formatCode="General">
                  <c:v>696.34</c:v>
                </c:pt>
                <c:pt idx="355" formatCode="General">
                  <c:v>676.95</c:v>
                </c:pt>
                <c:pt idx="356" formatCode="General">
                  <c:v>652.73</c:v>
                </c:pt>
                <c:pt idx="357" formatCode="General">
                  <c:v>605.16999999999996</c:v>
                </c:pt>
                <c:pt idx="358" formatCode="General">
                  <c:v>583.27</c:v>
                </c:pt>
                <c:pt idx="359" formatCode="General">
                  <c:v>563.12</c:v>
                </c:pt>
                <c:pt idx="360" formatCode="General">
                  <c:v>580.83000000000004</c:v>
                </c:pt>
                <c:pt idx="361" formatCode="General">
                  <c:v>563.6</c:v>
                </c:pt>
                <c:pt idx="362" formatCode="General">
                  <c:v>585.30999999999995</c:v>
                </c:pt>
                <c:pt idx="363" formatCode="General">
                  <c:v>578.67999999999995</c:v>
                </c:pt>
                <c:pt idx="364" formatCode="General">
                  <c:v>603.77</c:v>
                </c:pt>
                <c:pt idx="365" formatCode="General">
                  <c:v>633.47</c:v>
                </c:pt>
                <c:pt idx="366" formatCode="General">
                  <c:v>620.21</c:v>
                </c:pt>
                <c:pt idx="367" formatCode="General">
                  <c:v>586.34</c:v>
                </c:pt>
                <c:pt idx="368" formatCode="General">
                  <c:v>523.9</c:v>
                </c:pt>
                <c:pt idx="369" formatCode="General">
                  <c:v>542.98</c:v>
                </c:pt>
                <c:pt idx="370" formatCode="General">
                  <c:v>526.88</c:v>
                </c:pt>
                <c:pt idx="371" formatCode="General">
                  <c:v>525.67999999999995</c:v>
                </c:pt>
                <c:pt idx="372" formatCode="General">
                  <c:v>502.04</c:v>
                </c:pt>
                <c:pt idx="373" formatCode="General">
                  <c:v>475.92</c:v>
                </c:pt>
                <c:pt idx="374" formatCode="General">
                  <c:v>506.11</c:v>
                </c:pt>
                <c:pt idx="375" formatCode="General">
                  <c:v>484.72</c:v>
                </c:pt>
                <c:pt idx="376" formatCode="General">
                  <c:v>482.3</c:v>
                </c:pt>
                <c:pt idx="377" formatCode="General">
                  <c:v>453.05</c:v>
                </c:pt>
                <c:pt idx="378" formatCode="General">
                  <c:v>414.2</c:v>
                </c:pt>
                <c:pt idx="379" formatCode="General">
                  <c:v>373.84</c:v>
                </c:pt>
                <c:pt idx="380" formatCode="General">
                  <c:v>359.06</c:v>
                </c:pt>
                <c:pt idx="381" formatCode="General">
                  <c:v>329.84</c:v>
                </c:pt>
                <c:pt idx="382" formatCode="General">
                  <c:v>344.51</c:v>
                </c:pt>
                <c:pt idx="383" formatCode="General">
                  <c:v>381.21</c:v>
                </c:pt>
                <c:pt idx="384" formatCode="General">
                  <c:v>438.24</c:v>
                </c:pt>
                <c:pt idx="385" formatCode="General">
                  <c:v>462.29</c:v>
                </c:pt>
                <c:pt idx="386" formatCode="General">
                  <c:v>458.97</c:v>
                </c:pt>
                <c:pt idx="387" formatCode="General">
                  <c:v>420.07</c:v>
                </c:pt>
                <c:pt idx="388" formatCode="General">
                  <c:v>435.54</c:v>
                </c:pt>
                <c:pt idx="389" formatCode="General">
                  <c:v>425.83</c:v>
                </c:pt>
                <c:pt idx="390" formatCode="General">
                  <c:v>415.81</c:v>
                </c:pt>
                <c:pt idx="391" formatCode="General">
                  <c:v>454.82</c:v>
                </c:pt>
                <c:pt idx="392" formatCode="General">
                  <c:v>456.09</c:v>
                </c:pt>
                <c:pt idx="393" formatCode="General">
                  <c:v>455.63</c:v>
                </c:pt>
                <c:pt idx="394" formatCode="General">
                  <c:v>472.92</c:v>
                </c:pt>
                <c:pt idx="395" formatCode="General">
                  <c:v>469.33</c:v>
                </c:pt>
                <c:pt idx="396" formatCode="General">
                  <c:v>453.84</c:v>
                </c:pt>
                <c:pt idx="397" formatCode="General">
                  <c:v>435.29</c:v>
                </c:pt>
                <c:pt idx="398" formatCode="General">
                  <c:v>446.17</c:v>
                </c:pt>
                <c:pt idx="399" formatCode="General">
                  <c:v>427.55</c:v>
                </c:pt>
                <c:pt idx="400" formatCode="General">
                  <c:v>406.73</c:v>
                </c:pt>
                <c:pt idx="401" formatCode="General">
                  <c:v>399.71</c:v>
                </c:pt>
                <c:pt idx="402" formatCode="General">
                  <c:v>401.3</c:v>
                </c:pt>
                <c:pt idx="403" formatCode="General">
                  <c:v>381.38</c:v>
                </c:pt>
                <c:pt idx="404" formatCode="General">
                  <c:v>371.45</c:v>
                </c:pt>
                <c:pt idx="405" formatCode="General">
                  <c:v>382.46</c:v>
                </c:pt>
                <c:pt idx="406" formatCode="General">
                  <c:v>387.71</c:v>
                </c:pt>
                <c:pt idx="407" formatCode="General">
                  <c:v>376.55</c:v>
                </c:pt>
                <c:pt idx="408" formatCode="General">
                  <c:v>387.33</c:v>
                </c:pt>
                <c:pt idx="409" formatCode="General">
                  <c:v>394.66</c:v>
                </c:pt>
                <c:pt idx="410" formatCode="General">
                  <c:v>370.34</c:v>
                </c:pt>
                <c:pt idx="411" formatCode="General">
                  <c:v>379.23</c:v>
                </c:pt>
                <c:pt idx="412" formatCode="General">
                  <c:v>374.64</c:v>
                </c:pt>
                <c:pt idx="413" formatCode="General">
                  <c:v>366.95</c:v>
                </c:pt>
                <c:pt idx="414" formatCode="General">
                  <c:v>344.66</c:v>
                </c:pt>
                <c:pt idx="415" formatCode="General">
                  <c:v>330.47</c:v>
                </c:pt>
                <c:pt idx="416" formatCode="General">
                  <c:v>305.16000000000003</c:v>
                </c:pt>
                <c:pt idx="417" formatCode="General">
                  <c:v>323.3</c:v>
                </c:pt>
                <c:pt idx="418" formatCode="General">
                  <c:v>444.29</c:v>
                </c:pt>
                <c:pt idx="419" formatCode="General">
                  <c:v>454.97</c:v>
                </c:pt>
                <c:pt idx="420" formatCode="General">
                  <c:v>434.93</c:v>
                </c:pt>
                <c:pt idx="421" formatCode="General">
                  <c:v>424.67</c:v>
                </c:pt>
                <c:pt idx="422" formatCode="General">
                  <c:v>416.54</c:v>
                </c:pt>
                <c:pt idx="423" formatCode="General">
                  <c:v>417.81</c:v>
                </c:pt>
                <c:pt idx="424" formatCode="General">
                  <c:v>430.05</c:v>
                </c:pt>
                <c:pt idx="425" formatCode="General">
                  <c:v>424.97</c:v>
                </c:pt>
                <c:pt idx="426" formatCode="General">
                  <c:v>392.06</c:v>
                </c:pt>
                <c:pt idx="427" formatCode="General">
                  <c:v>348.83</c:v>
                </c:pt>
                <c:pt idx="428" formatCode="General">
                  <c:v>359.57</c:v>
                </c:pt>
                <c:pt idx="429" formatCode="General">
                  <c:v>360.77</c:v>
                </c:pt>
                <c:pt idx="430" formatCode="General">
                  <c:v>350.67</c:v>
                </c:pt>
                <c:pt idx="431" formatCode="General">
                  <c:v>382.86</c:v>
                </c:pt>
                <c:pt idx="432" formatCode="General">
                  <c:v>371.37</c:v>
                </c:pt>
                <c:pt idx="433" formatCode="General">
                  <c:v>405.51</c:v>
                </c:pt>
                <c:pt idx="434" formatCode="General">
                  <c:v>400.16</c:v>
                </c:pt>
                <c:pt idx="435" formatCode="General">
                  <c:v>383.24</c:v>
                </c:pt>
                <c:pt idx="436" formatCode="General">
                  <c:v>374.72</c:v>
                </c:pt>
                <c:pt idx="437" formatCode="General">
                  <c:v>359.53</c:v>
                </c:pt>
                <c:pt idx="438" formatCode="General">
                  <c:v>335.77</c:v>
                </c:pt>
                <c:pt idx="439" formatCode="General">
                  <c:v>324.93</c:v>
                </c:pt>
                <c:pt idx="440" formatCode="General">
                  <c:v>313.95</c:v>
                </c:pt>
                <c:pt idx="441" formatCode="General">
                  <c:v>292.54000000000002</c:v>
                </c:pt>
                <c:pt idx="442" formatCode="General">
                  <c:v>280.33</c:v>
                </c:pt>
                <c:pt idx="443" formatCode="General">
                  <c:v>297.70999999999998</c:v>
                </c:pt>
                <c:pt idx="444" formatCode="General">
                  <c:v>301.29000000000002</c:v>
                </c:pt>
                <c:pt idx="445" formatCode="General">
                  <c:v>296.2</c:v>
                </c:pt>
                <c:pt idx="446" formatCode="General">
                  <c:v>290.8</c:v>
                </c:pt>
                <c:pt idx="447" formatCode="General">
                  <c:v>280.56</c:v>
                </c:pt>
                <c:pt idx="448" formatCode="General">
                  <c:v>279.2</c:v>
                </c:pt>
                <c:pt idx="449" formatCode="General">
                  <c:v>284.17</c:v>
                </c:pt>
                <c:pt idx="450" formatCode="General">
                  <c:v>278.7</c:v>
                </c:pt>
                <c:pt idx="451" formatCode="General">
                  <c:v>247.35</c:v>
                </c:pt>
                <c:pt idx="452" formatCode="General">
                  <c:v>242.53</c:v>
                </c:pt>
                <c:pt idx="453" formatCode="General">
                  <c:v>247.03</c:v>
                </c:pt>
                <c:pt idx="454" formatCode="General">
                  <c:v>249.94</c:v>
                </c:pt>
                <c:pt idx="455" formatCode="General">
                  <c:v>254.64</c:v>
                </c:pt>
                <c:pt idx="456" formatCode="General">
                  <c:v>229.7</c:v>
                </c:pt>
                <c:pt idx="457" formatCode="General">
                  <c:v>239.65</c:v>
                </c:pt>
                <c:pt idx="458" formatCode="General">
                  <c:v>232.82</c:v>
                </c:pt>
                <c:pt idx="459" formatCode="General">
                  <c:v>247.44</c:v>
                </c:pt>
                <c:pt idx="460" formatCode="General">
                  <c:v>250.78</c:v>
                </c:pt>
                <c:pt idx="461" formatCode="General">
                  <c:v>252.57</c:v>
                </c:pt>
                <c:pt idx="462" formatCode="General">
                  <c:v>268.43</c:v>
                </c:pt>
                <c:pt idx="463" formatCode="General">
                  <c:v>278.60000000000002</c:v>
                </c:pt>
                <c:pt idx="464" formatCode="General">
                  <c:v>285.67</c:v>
                </c:pt>
                <c:pt idx="465" formatCode="General">
                  <c:v>274.55</c:v>
                </c:pt>
                <c:pt idx="466" formatCode="General">
                  <c:v>296.64999999999998</c:v>
                </c:pt>
                <c:pt idx="467" formatCode="General">
                  <c:v>292.42</c:v>
                </c:pt>
                <c:pt idx="468" formatCode="General">
                  <c:v>303.95999999999998</c:v>
                </c:pt>
                <c:pt idx="469" formatCode="General">
                  <c:v>318.7</c:v>
                </c:pt>
                <c:pt idx="470" formatCode="General">
                  <c:v>308.73</c:v>
                </c:pt>
                <c:pt idx="471" formatCode="General">
                  <c:v>293.06</c:v>
                </c:pt>
                <c:pt idx="472" formatCode="General">
                  <c:v>270.8</c:v>
                </c:pt>
                <c:pt idx="473" formatCode="General">
                  <c:v>260.67</c:v>
                </c:pt>
                <c:pt idx="474" formatCode="General">
                  <c:v>248.35</c:v>
                </c:pt>
                <c:pt idx="475" formatCode="General">
                  <c:v>232.41</c:v>
                </c:pt>
                <c:pt idx="476" formatCode="General">
                  <c:v>232.31</c:v>
                </c:pt>
                <c:pt idx="477" formatCode="General">
                  <c:v>212.63</c:v>
                </c:pt>
                <c:pt idx="478" formatCode="General">
                  <c:v>187.65</c:v>
                </c:pt>
                <c:pt idx="479" formatCode="General">
                  <c:v>177.71</c:v>
                </c:pt>
                <c:pt idx="480" formatCode="General">
                  <c:v>167.35</c:v>
                </c:pt>
                <c:pt idx="481" formatCode="General">
                  <c:v>171.3</c:v>
                </c:pt>
                <c:pt idx="482" formatCode="General">
                  <c:v>178.54</c:v>
                </c:pt>
                <c:pt idx="483" formatCode="General">
                  <c:v>184.7</c:v>
                </c:pt>
                <c:pt idx="484" formatCode="General">
                  <c:v>175.65</c:v>
                </c:pt>
                <c:pt idx="485" formatCode="General">
                  <c:v>179.43</c:v>
                </c:pt>
                <c:pt idx="486" formatCode="General">
                  <c:v>188.39</c:v>
                </c:pt>
                <c:pt idx="487" formatCode="General">
                  <c:v>195.84</c:v>
                </c:pt>
                <c:pt idx="488" formatCode="General">
                  <c:v>201.37</c:v>
                </c:pt>
                <c:pt idx="489" formatCode="General">
                  <c:v>195.24</c:v>
                </c:pt>
                <c:pt idx="490" formatCode="General">
                  <c:v>180.03</c:v>
                </c:pt>
                <c:pt idx="491" formatCode="General">
                  <c:v>195.75</c:v>
                </c:pt>
                <c:pt idx="492" formatCode="General">
                  <c:v>211.63</c:v>
                </c:pt>
                <c:pt idx="493" formatCode="General">
                  <c:v>215.75</c:v>
                </c:pt>
                <c:pt idx="494" formatCode="General">
                  <c:v>223.47</c:v>
                </c:pt>
                <c:pt idx="495" formatCode="General">
                  <c:v>216.74</c:v>
                </c:pt>
                <c:pt idx="496" formatCode="General">
                  <c:v>210.18</c:v>
                </c:pt>
                <c:pt idx="497" formatCode="General">
                  <c:v>198.01</c:v>
                </c:pt>
                <c:pt idx="498" formatCode="General">
                  <c:v>197.81</c:v>
                </c:pt>
                <c:pt idx="499" formatCode="General">
                  <c:v>202.34</c:v>
                </c:pt>
                <c:pt idx="500" formatCode="General">
                  <c:v>208.15</c:v>
                </c:pt>
                <c:pt idx="501" formatCode="General">
                  <c:v>192.78</c:v>
                </c:pt>
                <c:pt idx="502" formatCode="General">
                  <c:v>187.76</c:v>
                </c:pt>
                <c:pt idx="503" formatCode="General">
                  <c:v>181.52</c:v>
                </c:pt>
                <c:pt idx="504" formatCode="General">
                  <c:v>171.81</c:v>
                </c:pt>
                <c:pt idx="505" formatCode="General">
                  <c:v>157.78</c:v>
                </c:pt>
                <c:pt idx="506" formatCode="General">
                  <c:v>150.44999999999999</c:v>
                </c:pt>
                <c:pt idx="507" formatCode="General">
                  <c:v>139.99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3-824A-92F7-2AAECD62F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306911"/>
        <c:axId val="940563999"/>
      </c:lineChart>
      <c:catAx>
        <c:axId val="1505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8423920"/>
        <c:crosses val="autoZero"/>
        <c:auto val="1"/>
        <c:lblAlgn val="ctr"/>
        <c:lblOffset val="100"/>
        <c:noMultiLvlLbl val="0"/>
      </c:catAx>
      <c:valAx>
        <c:axId val="1858423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536911"/>
        <c:crosses val="autoZero"/>
        <c:crossBetween val="between"/>
      </c:valAx>
      <c:valAx>
        <c:axId val="940563999"/>
        <c:scaling>
          <c:orientation val="minMax"/>
          <c:max val="20000"/>
          <c:min val="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306911"/>
        <c:crosses val="max"/>
        <c:crossBetween val="between"/>
        <c:majorUnit val="2000"/>
      </c:valAx>
      <c:catAx>
        <c:axId val="940306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563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'15'!$B$2:$B$41</c:f>
              <c:numCache>
                <c:formatCode>General</c:formatCode>
                <c:ptCount val="40"/>
                <c:pt idx="0">
                  <c:v>23.97</c:v>
                </c:pt>
                <c:pt idx="1">
                  <c:v>24.8</c:v>
                </c:pt>
                <c:pt idx="2">
                  <c:v>21.96</c:v>
                </c:pt>
                <c:pt idx="3">
                  <c:v>24.22</c:v>
                </c:pt>
                <c:pt idx="4">
                  <c:v>24.23</c:v>
                </c:pt>
                <c:pt idx="5">
                  <c:v>23.19</c:v>
                </c:pt>
                <c:pt idx="6">
                  <c:v>23.54</c:v>
                </c:pt>
                <c:pt idx="7">
                  <c:v>26.02</c:v>
                </c:pt>
                <c:pt idx="8">
                  <c:v>33.14</c:v>
                </c:pt>
                <c:pt idx="9">
                  <c:v>34.54</c:v>
                </c:pt>
                <c:pt idx="10">
                  <c:v>40.340000000000003</c:v>
                </c:pt>
                <c:pt idx="11">
                  <c:v>39.53</c:v>
                </c:pt>
                <c:pt idx="12">
                  <c:v>43.65</c:v>
                </c:pt>
                <c:pt idx="13">
                  <c:v>49.43</c:v>
                </c:pt>
                <c:pt idx="14">
                  <c:v>52</c:v>
                </c:pt>
                <c:pt idx="15">
                  <c:v>64.209999999999994</c:v>
                </c:pt>
                <c:pt idx="16">
                  <c:v>76.66</c:v>
                </c:pt>
                <c:pt idx="17">
                  <c:v>72.510000000000005</c:v>
                </c:pt>
                <c:pt idx="18">
                  <c:v>36.07</c:v>
                </c:pt>
                <c:pt idx="19">
                  <c:v>41.83</c:v>
                </c:pt>
                <c:pt idx="20">
                  <c:v>38.25</c:v>
                </c:pt>
                <c:pt idx="21">
                  <c:v>36.79</c:v>
                </c:pt>
                <c:pt idx="22">
                  <c:v>29.68</c:v>
                </c:pt>
                <c:pt idx="23">
                  <c:v>34.51</c:v>
                </c:pt>
                <c:pt idx="24">
                  <c:v>29.49</c:v>
                </c:pt>
                <c:pt idx="25">
                  <c:v>23.32</c:v>
                </c:pt>
                <c:pt idx="26">
                  <c:v>20.059999999999999</c:v>
                </c:pt>
                <c:pt idx="27">
                  <c:v>27.45</c:v>
                </c:pt>
                <c:pt idx="28">
                  <c:v>23.94</c:v>
                </c:pt>
                <c:pt idx="29">
                  <c:v>28.45</c:v>
                </c:pt>
                <c:pt idx="30">
                  <c:v>29.11</c:v>
                </c:pt>
                <c:pt idx="31">
                  <c:v>27.5</c:v>
                </c:pt>
                <c:pt idx="32">
                  <c:v>24.6</c:v>
                </c:pt>
                <c:pt idx="33">
                  <c:v>21.71</c:v>
                </c:pt>
                <c:pt idx="34">
                  <c:v>25.78</c:v>
                </c:pt>
                <c:pt idx="35">
                  <c:v>28.99</c:v>
                </c:pt>
                <c:pt idx="36">
                  <c:v>30.12</c:v>
                </c:pt>
                <c:pt idx="37">
                  <c:v>33.85</c:v>
                </c:pt>
                <c:pt idx="38">
                  <c:v>33.909999999999997</c:v>
                </c:pt>
                <c:pt idx="39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1-384C-95DE-8F2C4ED695C7}"/>
            </c:ext>
          </c:extLst>
        </c:ser>
        <c:ser>
          <c:idx val="1"/>
          <c:order val="1"/>
          <c:tx>
            <c:strRef>
              <c:f>'15'!$C$1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'15'!$C$2:$C$41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1-384C-95DE-8F2C4ED695C7}"/>
            </c:ext>
          </c:extLst>
        </c:ser>
        <c:ser>
          <c:idx val="2"/>
          <c:order val="2"/>
          <c:tx>
            <c:strRef>
              <c:f>'15'!$D$1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'15'!$D$2:$D$41</c:f>
              <c:numCache>
                <c:formatCode>General</c:formatCode>
                <c:ptCount val="40"/>
                <c:pt idx="0">
                  <c:v>19931</c:v>
                </c:pt>
                <c:pt idx="1">
                  <c:v>27461</c:v>
                </c:pt>
                <c:pt idx="2">
                  <c:v>20913</c:v>
                </c:pt>
                <c:pt idx="3">
                  <c:v>20594</c:v>
                </c:pt>
                <c:pt idx="4">
                  <c:v>21405</c:v>
                </c:pt>
                <c:pt idx="5">
                  <c:v>29065</c:v>
                </c:pt>
                <c:pt idx="6">
                  <c:v>21726</c:v>
                </c:pt>
                <c:pt idx="7">
                  <c:v>21807</c:v>
                </c:pt>
                <c:pt idx="8">
                  <c:v>24153</c:v>
                </c:pt>
                <c:pt idx="9">
                  <c:v>30043</c:v>
                </c:pt>
                <c:pt idx="10">
                  <c:v>22722</c:v>
                </c:pt>
                <c:pt idx="11">
                  <c:v>22505</c:v>
                </c:pt>
                <c:pt idx="12">
                  <c:v>23105</c:v>
                </c:pt>
                <c:pt idx="13">
                  <c:v>32961</c:v>
                </c:pt>
                <c:pt idx="14">
                  <c:v>25310</c:v>
                </c:pt>
                <c:pt idx="15">
                  <c:v>24987</c:v>
                </c:pt>
                <c:pt idx="16">
                  <c:v>25207</c:v>
                </c:pt>
                <c:pt idx="17">
                  <c:v>33051</c:v>
                </c:pt>
                <c:pt idx="18">
                  <c:v>25539</c:v>
                </c:pt>
                <c:pt idx="19">
                  <c:v>25075</c:v>
                </c:pt>
                <c:pt idx="20">
                  <c:v>26165</c:v>
                </c:pt>
                <c:pt idx="21">
                  <c:v>34604</c:v>
                </c:pt>
                <c:pt idx="22">
                  <c:v>26565</c:v>
                </c:pt>
                <c:pt idx="23">
                  <c:v>26557</c:v>
                </c:pt>
                <c:pt idx="24">
                  <c:v>27611</c:v>
                </c:pt>
                <c:pt idx="25">
                  <c:v>36285</c:v>
                </c:pt>
                <c:pt idx="26">
                  <c:v>27597</c:v>
                </c:pt>
                <c:pt idx="27">
                  <c:v>27749</c:v>
                </c:pt>
                <c:pt idx="28">
                  <c:v>31031</c:v>
                </c:pt>
                <c:pt idx="29">
                  <c:v>37530</c:v>
                </c:pt>
                <c:pt idx="30">
                  <c:v>27869</c:v>
                </c:pt>
                <c:pt idx="31">
                  <c:v>27672</c:v>
                </c:pt>
                <c:pt idx="32">
                  <c:v>28091</c:v>
                </c:pt>
                <c:pt idx="33">
                  <c:v>37251</c:v>
                </c:pt>
                <c:pt idx="34">
                  <c:v>28168</c:v>
                </c:pt>
                <c:pt idx="35">
                  <c:v>27974</c:v>
                </c:pt>
                <c:pt idx="36">
                  <c:v>28893</c:v>
                </c:pt>
                <c:pt idx="37">
                  <c:v>41549</c:v>
                </c:pt>
                <c:pt idx="38">
                  <c:v>30489</c:v>
                </c:pt>
                <c:pt idx="39">
                  <c:v>29723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1-384C-95DE-8F2C4ED695C7}"/>
            </c:ext>
          </c:extLst>
        </c:ser>
        <c:ser>
          <c:idx val="3"/>
          <c:order val="3"/>
          <c:tx>
            <c:strRef>
              <c:f>'15'!$E$1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'15'!$E$2:$E$41</c:f>
              <c:numCache>
                <c:formatCode>General</c:formatCode>
                <c:ptCount val="40"/>
                <c:pt idx="0">
                  <c:v>577</c:v>
                </c:pt>
                <c:pt idx="1">
                  <c:v>811</c:v>
                </c:pt>
                <c:pt idx="2">
                  <c:v>488</c:v>
                </c:pt>
                <c:pt idx="3">
                  <c:v>405</c:v>
                </c:pt>
                <c:pt idx="4">
                  <c:v>-425</c:v>
                </c:pt>
                <c:pt idx="5">
                  <c:v>814</c:v>
                </c:pt>
                <c:pt idx="6">
                  <c:v>535</c:v>
                </c:pt>
                <c:pt idx="7">
                  <c:v>596</c:v>
                </c:pt>
                <c:pt idx="8">
                  <c:v>820</c:v>
                </c:pt>
                <c:pt idx="9">
                  <c:v>879</c:v>
                </c:pt>
                <c:pt idx="10">
                  <c:v>595</c:v>
                </c:pt>
                <c:pt idx="11">
                  <c:v>534</c:v>
                </c:pt>
                <c:pt idx="12">
                  <c:v>718</c:v>
                </c:pt>
                <c:pt idx="13">
                  <c:v>930</c:v>
                </c:pt>
                <c:pt idx="14">
                  <c:v>644</c:v>
                </c:pt>
                <c:pt idx="15">
                  <c:v>651</c:v>
                </c:pt>
                <c:pt idx="16">
                  <c:v>912</c:v>
                </c:pt>
                <c:pt idx="17">
                  <c:v>1102</c:v>
                </c:pt>
                <c:pt idx="18">
                  <c:v>774</c:v>
                </c:pt>
                <c:pt idx="19">
                  <c:v>772</c:v>
                </c:pt>
                <c:pt idx="20">
                  <c:v>928</c:v>
                </c:pt>
                <c:pt idx="21">
                  <c:v>1200</c:v>
                </c:pt>
                <c:pt idx="22">
                  <c:v>665</c:v>
                </c:pt>
                <c:pt idx="23">
                  <c:v>713</c:v>
                </c:pt>
                <c:pt idx="24">
                  <c:v>858</c:v>
                </c:pt>
                <c:pt idx="25">
                  <c:v>622</c:v>
                </c:pt>
                <c:pt idx="26">
                  <c:v>678</c:v>
                </c:pt>
                <c:pt idx="27">
                  <c:v>740</c:v>
                </c:pt>
                <c:pt idx="28">
                  <c:v>44</c:v>
                </c:pt>
                <c:pt idx="29">
                  <c:v>1029</c:v>
                </c:pt>
                <c:pt idx="30">
                  <c:v>549</c:v>
                </c:pt>
                <c:pt idx="31">
                  <c:v>647</c:v>
                </c:pt>
                <c:pt idx="32">
                  <c:v>389</c:v>
                </c:pt>
                <c:pt idx="33">
                  <c:v>901</c:v>
                </c:pt>
                <c:pt idx="34">
                  <c:v>559</c:v>
                </c:pt>
                <c:pt idx="35">
                  <c:v>254</c:v>
                </c:pt>
                <c:pt idx="36">
                  <c:v>537</c:v>
                </c:pt>
                <c:pt idx="37">
                  <c:v>1326</c:v>
                </c:pt>
                <c:pt idx="38">
                  <c:v>820</c:v>
                </c:pt>
                <c:pt idx="39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1-384C-95DE-8F2C4ED695C7}"/>
            </c:ext>
          </c:extLst>
        </c:ser>
        <c:ser>
          <c:idx val="4"/>
          <c:order val="4"/>
          <c:tx>
            <c:strRef>
              <c:f>'15'!$F$1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'15'!$F$2:$F$41</c:f>
              <c:numCache>
                <c:formatCode>General</c:formatCode>
                <c:ptCount val="40"/>
                <c:pt idx="0">
                  <c:v>278</c:v>
                </c:pt>
                <c:pt idx="1">
                  <c:v>432</c:v>
                </c:pt>
                <c:pt idx="2">
                  <c:v>281</c:v>
                </c:pt>
                <c:pt idx="3">
                  <c:v>196</c:v>
                </c:pt>
                <c:pt idx="4">
                  <c:v>-307</c:v>
                </c:pt>
                <c:pt idx="5">
                  <c:v>439</c:v>
                </c:pt>
                <c:pt idx="6">
                  <c:v>279</c:v>
                </c:pt>
                <c:pt idx="7">
                  <c:v>317</c:v>
                </c:pt>
                <c:pt idx="8">
                  <c:v>462</c:v>
                </c:pt>
                <c:pt idx="9">
                  <c:v>481</c:v>
                </c:pt>
                <c:pt idx="10">
                  <c:v>317</c:v>
                </c:pt>
                <c:pt idx="11">
                  <c:v>299</c:v>
                </c:pt>
                <c:pt idx="12">
                  <c:v>422</c:v>
                </c:pt>
                <c:pt idx="13">
                  <c:v>501</c:v>
                </c:pt>
                <c:pt idx="14">
                  <c:v>347</c:v>
                </c:pt>
                <c:pt idx="15">
                  <c:v>362</c:v>
                </c:pt>
                <c:pt idx="16">
                  <c:v>518</c:v>
                </c:pt>
                <c:pt idx="17">
                  <c:v>619</c:v>
                </c:pt>
                <c:pt idx="18">
                  <c:v>433</c:v>
                </c:pt>
                <c:pt idx="19">
                  <c:v>428</c:v>
                </c:pt>
                <c:pt idx="20">
                  <c:v>559</c:v>
                </c:pt>
                <c:pt idx="21">
                  <c:v>680</c:v>
                </c:pt>
                <c:pt idx="22">
                  <c:v>383</c:v>
                </c:pt>
                <c:pt idx="23">
                  <c:v>391</c:v>
                </c:pt>
                <c:pt idx="24">
                  <c:v>506</c:v>
                </c:pt>
                <c:pt idx="25">
                  <c:v>303</c:v>
                </c:pt>
                <c:pt idx="26">
                  <c:v>353</c:v>
                </c:pt>
                <c:pt idx="27">
                  <c:v>397</c:v>
                </c:pt>
                <c:pt idx="28">
                  <c:v>854</c:v>
                </c:pt>
                <c:pt idx="29">
                  <c:v>2026</c:v>
                </c:pt>
                <c:pt idx="30">
                  <c:v>508</c:v>
                </c:pt>
                <c:pt idx="31">
                  <c:v>317</c:v>
                </c:pt>
                <c:pt idx="32">
                  <c:v>259</c:v>
                </c:pt>
                <c:pt idx="33">
                  <c:v>772</c:v>
                </c:pt>
                <c:pt idx="34">
                  <c:v>297</c:v>
                </c:pt>
                <c:pt idx="35">
                  <c:v>263</c:v>
                </c:pt>
                <c:pt idx="36">
                  <c:v>327</c:v>
                </c:pt>
                <c:pt idx="37">
                  <c:v>1212</c:v>
                </c:pt>
                <c:pt idx="38">
                  <c:v>819</c:v>
                </c:pt>
                <c:pt idx="39">
                  <c:v>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1-384C-95DE-8F2C4ED695C7}"/>
            </c:ext>
          </c:extLst>
        </c:ser>
        <c:ser>
          <c:idx val="7"/>
          <c:order val="7"/>
          <c:tx>
            <c:strRef>
              <c:f>'15'!$I$1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'15'!$I$2:$I$41</c:f>
              <c:numCache>
                <c:formatCode>General</c:formatCode>
                <c:ptCount val="40"/>
                <c:pt idx="0">
                  <c:v>22.41</c:v>
                </c:pt>
                <c:pt idx="1">
                  <c:v>22.41</c:v>
                </c:pt>
                <c:pt idx="2">
                  <c:v>21.51</c:v>
                </c:pt>
                <c:pt idx="3">
                  <c:v>21.65</c:v>
                </c:pt>
                <c:pt idx="4">
                  <c:v>42.57</c:v>
                </c:pt>
                <c:pt idx="5">
                  <c:v>40.74</c:v>
                </c:pt>
                <c:pt idx="6">
                  <c:v>39.82</c:v>
                </c:pt>
                <c:pt idx="7">
                  <c:v>32.86</c:v>
                </c:pt>
                <c:pt idx="8">
                  <c:v>32.86</c:v>
                </c:pt>
                <c:pt idx="9">
                  <c:v>17.87</c:v>
                </c:pt>
                <c:pt idx="10">
                  <c:v>18.21</c:v>
                </c:pt>
                <c:pt idx="11">
                  <c:v>18.829999999999998</c:v>
                </c:pt>
                <c:pt idx="12">
                  <c:v>20.2</c:v>
                </c:pt>
                <c:pt idx="13">
                  <c:v>21.21</c:v>
                </c:pt>
                <c:pt idx="14">
                  <c:v>21.28</c:v>
                </c:pt>
                <c:pt idx="15">
                  <c:v>21.08</c:v>
                </c:pt>
                <c:pt idx="16">
                  <c:v>20.5</c:v>
                </c:pt>
                <c:pt idx="17">
                  <c:v>19.77</c:v>
                </c:pt>
                <c:pt idx="18">
                  <c:v>18.87</c:v>
                </c:pt>
                <c:pt idx="19">
                  <c:v>18.559999999999999</c:v>
                </c:pt>
                <c:pt idx="20">
                  <c:v>18.940000000000001</c:v>
                </c:pt>
                <c:pt idx="21">
                  <c:v>19.170000000000002</c:v>
                </c:pt>
                <c:pt idx="22">
                  <c:v>19.04</c:v>
                </c:pt>
                <c:pt idx="23">
                  <c:v>19.91</c:v>
                </c:pt>
                <c:pt idx="24">
                  <c:v>20.91</c:v>
                </c:pt>
                <c:pt idx="25">
                  <c:v>21.95</c:v>
                </c:pt>
                <c:pt idx="26">
                  <c:v>28.01</c:v>
                </c:pt>
                <c:pt idx="27">
                  <c:v>29.09</c:v>
                </c:pt>
                <c:pt idx="28">
                  <c:v>28.87</c:v>
                </c:pt>
                <c:pt idx="29">
                  <c:v>23.44</c:v>
                </c:pt>
                <c:pt idx="30">
                  <c:v>11.96</c:v>
                </c:pt>
                <c:pt idx="31">
                  <c:v>11.34</c:v>
                </c:pt>
                <c:pt idx="32">
                  <c:v>11.78</c:v>
                </c:pt>
                <c:pt idx="33">
                  <c:v>14.1</c:v>
                </c:pt>
                <c:pt idx="34">
                  <c:v>23.29</c:v>
                </c:pt>
                <c:pt idx="35">
                  <c:v>27.45</c:v>
                </c:pt>
                <c:pt idx="36">
                  <c:v>29.44</c:v>
                </c:pt>
                <c:pt idx="37">
                  <c:v>29.41</c:v>
                </c:pt>
                <c:pt idx="38">
                  <c:v>23.75</c:v>
                </c:pt>
                <c:pt idx="39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71-384C-95DE-8F2C4ED695C7}"/>
            </c:ext>
          </c:extLst>
        </c:ser>
        <c:ser>
          <c:idx val="8"/>
          <c:order val="8"/>
          <c:tx>
            <c:strRef>
              <c:f>'15'!$J$1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'15'!$J$2:$J$41</c:f>
              <c:numCache>
                <c:formatCode>General</c:formatCode>
                <c:ptCount val="40"/>
                <c:pt idx="0">
                  <c:v>832</c:v>
                </c:pt>
                <c:pt idx="1">
                  <c:v>1235</c:v>
                </c:pt>
                <c:pt idx="2">
                  <c:v>958</c:v>
                </c:pt>
                <c:pt idx="3">
                  <c:v>217</c:v>
                </c:pt>
                <c:pt idx="4">
                  <c:v>248</c:v>
                </c:pt>
                <c:pt idx="5">
                  <c:v>1304</c:v>
                </c:pt>
                <c:pt idx="6">
                  <c:v>729</c:v>
                </c:pt>
                <c:pt idx="7">
                  <c:v>235</c:v>
                </c:pt>
                <c:pt idx="8">
                  <c:v>565</c:v>
                </c:pt>
                <c:pt idx="9">
                  <c:v>1617</c:v>
                </c:pt>
                <c:pt idx="10">
                  <c:v>996</c:v>
                </c:pt>
                <c:pt idx="11">
                  <c:v>304</c:v>
                </c:pt>
                <c:pt idx="12">
                  <c:v>463</c:v>
                </c:pt>
                <c:pt idx="13">
                  <c:v>1780</c:v>
                </c:pt>
                <c:pt idx="14">
                  <c:v>970</c:v>
                </c:pt>
                <c:pt idx="15">
                  <c:v>719</c:v>
                </c:pt>
                <c:pt idx="16">
                  <c:v>694</c:v>
                </c:pt>
                <c:pt idx="17">
                  <c:v>1755</c:v>
                </c:pt>
                <c:pt idx="18">
                  <c:v>1000</c:v>
                </c:pt>
                <c:pt idx="19">
                  <c:v>1011</c:v>
                </c:pt>
                <c:pt idx="20">
                  <c:v>1067</c:v>
                </c:pt>
                <c:pt idx="21">
                  <c:v>2052</c:v>
                </c:pt>
                <c:pt idx="22">
                  <c:v>980</c:v>
                </c:pt>
                <c:pt idx="23">
                  <c:v>424</c:v>
                </c:pt>
                <c:pt idx="24">
                  <c:v>816</c:v>
                </c:pt>
                <c:pt idx="25">
                  <c:v>2309</c:v>
                </c:pt>
                <c:pt idx="26">
                  <c:v>1016</c:v>
                </c:pt>
                <c:pt idx="27">
                  <c:v>-271</c:v>
                </c:pt>
                <c:pt idx="28">
                  <c:v>359</c:v>
                </c:pt>
                <c:pt idx="29">
                  <c:v>2368</c:v>
                </c:pt>
                <c:pt idx="30">
                  <c:v>892</c:v>
                </c:pt>
                <c:pt idx="31">
                  <c:v>473</c:v>
                </c:pt>
                <c:pt idx="32">
                  <c:v>431</c:v>
                </c:pt>
                <c:pt idx="33">
                  <c:v>2268</c:v>
                </c:pt>
                <c:pt idx="34">
                  <c:v>1009</c:v>
                </c:pt>
                <c:pt idx="35">
                  <c:v>771</c:v>
                </c:pt>
                <c:pt idx="36">
                  <c:v>616</c:v>
                </c:pt>
                <c:pt idx="37">
                  <c:v>4245</c:v>
                </c:pt>
                <c:pt idx="38">
                  <c:v>1160</c:v>
                </c:pt>
                <c:pt idx="39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0272"/>
        <c:axId val="79751808"/>
      </c:lineChart>
      <c:lineChart>
        <c:grouping val="standard"/>
        <c:varyColors val="0"/>
        <c:ser>
          <c:idx val="5"/>
          <c:order val="5"/>
          <c:tx>
            <c:strRef>
              <c:f>'15'!$G$1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'15'!$G$2:$G$41</c:f>
              <c:numCache>
                <c:formatCode>General</c:formatCode>
                <c:ptCount val="40"/>
                <c:pt idx="0">
                  <c:v>2.9</c:v>
                </c:pt>
                <c:pt idx="1">
                  <c:v>2.95</c:v>
                </c:pt>
                <c:pt idx="2">
                  <c:v>2.33</c:v>
                </c:pt>
                <c:pt idx="3">
                  <c:v>1.97</c:v>
                </c:pt>
                <c:pt idx="4">
                  <c:v>-1.99</c:v>
                </c:pt>
                <c:pt idx="5">
                  <c:v>2.8</c:v>
                </c:pt>
                <c:pt idx="6">
                  <c:v>2.46</c:v>
                </c:pt>
                <c:pt idx="7">
                  <c:v>2.73</c:v>
                </c:pt>
                <c:pt idx="8">
                  <c:v>3.4</c:v>
                </c:pt>
                <c:pt idx="9">
                  <c:v>2.93</c:v>
                </c:pt>
                <c:pt idx="10">
                  <c:v>2.62</c:v>
                </c:pt>
                <c:pt idx="11">
                  <c:v>2.37</c:v>
                </c:pt>
                <c:pt idx="12">
                  <c:v>3.11</c:v>
                </c:pt>
                <c:pt idx="13">
                  <c:v>2.82</c:v>
                </c:pt>
                <c:pt idx="14">
                  <c:v>2.54</c:v>
                </c:pt>
                <c:pt idx="15">
                  <c:v>2.61</c:v>
                </c:pt>
                <c:pt idx="16">
                  <c:v>3.62</c:v>
                </c:pt>
                <c:pt idx="17">
                  <c:v>3.33</c:v>
                </c:pt>
                <c:pt idx="18">
                  <c:v>3.03</c:v>
                </c:pt>
                <c:pt idx="19">
                  <c:v>3.08</c:v>
                </c:pt>
                <c:pt idx="20">
                  <c:v>3.55</c:v>
                </c:pt>
                <c:pt idx="21">
                  <c:v>3.47</c:v>
                </c:pt>
                <c:pt idx="22">
                  <c:v>2.5</c:v>
                </c:pt>
                <c:pt idx="23">
                  <c:v>2.68</c:v>
                </c:pt>
                <c:pt idx="24">
                  <c:v>3.11</c:v>
                </c:pt>
                <c:pt idx="25">
                  <c:v>1.71</c:v>
                </c:pt>
                <c:pt idx="26">
                  <c:v>2.46</c:v>
                </c:pt>
                <c:pt idx="27">
                  <c:v>2.67</c:v>
                </c:pt>
                <c:pt idx="28">
                  <c:v>0.14000000000000001</c:v>
                </c:pt>
                <c:pt idx="29">
                  <c:v>2.74</c:v>
                </c:pt>
                <c:pt idx="30">
                  <c:v>1.97</c:v>
                </c:pt>
                <c:pt idx="31">
                  <c:v>2.34</c:v>
                </c:pt>
                <c:pt idx="32">
                  <c:v>1.38</c:v>
                </c:pt>
                <c:pt idx="33">
                  <c:v>2.42</c:v>
                </c:pt>
                <c:pt idx="34">
                  <c:v>1.98</c:v>
                </c:pt>
                <c:pt idx="35">
                  <c:v>0.91</c:v>
                </c:pt>
                <c:pt idx="36">
                  <c:v>1.86</c:v>
                </c:pt>
                <c:pt idx="37">
                  <c:v>3.19</c:v>
                </c:pt>
                <c:pt idx="38">
                  <c:v>2.69</c:v>
                </c:pt>
                <c:pt idx="39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71-384C-95DE-8F2C4ED695C7}"/>
            </c:ext>
          </c:extLst>
        </c:ser>
        <c:ser>
          <c:idx val="6"/>
          <c:order val="6"/>
          <c:tx>
            <c:strRef>
              <c:f>'15'!$H$1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'15'!$A$2:$A$41</c:f>
              <c:strCache>
                <c:ptCount val="40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  <c:pt idx="39">
                  <c:v>2020/12/01</c:v>
                </c:pt>
              </c:strCache>
            </c:strRef>
          </c:cat>
          <c:val>
            <c:numRef>
              <c:f>'15'!$H$2:$H$41</c:f>
              <c:numCache>
                <c:formatCode>General</c:formatCode>
                <c:ptCount val="40"/>
                <c:pt idx="0">
                  <c:v>1.39</c:v>
                </c:pt>
                <c:pt idx="1">
                  <c:v>1.57</c:v>
                </c:pt>
                <c:pt idx="2">
                  <c:v>1.34</c:v>
                </c:pt>
                <c:pt idx="3">
                  <c:v>0.95</c:v>
                </c:pt>
                <c:pt idx="4">
                  <c:v>-1.43</c:v>
                </c:pt>
                <c:pt idx="5">
                  <c:v>1.51</c:v>
                </c:pt>
                <c:pt idx="6">
                  <c:v>1.28</c:v>
                </c:pt>
                <c:pt idx="7">
                  <c:v>1.45</c:v>
                </c:pt>
                <c:pt idx="8">
                  <c:v>1.86</c:v>
                </c:pt>
                <c:pt idx="9">
                  <c:v>1.59</c:v>
                </c:pt>
                <c:pt idx="10">
                  <c:v>1.39</c:v>
                </c:pt>
                <c:pt idx="11">
                  <c:v>1.32</c:v>
                </c:pt>
                <c:pt idx="12">
                  <c:v>1.81</c:v>
                </c:pt>
                <c:pt idx="13">
                  <c:v>1.51</c:v>
                </c:pt>
                <c:pt idx="14">
                  <c:v>1.36</c:v>
                </c:pt>
                <c:pt idx="15">
                  <c:v>1.43</c:v>
                </c:pt>
                <c:pt idx="16">
                  <c:v>2.04</c:v>
                </c:pt>
                <c:pt idx="17">
                  <c:v>1.85</c:v>
                </c:pt>
                <c:pt idx="18">
                  <c:v>1.68</c:v>
                </c:pt>
                <c:pt idx="19">
                  <c:v>1.69</c:v>
                </c:pt>
                <c:pt idx="20">
                  <c:v>2.12</c:v>
                </c:pt>
                <c:pt idx="21">
                  <c:v>1.95</c:v>
                </c:pt>
                <c:pt idx="22">
                  <c:v>1.43</c:v>
                </c:pt>
                <c:pt idx="23">
                  <c:v>1.46</c:v>
                </c:pt>
                <c:pt idx="24">
                  <c:v>1.81</c:v>
                </c:pt>
                <c:pt idx="25">
                  <c:v>0.83</c:v>
                </c:pt>
                <c:pt idx="26">
                  <c:v>1.27</c:v>
                </c:pt>
                <c:pt idx="27">
                  <c:v>1.42</c:v>
                </c:pt>
                <c:pt idx="28">
                  <c:v>2.86</c:v>
                </c:pt>
                <c:pt idx="29">
                  <c:v>5.34</c:v>
                </c:pt>
                <c:pt idx="30">
                  <c:v>1.8</c:v>
                </c:pt>
                <c:pt idx="31">
                  <c:v>1.1499999999999999</c:v>
                </c:pt>
                <c:pt idx="32">
                  <c:v>0.8</c:v>
                </c:pt>
                <c:pt idx="33">
                  <c:v>2.0699999999999998</c:v>
                </c:pt>
                <c:pt idx="34">
                  <c:v>1.04</c:v>
                </c:pt>
                <c:pt idx="35">
                  <c:v>0.94</c:v>
                </c:pt>
                <c:pt idx="36">
                  <c:v>1.07</c:v>
                </c:pt>
                <c:pt idx="37">
                  <c:v>2.88</c:v>
                </c:pt>
                <c:pt idx="38">
                  <c:v>2.69</c:v>
                </c:pt>
                <c:pt idx="3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71-384C-95DE-8F2C4ED6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49344"/>
        <c:axId val="79847808"/>
      </c:lineChart>
      <c:catAx>
        <c:axId val="797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1808"/>
        <c:crosses val="autoZero"/>
        <c:auto val="1"/>
        <c:lblAlgn val="ctr"/>
        <c:lblOffset val="100"/>
        <c:tickMarkSkip val="1"/>
        <c:noMultiLvlLbl val="0"/>
      </c:catAx>
      <c:valAx>
        <c:axId val="7975180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750272"/>
        <c:crosses val="autoZero"/>
        <c:crossBetween val="between"/>
      </c:valAx>
      <c:valAx>
        <c:axId val="79847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49344"/>
        <c:crosses val="max"/>
        <c:crossBetween val="between"/>
      </c:valAx>
      <c:catAx>
        <c:axId val="7984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84780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'15'!$K$2:$K$40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0.33333333333333343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0.12499999999999993</c:v>
                </c:pt>
                <c:pt idx="16">
                  <c:v>0</c:v>
                </c:pt>
                <c:pt idx="17">
                  <c:v>0</c:v>
                </c:pt>
                <c:pt idx="18">
                  <c:v>0.22222222222222227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9.090909090909087E-2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8.3333333333333412E-2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7.6923076923076983E-2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0.14285714285714277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2-4E48-819D-B33E83A9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2880"/>
        <c:axId val="79884672"/>
      </c:lineChart>
      <c:catAx>
        <c:axId val="7988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4672"/>
        <c:crosses val="autoZero"/>
        <c:auto val="1"/>
        <c:lblAlgn val="ctr"/>
        <c:lblOffset val="100"/>
        <c:tickMarkSkip val="1"/>
        <c:noMultiLvlLbl val="0"/>
      </c:catAx>
      <c:valAx>
        <c:axId val="798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8828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'16'!$B$2:$B$40</c:f>
              <c:numCache>
                <c:formatCode>General</c:formatCode>
                <c:ptCount val="39"/>
                <c:pt idx="0">
                  <c:v>80.400000000000006</c:v>
                </c:pt>
                <c:pt idx="1">
                  <c:v>80.97</c:v>
                </c:pt>
                <c:pt idx="2">
                  <c:v>72.64</c:v>
                </c:pt>
                <c:pt idx="3">
                  <c:v>80.900000000000006</c:v>
                </c:pt>
                <c:pt idx="4">
                  <c:v>89.86</c:v>
                </c:pt>
                <c:pt idx="5">
                  <c:v>87.08</c:v>
                </c:pt>
                <c:pt idx="6">
                  <c:v>93.38</c:v>
                </c:pt>
                <c:pt idx="7">
                  <c:v>92.29</c:v>
                </c:pt>
                <c:pt idx="8">
                  <c:v>96.52</c:v>
                </c:pt>
                <c:pt idx="9">
                  <c:v>108.46</c:v>
                </c:pt>
                <c:pt idx="10">
                  <c:v>127.55</c:v>
                </c:pt>
                <c:pt idx="11">
                  <c:v>148.66</c:v>
                </c:pt>
                <c:pt idx="12">
                  <c:v>163.24</c:v>
                </c:pt>
                <c:pt idx="13">
                  <c:v>160.72999999999999</c:v>
                </c:pt>
                <c:pt idx="14">
                  <c:v>182.78</c:v>
                </c:pt>
                <c:pt idx="15">
                  <c:v>192.57</c:v>
                </c:pt>
                <c:pt idx="16">
                  <c:v>202.96</c:v>
                </c:pt>
                <c:pt idx="17">
                  <c:v>185.9</c:v>
                </c:pt>
                <c:pt idx="18">
                  <c:v>207.31</c:v>
                </c:pt>
                <c:pt idx="19">
                  <c:v>217.15</c:v>
                </c:pt>
                <c:pt idx="20">
                  <c:v>221.5</c:v>
                </c:pt>
                <c:pt idx="21">
                  <c:v>248.17</c:v>
                </c:pt>
                <c:pt idx="22">
                  <c:v>239.72</c:v>
                </c:pt>
                <c:pt idx="23">
                  <c:v>249.94</c:v>
                </c:pt>
                <c:pt idx="24">
                  <c:v>267.60000000000002</c:v>
                </c:pt>
                <c:pt idx="25">
                  <c:v>277.61</c:v>
                </c:pt>
                <c:pt idx="26">
                  <c:v>310.29000000000002</c:v>
                </c:pt>
                <c:pt idx="27">
                  <c:v>321.05</c:v>
                </c:pt>
                <c:pt idx="28">
                  <c:v>337.93</c:v>
                </c:pt>
                <c:pt idx="29">
                  <c:v>295.43</c:v>
                </c:pt>
                <c:pt idx="30">
                  <c:v>345.96</c:v>
                </c:pt>
                <c:pt idx="31">
                  <c:v>261.83999999999997</c:v>
                </c:pt>
                <c:pt idx="32">
                  <c:v>300.16000000000003</c:v>
                </c:pt>
                <c:pt idx="33">
                  <c:v>363.54</c:v>
                </c:pt>
                <c:pt idx="34">
                  <c:v>390.06</c:v>
                </c:pt>
                <c:pt idx="35">
                  <c:v>389.38</c:v>
                </c:pt>
                <c:pt idx="36">
                  <c:v>338.95</c:v>
                </c:pt>
                <c:pt idx="37">
                  <c:v>364.92</c:v>
                </c:pt>
                <c:pt idx="38">
                  <c:v>383.28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C-9C49-A071-B77E95F0B86C}"/>
            </c:ext>
          </c:extLst>
        </c:ser>
        <c:ser>
          <c:idx val="1"/>
          <c:order val="1"/>
          <c:tx>
            <c:strRef>
              <c:f>'16'!$C$1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'16'!$C$2:$C$40</c:f>
              <c:numCache>
                <c:formatCode>General</c:formatCode>
                <c:ptCount val="3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1.33</c:v>
                </c:pt>
                <c:pt idx="12">
                  <c:v>1.33</c:v>
                </c:pt>
                <c:pt idx="13">
                  <c:v>1.33</c:v>
                </c:pt>
                <c:pt idx="14">
                  <c:v>1.33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1.65</c:v>
                </c:pt>
                <c:pt idx="20">
                  <c:v>1.65</c:v>
                </c:pt>
                <c:pt idx="21">
                  <c:v>1.65</c:v>
                </c:pt>
                <c:pt idx="22">
                  <c:v>1.65</c:v>
                </c:pt>
                <c:pt idx="23">
                  <c:v>1.82</c:v>
                </c:pt>
                <c:pt idx="24">
                  <c:v>1.82</c:v>
                </c:pt>
                <c:pt idx="25">
                  <c:v>1.82</c:v>
                </c:pt>
                <c:pt idx="26">
                  <c:v>1.82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C-9C49-A071-B77E95F0B86C}"/>
            </c:ext>
          </c:extLst>
        </c:ser>
        <c:ser>
          <c:idx val="2"/>
          <c:order val="2"/>
          <c:tx>
            <c:strRef>
              <c:f>'16'!$D$1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'16'!$D$2:$D$40</c:f>
              <c:numCache>
                <c:formatCode>General</c:formatCode>
                <c:ptCount val="39"/>
                <c:pt idx="0">
                  <c:v>10633</c:v>
                </c:pt>
                <c:pt idx="1">
                  <c:v>11551</c:v>
                </c:pt>
                <c:pt idx="2">
                  <c:v>12119</c:v>
                </c:pt>
                <c:pt idx="3">
                  <c:v>12211</c:v>
                </c:pt>
                <c:pt idx="4">
                  <c:v>11293</c:v>
                </c:pt>
                <c:pt idx="5">
                  <c:v>11921</c:v>
                </c:pt>
                <c:pt idx="6">
                  <c:v>11869</c:v>
                </c:pt>
                <c:pt idx="7">
                  <c:v>12099</c:v>
                </c:pt>
                <c:pt idx="8">
                  <c:v>11070</c:v>
                </c:pt>
                <c:pt idx="9">
                  <c:v>11408</c:v>
                </c:pt>
                <c:pt idx="10">
                  <c:v>11347</c:v>
                </c:pt>
                <c:pt idx="11">
                  <c:v>11533</c:v>
                </c:pt>
                <c:pt idx="12">
                  <c:v>10650</c:v>
                </c:pt>
                <c:pt idx="13">
                  <c:v>11306</c:v>
                </c:pt>
                <c:pt idx="14">
                  <c:v>11114</c:v>
                </c:pt>
                <c:pt idx="15">
                  <c:v>12530</c:v>
                </c:pt>
                <c:pt idx="16">
                  <c:v>10111</c:v>
                </c:pt>
                <c:pt idx="17">
                  <c:v>11643</c:v>
                </c:pt>
                <c:pt idx="18">
                  <c:v>11461</c:v>
                </c:pt>
                <c:pt idx="19">
                  <c:v>12917</c:v>
                </c:pt>
                <c:pt idx="20">
                  <c:v>11702</c:v>
                </c:pt>
                <c:pt idx="21">
                  <c:v>12914</c:v>
                </c:pt>
                <c:pt idx="22">
                  <c:v>11551</c:v>
                </c:pt>
                <c:pt idx="23">
                  <c:v>13752</c:v>
                </c:pt>
                <c:pt idx="24">
                  <c:v>11057</c:v>
                </c:pt>
                <c:pt idx="25">
                  <c:v>12685</c:v>
                </c:pt>
                <c:pt idx="26">
                  <c:v>12169</c:v>
                </c:pt>
                <c:pt idx="27">
                  <c:v>15137</c:v>
                </c:pt>
                <c:pt idx="28">
                  <c:v>11635</c:v>
                </c:pt>
                <c:pt idx="29">
                  <c:v>13398</c:v>
                </c:pt>
                <c:pt idx="30">
                  <c:v>14318</c:v>
                </c:pt>
                <c:pt idx="31">
                  <c:v>14411</c:v>
                </c:pt>
                <c:pt idx="32">
                  <c:v>14336</c:v>
                </c:pt>
                <c:pt idx="33">
                  <c:v>14427</c:v>
                </c:pt>
                <c:pt idx="34">
                  <c:v>15171</c:v>
                </c:pt>
                <c:pt idx="35">
                  <c:v>15878</c:v>
                </c:pt>
                <c:pt idx="36">
                  <c:v>15651</c:v>
                </c:pt>
                <c:pt idx="37">
                  <c:v>16220</c:v>
                </c:pt>
                <c:pt idx="38">
                  <c:v>16495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C-9C49-A071-B77E95F0B86C}"/>
            </c:ext>
          </c:extLst>
        </c:ser>
        <c:ser>
          <c:idx val="3"/>
          <c:order val="3"/>
          <c:tx>
            <c:strRef>
              <c:f>'16'!$E$1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'16'!$E$2:$E$40</c:f>
              <c:numCache>
                <c:formatCode>General</c:formatCode>
                <c:ptCount val="39"/>
                <c:pt idx="0">
                  <c:v>802</c:v>
                </c:pt>
                <c:pt idx="1">
                  <c:v>897</c:v>
                </c:pt>
                <c:pt idx="2">
                  <c:v>996</c:v>
                </c:pt>
                <c:pt idx="3">
                  <c:v>988</c:v>
                </c:pt>
                <c:pt idx="4">
                  <c:v>974</c:v>
                </c:pt>
                <c:pt idx="5">
                  <c:v>1180</c:v>
                </c:pt>
                <c:pt idx="6">
                  <c:v>981</c:v>
                </c:pt>
                <c:pt idx="7">
                  <c:v>1106</c:v>
                </c:pt>
                <c:pt idx="8">
                  <c:v>1071</c:v>
                </c:pt>
                <c:pt idx="9">
                  <c:v>1224</c:v>
                </c:pt>
                <c:pt idx="10">
                  <c:v>1184</c:v>
                </c:pt>
                <c:pt idx="11">
                  <c:v>1104</c:v>
                </c:pt>
                <c:pt idx="12">
                  <c:v>1371</c:v>
                </c:pt>
                <c:pt idx="13">
                  <c:v>1341</c:v>
                </c:pt>
                <c:pt idx="14">
                  <c:v>1275</c:v>
                </c:pt>
                <c:pt idx="15">
                  <c:v>1387</c:v>
                </c:pt>
                <c:pt idx="16">
                  <c:v>1263</c:v>
                </c:pt>
                <c:pt idx="17">
                  <c:v>1371</c:v>
                </c:pt>
                <c:pt idx="18">
                  <c:v>1291</c:v>
                </c:pt>
                <c:pt idx="19">
                  <c:v>1377</c:v>
                </c:pt>
                <c:pt idx="20">
                  <c:v>1334</c:v>
                </c:pt>
                <c:pt idx="21">
                  <c:v>1424</c:v>
                </c:pt>
                <c:pt idx="22">
                  <c:v>1384</c:v>
                </c:pt>
                <c:pt idx="23">
                  <c:v>1353</c:v>
                </c:pt>
                <c:pt idx="24">
                  <c:v>1153</c:v>
                </c:pt>
                <c:pt idx="25">
                  <c:v>1425</c:v>
                </c:pt>
                <c:pt idx="26">
                  <c:v>1351</c:v>
                </c:pt>
                <c:pt idx="27">
                  <c:v>1619</c:v>
                </c:pt>
                <c:pt idx="28">
                  <c:v>1658</c:v>
                </c:pt>
                <c:pt idx="29">
                  <c:v>1849</c:v>
                </c:pt>
                <c:pt idx="30">
                  <c:v>1921</c:v>
                </c:pt>
                <c:pt idx="31">
                  <c:v>1942</c:v>
                </c:pt>
                <c:pt idx="32">
                  <c:v>2188</c:v>
                </c:pt>
                <c:pt idx="33">
                  <c:v>1993</c:v>
                </c:pt>
                <c:pt idx="34">
                  <c:v>2063</c:v>
                </c:pt>
                <c:pt idx="35">
                  <c:v>2123</c:v>
                </c:pt>
                <c:pt idx="36">
                  <c:v>2091</c:v>
                </c:pt>
                <c:pt idx="37">
                  <c:v>2086</c:v>
                </c:pt>
                <c:pt idx="38">
                  <c:v>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C-9C49-A071-B77E95F0B86C}"/>
            </c:ext>
          </c:extLst>
        </c:ser>
        <c:ser>
          <c:idx val="4"/>
          <c:order val="4"/>
          <c:tx>
            <c:strRef>
              <c:f>'16'!$F$1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'16'!$F$2:$F$40</c:f>
              <c:numCache>
                <c:formatCode>General</c:formatCode>
                <c:ptCount val="39"/>
                <c:pt idx="0">
                  <c:v>530</c:v>
                </c:pt>
                <c:pt idx="1">
                  <c:v>742</c:v>
                </c:pt>
                <c:pt idx="2">
                  <c:v>700</c:v>
                </c:pt>
                <c:pt idx="3">
                  <c:v>683</c:v>
                </c:pt>
                <c:pt idx="4">
                  <c:v>668</c:v>
                </c:pt>
                <c:pt idx="5">
                  <c:v>781</c:v>
                </c:pt>
                <c:pt idx="6">
                  <c:v>727</c:v>
                </c:pt>
                <c:pt idx="7">
                  <c:v>569</c:v>
                </c:pt>
                <c:pt idx="8">
                  <c:v>761</c:v>
                </c:pt>
                <c:pt idx="9">
                  <c:v>859</c:v>
                </c:pt>
                <c:pt idx="10">
                  <c:v>873</c:v>
                </c:pt>
                <c:pt idx="11">
                  <c:v>488</c:v>
                </c:pt>
                <c:pt idx="12">
                  <c:v>933</c:v>
                </c:pt>
                <c:pt idx="13">
                  <c:v>889</c:v>
                </c:pt>
                <c:pt idx="14">
                  <c:v>888</c:v>
                </c:pt>
                <c:pt idx="15">
                  <c:v>904</c:v>
                </c:pt>
                <c:pt idx="16">
                  <c:v>878</c:v>
                </c:pt>
                <c:pt idx="17">
                  <c:v>929</c:v>
                </c:pt>
                <c:pt idx="18">
                  <c:v>865</c:v>
                </c:pt>
                <c:pt idx="19">
                  <c:v>933</c:v>
                </c:pt>
                <c:pt idx="20">
                  <c:v>794</c:v>
                </c:pt>
                <c:pt idx="21">
                  <c:v>1021</c:v>
                </c:pt>
                <c:pt idx="22">
                  <c:v>2395</c:v>
                </c:pt>
                <c:pt idx="23">
                  <c:v>988</c:v>
                </c:pt>
                <c:pt idx="24">
                  <c:v>763</c:v>
                </c:pt>
                <c:pt idx="25">
                  <c:v>942</c:v>
                </c:pt>
                <c:pt idx="26">
                  <c:v>939</c:v>
                </c:pt>
                <c:pt idx="27">
                  <c:v>-642</c:v>
                </c:pt>
                <c:pt idx="28">
                  <c:v>1157</c:v>
                </c:pt>
                <c:pt idx="29">
                  <c:v>1163</c:v>
                </c:pt>
                <c:pt idx="30">
                  <c:v>1473</c:v>
                </c:pt>
                <c:pt idx="31">
                  <c:v>1253</c:v>
                </c:pt>
                <c:pt idx="32">
                  <c:v>1704</c:v>
                </c:pt>
                <c:pt idx="33">
                  <c:v>1420</c:v>
                </c:pt>
                <c:pt idx="34">
                  <c:v>1608</c:v>
                </c:pt>
                <c:pt idx="35">
                  <c:v>1498</c:v>
                </c:pt>
                <c:pt idx="36">
                  <c:v>1717</c:v>
                </c:pt>
                <c:pt idx="37">
                  <c:v>1626</c:v>
                </c:pt>
                <c:pt idx="38">
                  <c:v>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C-9C49-A071-B77E95F0B86C}"/>
            </c:ext>
          </c:extLst>
        </c:ser>
        <c:ser>
          <c:idx val="7"/>
          <c:order val="7"/>
          <c:tx>
            <c:strRef>
              <c:f>'16'!$I$1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'16'!$I$2:$I$40</c:f>
              <c:numCache>
                <c:formatCode>General</c:formatCode>
                <c:ptCount val="39"/>
                <c:pt idx="0">
                  <c:v>37.549999999999997</c:v>
                </c:pt>
                <c:pt idx="1">
                  <c:v>37.99</c:v>
                </c:pt>
                <c:pt idx="2">
                  <c:v>37.22</c:v>
                </c:pt>
                <c:pt idx="3">
                  <c:v>37.22</c:v>
                </c:pt>
                <c:pt idx="4">
                  <c:v>41.4</c:v>
                </c:pt>
                <c:pt idx="5">
                  <c:v>42.17</c:v>
                </c:pt>
                <c:pt idx="6">
                  <c:v>43.96</c:v>
                </c:pt>
                <c:pt idx="7">
                  <c:v>49.64</c:v>
                </c:pt>
                <c:pt idx="8">
                  <c:v>49.64</c:v>
                </c:pt>
                <c:pt idx="9">
                  <c:v>49.65</c:v>
                </c:pt>
                <c:pt idx="10">
                  <c:v>49.89</c:v>
                </c:pt>
                <c:pt idx="11">
                  <c:v>49.57</c:v>
                </c:pt>
                <c:pt idx="12">
                  <c:v>52.88</c:v>
                </c:pt>
                <c:pt idx="13">
                  <c:v>51.77</c:v>
                </c:pt>
                <c:pt idx="14">
                  <c:v>52.99</c:v>
                </c:pt>
                <c:pt idx="15">
                  <c:v>53.79</c:v>
                </c:pt>
                <c:pt idx="16">
                  <c:v>48.97</c:v>
                </c:pt>
                <c:pt idx="17">
                  <c:v>51.08</c:v>
                </c:pt>
                <c:pt idx="18">
                  <c:v>51.78</c:v>
                </c:pt>
                <c:pt idx="19">
                  <c:v>53.24</c:v>
                </c:pt>
                <c:pt idx="20">
                  <c:v>53.66</c:v>
                </c:pt>
                <c:pt idx="21">
                  <c:v>55.75</c:v>
                </c:pt>
                <c:pt idx="22">
                  <c:v>53.71</c:v>
                </c:pt>
                <c:pt idx="23">
                  <c:v>49.66</c:v>
                </c:pt>
                <c:pt idx="24">
                  <c:v>54.68</c:v>
                </c:pt>
                <c:pt idx="25">
                  <c:v>56.06</c:v>
                </c:pt>
                <c:pt idx="26">
                  <c:v>56.07</c:v>
                </c:pt>
                <c:pt idx="27">
                  <c:v>59.04</c:v>
                </c:pt>
                <c:pt idx="28">
                  <c:v>112.35</c:v>
                </c:pt>
                <c:pt idx="29">
                  <c:v>95.86</c:v>
                </c:pt>
                <c:pt idx="30">
                  <c:v>89.47</c:v>
                </c:pt>
                <c:pt idx="31">
                  <c:v>75.760000000000005</c:v>
                </c:pt>
                <c:pt idx="32">
                  <c:v>46.62</c:v>
                </c:pt>
                <c:pt idx="33">
                  <c:v>42.94</c:v>
                </c:pt>
                <c:pt idx="34">
                  <c:v>41.91</c:v>
                </c:pt>
                <c:pt idx="35">
                  <c:v>41.83</c:v>
                </c:pt>
                <c:pt idx="36">
                  <c:v>41</c:v>
                </c:pt>
                <c:pt idx="37">
                  <c:v>41.74</c:v>
                </c:pt>
                <c:pt idx="38">
                  <c:v>41.19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CC-9C49-A071-B77E95F0B86C}"/>
            </c:ext>
          </c:extLst>
        </c:ser>
        <c:ser>
          <c:idx val="8"/>
          <c:order val="8"/>
          <c:tx>
            <c:strRef>
              <c:f>'16'!$J$1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'16'!$J$2:$J$40</c:f>
              <c:numCache>
                <c:formatCode>General</c:formatCode>
                <c:ptCount val="39"/>
                <c:pt idx="0">
                  <c:v>1684</c:v>
                </c:pt>
                <c:pt idx="1">
                  <c:v>843</c:v>
                </c:pt>
                <c:pt idx="2">
                  <c:v>511</c:v>
                </c:pt>
                <c:pt idx="3">
                  <c:v>1215</c:v>
                </c:pt>
                <c:pt idx="4">
                  <c:v>458</c:v>
                </c:pt>
                <c:pt idx="5">
                  <c:v>845</c:v>
                </c:pt>
                <c:pt idx="6">
                  <c:v>1573</c:v>
                </c:pt>
                <c:pt idx="7">
                  <c:v>-1315</c:v>
                </c:pt>
                <c:pt idx="8">
                  <c:v>2085</c:v>
                </c:pt>
                <c:pt idx="9">
                  <c:v>623</c:v>
                </c:pt>
                <c:pt idx="10">
                  <c:v>900</c:v>
                </c:pt>
                <c:pt idx="11">
                  <c:v>938</c:v>
                </c:pt>
                <c:pt idx="12">
                  <c:v>2100</c:v>
                </c:pt>
                <c:pt idx="13">
                  <c:v>977</c:v>
                </c:pt>
                <c:pt idx="14">
                  <c:v>990</c:v>
                </c:pt>
                <c:pt idx="15">
                  <c:v>-201</c:v>
                </c:pt>
                <c:pt idx="16">
                  <c:v>957</c:v>
                </c:pt>
                <c:pt idx="17">
                  <c:v>1263</c:v>
                </c:pt>
                <c:pt idx="18">
                  <c:v>1517</c:v>
                </c:pt>
                <c:pt idx="19">
                  <c:v>1364</c:v>
                </c:pt>
                <c:pt idx="20">
                  <c:v>1563</c:v>
                </c:pt>
                <c:pt idx="21">
                  <c:v>1577</c:v>
                </c:pt>
                <c:pt idx="22">
                  <c:v>1320</c:v>
                </c:pt>
                <c:pt idx="23">
                  <c:v>729</c:v>
                </c:pt>
                <c:pt idx="24">
                  <c:v>1666</c:v>
                </c:pt>
                <c:pt idx="25">
                  <c:v>1544</c:v>
                </c:pt>
                <c:pt idx="26">
                  <c:v>1754</c:v>
                </c:pt>
                <c:pt idx="27">
                  <c:v>1512</c:v>
                </c:pt>
                <c:pt idx="28">
                  <c:v>632</c:v>
                </c:pt>
                <c:pt idx="29">
                  <c:v>-72</c:v>
                </c:pt>
                <c:pt idx="30">
                  <c:v>361</c:v>
                </c:pt>
                <c:pt idx="31">
                  <c:v>2217</c:v>
                </c:pt>
                <c:pt idx="32">
                  <c:v>1663</c:v>
                </c:pt>
                <c:pt idx="33">
                  <c:v>1668</c:v>
                </c:pt>
                <c:pt idx="34">
                  <c:v>2490</c:v>
                </c:pt>
                <c:pt idx="35">
                  <c:v>1490</c:v>
                </c:pt>
                <c:pt idx="36">
                  <c:v>2314</c:v>
                </c:pt>
                <c:pt idx="37">
                  <c:v>2182</c:v>
                </c:pt>
                <c:pt idx="38">
                  <c:v>1880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5664"/>
        <c:axId val="80012032"/>
      </c:lineChart>
      <c:lineChart>
        <c:grouping val="standard"/>
        <c:varyColors val="0"/>
        <c:ser>
          <c:idx val="5"/>
          <c:order val="5"/>
          <c:tx>
            <c:strRef>
              <c:f>'16'!$G$1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'16'!$G$2:$G$40</c:f>
              <c:numCache>
                <c:formatCode>General</c:formatCode>
                <c:ptCount val="39"/>
                <c:pt idx="0">
                  <c:v>7.54</c:v>
                </c:pt>
                <c:pt idx="1">
                  <c:v>7.77</c:v>
                </c:pt>
                <c:pt idx="2">
                  <c:v>8.2200000000000006</c:v>
                </c:pt>
                <c:pt idx="3">
                  <c:v>8.09</c:v>
                </c:pt>
                <c:pt idx="4">
                  <c:v>8.6199999999999992</c:v>
                </c:pt>
                <c:pt idx="5">
                  <c:v>9.9</c:v>
                </c:pt>
                <c:pt idx="6">
                  <c:v>8.27</c:v>
                </c:pt>
                <c:pt idx="7">
                  <c:v>9.14</c:v>
                </c:pt>
                <c:pt idx="8">
                  <c:v>9.67</c:v>
                </c:pt>
                <c:pt idx="9">
                  <c:v>10.73</c:v>
                </c:pt>
                <c:pt idx="10">
                  <c:v>10.43</c:v>
                </c:pt>
                <c:pt idx="11">
                  <c:v>9.57</c:v>
                </c:pt>
                <c:pt idx="12">
                  <c:v>12.87</c:v>
                </c:pt>
                <c:pt idx="13">
                  <c:v>11.86</c:v>
                </c:pt>
                <c:pt idx="14">
                  <c:v>11.47</c:v>
                </c:pt>
                <c:pt idx="15">
                  <c:v>11.07</c:v>
                </c:pt>
                <c:pt idx="16">
                  <c:v>12.49</c:v>
                </c:pt>
                <c:pt idx="17">
                  <c:v>11.78</c:v>
                </c:pt>
                <c:pt idx="18">
                  <c:v>11.26</c:v>
                </c:pt>
                <c:pt idx="19">
                  <c:v>10.66</c:v>
                </c:pt>
                <c:pt idx="20">
                  <c:v>11.4</c:v>
                </c:pt>
                <c:pt idx="21">
                  <c:v>11.03</c:v>
                </c:pt>
                <c:pt idx="22">
                  <c:v>11.98</c:v>
                </c:pt>
                <c:pt idx="23">
                  <c:v>9.84</c:v>
                </c:pt>
                <c:pt idx="24">
                  <c:v>10.43</c:v>
                </c:pt>
                <c:pt idx="25">
                  <c:v>11.23</c:v>
                </c:pt>
                <c:pt idx="26">
                  <c:v>11.1</c:v>
                </c:pt>
                <c:pt idx="27">
                  <c:v>10.7</c:v>
                </c:pt>
                <c:pt idx="28">
                  <c:v>14.25</c:v>
                </c:pt>
                <c:pt idx="29">
                  <c:v>13.8</c:v>
                </c:pt>
                <c:pt idx="30">
                  <c:v>13.42</c:v>
                </c:pt>
                <c:pt idx="31">
                  <c:v>13.48</c:v>
                </c:pt>
                <c:pt idx="32">
                  <c:v>15.26</c:v>
                </c:pt>
                <c:pt idx="33">
                  <c:v>13.81</c:v>
                </c:pt>
                <c:pt idx="34">
                  <c:v>13.6</c:v>
                </c:pt>
                <c:pt idx="35">
                  <c:v>13.37</c:v>
                </c:pt>
                <c:pt idx="36">
                  <c:v>13.36</c:v>
                </c:pt>
                <c:pt idx="37">
                  <c:v>12.86</c:v>
                </c:pt>
                <c:pt idx="38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0CC-9C49-A071-B77E95F0B86C}"/>
            </c:ext>
          </c:extLst>
        </c:ser>
        <c:ser>
          <c:idx val="6"/>
          <c:order val="6"/>
          <c:tx>
            <c:strRef>
              <c:f>'16'!$H$1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'16'!$H$2:$H$40</c:f>
              <c:numCache>
                <c:formatCode>General</c:formatCode>
                <c:ptCount val="39"/>
                <c:pt idx="0">
                  <c:v>4.9800000000000004</c:v>
                </c:pt>
                <c:pt idx="1">
                  <c:v>6.42</c:v>
                </c:pt>
                <c:pt idx="2">
                  <c:v>5.78</c:v>
                </c:pt>
                <c:pt idx="3">
                  <c:v>5.59</c:v>
                </c:pt>
                <c:pt idx="4">
                  <c:v>5.92</c:v>
                </c:pt>
                <c:pt idx="5">
                  <c:v>6.55</c:v>
                </c:pt>
                <c:pt idx="6">
                  <c:v>6.13</c:v>
                </c:pt>
                <c:pt idx="7">
                  <c:v>4.7</c:v>
                </c:pt>
                <c:pt idx="8">
                  <c:v>6.87</c:v>
                </c:pt>
                <c:pt idx="9">
                  <c:v>7.53</c:v>
                </c:pt>
                <c:pt idx="10">
                  <c:v>7.69</c:v>
                </c:pt>
                <c:pt idx="11">
                  <c:v>4.2300000000000004</c:v>
                </c:pt>
                <c:pt idx="12">
                  <c:v>8.76</c:v>
                </c:pt>
                <c:pt idx="13">
                  <c:v>7.86</c:v>
                </c:pt>
                <c:pt idx="14">
                  <c:v>7.99</c:v>
                </c:pt>
                <c:pt idx="15">
                  <c:v>7.21</c:v>
                </c:pt>
                <c:pt idx="16">
                  <c:v>8.68</c:v>
                </c:pt>
                <c:pt idx="17">
                  <c:v>7.98</c:v>
                </c:pt>
                <c:pt idx="18">
                  <c:v>7.55</c:v>
                </c:pt>
                <c:pt idx="19">
                  <c:v>7.22</c:v>
                </c:pt>
                <c:pt idx="20">
                  <c:v>6.79</c:v>
                </c:pt>
                <c:pt idx="21">
                  <c:v>7.91</c:v>
                </c:pt>
                <c:pt idx="22">
                  <c:v>20.73</c:v>
                </c:pt>
                <c:pt idx="23">
                  <c:v>7.18</c:v>
                </c:pt>
                <c:pt idx="24">
                  <c:v>6.9</c:v>
                </c:pt>
                <c:pt idx="25">
                  <c:v>7.43</c:v>
                </c:pt>
                <c:pt idx="26">
                  <c:v>7.72</c:v>
                </c:pt>
                <c:pt idx="27">
                  <c:v>-4.24</c:v>
                </c:pt>
                <c:pt idx="28">
                  <c:v>9.94</c:v>
                </c:pt>
                <c:pt idx="29">
                  <c:v>8.68</c:v>
                </c:pt>
                <c:pt idx="30">
                  <c:v>10.29</c:v>
                </c:pt>
                <c:pt idx="31">
                  <c:v>8.69</c:v>
                </c:pt>
                <c:pt idx="32">
                  <c:v>11.89</c:v>
                </c:pt>
                <c:pt idx="33">
                  <c:v>9.84</c:v>
                </c:pt>
                <c:pt idx="34">
                  <c:v>10.6</c:v>
                </c:pt>
                <c:pt idx="35">
                  <c:v>9.43</c:v>
                </c:pt>
                <c:pt idx="36">
                  <c:v>10.97</c:v>
                </c:pt>
                <c:pt idx="37">
                  <c:v>10.02</c:v>
                </c:pt>
                <c:pt idx="38">
                  <c:v>10.29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0CC-9C49-A071-B77E95F0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7280"/>
        <c:axId val="80013568"/>
      </c:lineChart>
      <c:catAx>
        <c:axId val="799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12032"/>
        <c:crosses val="autoZero"/>
        <c:auto val="1"/>
        <c:lblAlgn val="ctr"/>
        <c:lblOffset val="100"/>
        <c:tickMarkSkip val="1"/>
        <c:noMultiLvlLbl val="0"/>
      </c:catAx>
      <c:valAx>
        <c:axId val="8001203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79985664"/>
        <c:crosses val="autoZero"/>
        <c:crossBetween val="between"/>
      </c:valAx>
      <c:valAx>
        <c:axId val="8001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097280"/>
        <c:crosses val="max"/>
        <c:crossBetween val="between"/>
      </c:valAx>
      <c:catAx>
        <c:axId val="800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1356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'16'!$K$2:$K$39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0.14999999999999991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0.15652173913043493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0.12781954887218039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9.9999999999999936E-2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0.10303030303030312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9.8901098901098869E-2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0.10000000000000009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9.0909090909090787E-2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E-EE4C-B284-F868A1A6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22624"/>
        <c:axId val="80124160"/>
      </c:lineChart>
      <c:catAx>
        <c:axId val="80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4160"/>
        <c:crosses val="autoZero"/>
        <c:auto val="1"/>
        <c:lblAlgn val="ctr"/>
        <c:lblOffset val="100"/>
        <c:tickMarkSkip val="1"/>
        <c:noMultiLvlLbl val="0"/>
      </c:catAx>
      <c:valAx>
        <c:axId val="80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1226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'17'!$B$2:$B$40</c:f>
              <c:numCache>
                <c:formatCode>General</c:formatCode>
                <c:ptCount val="39"/>
                <c:pt idx="0">
                  <c:v>76.09</c:v>
                </c:pt>
                <c:pt idx="1">
                  <c:v>84.32</c:v>
                </c:pt>
                <c:pt idx="2">
                  <c:v>87.82</c:v>
                </c:pt>
                <c:pt idx="3">
                  <c:v>100.33</c:v>
                </c:pt>
                <c:pt idx="4">
                  <c:v>98.1</c:v>
                </c:pt>
                <c:pt idx="5">
                  <c:v>88.53</c:v>
                </c:pt>
                <c:pt idx="6">
                  <c:v>91.75</c:v>
                </c:pt>
                <c:pt idx="7">
                  <c:v>88.21</c:v>
                </c:pt>
                <c:pt idx="8">
                  <c:v>99.69</c:v>
                </c:pt>
                <c:pt idx="9">
                  <c:v>99</c:v>
                </c:pt>
                <c:pt idx="10">
                  <c:v>96.21</c:v>
                </c:pt>
                <c:pt idx="11">
                  <c:v>97.03</c:v>
                </c:pt>
                <c:pt idx="12">
                  <c:v>98.03</c:v>
                </c:pt>
                <c:pt idx="13">
                  <c:v>100.74</c:v>
                </c:pt>
                <c:pt idx="14">
                  <c:v>94.81</c:v>
                </c:pt>
                <c:pt idx="15">
                  <c:v>93.7</c:v>
                </c:pt>
                <c:pt idx="16">
                  <c:v>97.44</c:v>
                </c:pt>
                <c:pt idx="17">
                  <c:v>95.07</c:v>
                </c:pt>
                <c:pt idx="18">
                  <c:v>98.53</c:v>
                </c:pt>
                <c:pt idx="19">
                  <c:v>118.14</c:v>
                </c:pt>
                <c:pt idx="20">
                  <c:v>125.68</c:v>
                </c:pt>
                <c:pt idx="21">
                  <c:v>120.34</c:v>
                </c:pt>
                <c:pt idx="22">
                  <c:v>115.36</c:v>
                </c:pt>
                <c:pt idx="23">
                  <c:v>121.72</c:v>
                </c:pt>
                <c:pt idx="24">
                  <c:v>129.61000000000001</c:v>
                </c:pt>
                <c:pt idx="25">
                  <c:v>153.16</c:v>
                </c:pt>
                <c:pt idx="26">
                  <c:v>156.68</c:v>
                </c:pt>
                <c:pt idx="27">
                  <c:v>172.12</c:v>
                </c:pt>
                <c:pt idx="28">
                  <c:v>156.38</c:v>
                </c:pt>
                <c:pt idx="29">
                  <c:v>156.69</c:v>
                </c:pt>
                <c:pt idx="30">
                  <c:v>167.29</c:v>
                </c:pt>
                <c:pt idx="31">
                  <c:v>177.57</c:v>
                </c:pt>
                <c:pt idx="32">
                  <c:v>189.9</c:v>
                </c:pt>
                <c:pt idx="33">
                  <c:v>207.66</c:v>
                </c:pt>
                <c:pt idx="34">
                  <c:v>214.71</c:v>
                </c:pt>
                <c:pt idx="35">
                  <c:v>197.61</c:v>
                </c:pt>
                <c:pt idx="36">
                  <c:v>165.35</c:v>
                </c:pt>
                <c:pt idx="37">
                  <c:v>184.47</c:v>
                </c:pt>
                <c:pt idx="38">
                  <c:v>219.49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B-524B-B91E-2C25014677F1}"/>
            </c:ext>
          </c:extLst>
        </c:ser>
        <c:ser>
          <c:idx val="1"/>
          <c:order val="1"/>
          <c:tx>
            <c:strRef>
              <c:f>'17'!$C$1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'17'!$C$2:$C$40</c:f>
              <c:numCache>
                <c:formatCode>General</c:formatCode>
                <c:ptCount val="39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0.77</c:v>
                </c:pt>
                <c:pt idx="8">
                  <c:v>0.77</c:v>
                </c:pt>
                <c:pt idx="9">
                  <c:v>0.77</c:v>
                </c:pt>
                <c:pt idx="10">
                  <c:v>0.77</c:v>
                </c:pt>
                <c:pt idx="11">
                  <c:v>0.81</c:v>
                </c:pt>
                <c:pt idx="12">
                  <c:v>0.81</c:v>
                </c:pt>
                <c:pt idx="13">
                  <c:v>0.81</c:v>
                </c:pt>
                <c:pt idx="14">
                  <c:v>0.81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1.1599999999999999</c:v>
                </c:pt>
                <c:pt idx="32">
                  <c:v>1.1599999999999999</c:v>
                </c:pt>
                <c:pt idx="33">
                  <c:v>1.1599999999999999</c:v>
                </c:pt>
                <c:pt idx="34">
                  <c:v>1.1599999999999999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B-524B-B91E-2C25014677F1}"/>
            </c:ext>
          </c:extLst>
        </c:ser>
        <c:ser>
          <c:idx val="2"/>
          <c:order val="2"/>
          <c:tx>
            <c:strRef>
              <c:f>'17'!$D$1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'17'!$D$2:$D$40</c:f>
              <c:numCache>
                <c:formatCode>General</c:formatCode>
                <c:ptCount val="39"/>
                <c:pt idx="0">
                  <c:v>6112</c:v>
                </c:pt>
                <c:pt idx="1">
                  <c:v>6905</c:v>
                </c:pt>
                <c:pt idx="2">
                  <c:v>7166</c:v>
                </c:pt>
                <c:pt idx="3">
                  <c:v>6823</c:v>
                </c:pt>
                <c:pt idx="4">
                  <c:v>6547</c:v>
                </c:pt>
                <c:pt idx="5">
                  <c:v>6916</c:v>
                </c:pt>
                <c:pt idx="6">
                  <c:v>7152</c:v>
                </c:pt>
                <c:pt idx="7">
                  <c:v>6952</c:v>
                </c:pt>
                <c:pt idx="8">
                  <c:v>6605</c:v>
                </c:pt>
                <c:pt idx="9">
                  <c:v>7084</c:v>
                </c:pt>
                <c:pt idx="10">
                  <c:v>7323</c:v>
                </c:pt>
                <c:pt idx="11">
                  <c:v>7093</c:v>
                </c:pt>
                <c:pt idx="12">
                  <c:v>6700</c:v>
                </c:pt>
                <c:pt idx="13">
                  <c:v>7182</c:v>
                </c:pt>
                <c:pt idx="14">
                  <c:v>6987</c:v>
                </c:pt>
                <c:pt idx="15">
                  <c:v>6572</c:v>
                </c:pt>
                <c:pt idx="16">
                  <c:v>5959</c:v>
                </c:pt>
                <c:pt idx="17">
                  <c:v>6498</c:v>
                </c:pt>
                <c:pt idx="18">
                  <c:v>6615</c:v>
                </c:pt>
                <c:pt idx="19">
                  <c:v>6341</c:v>
                </c:pt>
                <c:pt idx="20">
                  <c:v>5904</c:v>
                </c:pt>
                <c:pt idx="21">
                  <c:v>6265</c:v>
                </c:pt>
                <c:pt idx="22">
                  <c:v>6424</c:v>
                </c:pt>
                <c:pt idx="23">
                  <c:v>6029</c:v>
                </c:pt>
                <c:pt idx="24">
                  <c:v>5676</c:v>
                </c:pt>
                <c:pt idx="25">
                  <c:v>6050</c:v>
                </c:pt>
                <c:pt idx="26">
                  <c:v>5755</c:v>
                </c:pt>
                <c:pt idx="27">
                  <c:v>5340</c:v>
                </c:pt>
                <c:pt idx="28">
                  <c:v>5139</c:v>
                </c:pt>
                <c:pt idx="29">
                  <c:v>5354</c:v>
                </c:pt>
                <c:pt idx="30">
                  <c:v>5369</c:v>
                </c:pt>
                <c:pt idx="31">
                  <c:v>5163</c:v>
                </c:pt>
                <c:pt idx="32">
                  <c:v>4956</c:v>
                </c:pt>
                <c:pt idx="33">
                  <c:v>5341</c:v>
                </c:pt>
                <c:pt idx="34">
                  <c:v>5431</c:v>
                </c:pt>
                <c:pt idx="35">
                  <c:v>5349</c:v>
                </c:pt>
                <c:pt idx="36">
                  <c:v>4714</c:v>
                </c:pt>
                <c:pt idx="37">
                  <c:v>3762</c:v>
                </c:pt>
                <c:pt idx="38">
                  <c:v>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B-524B-B91E-2C25014677F1}"/>
            </c:ext>
          </c:extLst>
        </c:ser>
        <c:ser>
          <c:idx val="3"/>
          <c:order val="3"/>
          <c:tx>
            <c:strRef>
              <c:f>'17'!$E$1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'17'!$E$2:$E$40</c:f>
              <c:numCache>
                <c:formatCode>General</c:formatCode>
                <c:ptCount val="39"/>
                <c:pt idx="0">
                  <c:v>1826</c:v>
                </c:pt>
                <c:pt idx="1">
                  <c:v>2192</c:v>
                </c:pt>
                <c:pt idx="2">
                  <c:v>2326</c:v>
                </c:pt>
                <c:pt idx="3">
                  <c:v>2285</c:v>
                </c:pt>
                <c:pt idx="4">
                  <c:v>1925</c:v>
                </c:pt>
                <c:pt idx="5">
                  <c:v>2099</c:v>
                </c:pt>
                <c:pt idx="6">
                  <c:v>2234</c:v>
                </c:pt>
                <c:pt idx="7">
                  <c:v>2104</c:v>
                </c:pt>
                <c:pt idx="8">
                  <c:v>1888</c:v>
                </c:pt>
                <c:pt idx="9">
                  <c:v>2158</c:v>
                </c:pt>
                <c:pt idx="10">
                  <c:v>2356</c:v>
                </c:pt>
                <c:pt idx="11">
                  <c:v>2115</c:v>
                </c:pt>
                <c:pt idx="12">
                  <c:v>1896</c:v>
                </c:pt>
                <c:pt idx="13">
                  <c:v>2155</c:v>
                </c:pt>
                <c:pt idx="14">
                  <c:v>2105</c:v>
                </c:pt>
                <c:pt idx="15">
                  <c:v>1812</c:v>
                </c:pt>
                <c:pt idx="16">
                  <c:v>1618</c:v>
                </c:pt>
                <c:pt idx="17">
                  <c:v>1898</c:v>
                </c:pt>
                <c:pt idx="18">
                  <c:v>2007</c:v>
                </c:pt>
                <c:pt idx="19">
                  <c:v>1831</c:v>
                </c:pt>
                <c:pt idx="20">
                  <c:v>1736</c:v>
                </c:pt>
                <c:pt idx="21">
                  <c:v>1990</c:v>
                </c:pt>
                <c:pt idx="22">
                  <c:v>2164</c:v>
                </c:pt>
                <c:pt idx="23">
                  <c:v>1931</c:v>
                </c:pt>
                <c:pt idx="24">
                  <c:v>1908</c:v>
                </c:pt>
                <c:pt idx="25">
                  <c:v>2183</c:v>
                </c:pt>
                <c:pt idx="26">
                  <c:v>2251</c:v>
                </c:pt>
                <c:pt idx="27">
                  <c:v>2048</c:v>
                </c:pt>
                <c:pt idx="28">
                  <c:v>1995</c:v>
                </c:pt>
                <c:pt idx="29">
                  <c:v>2197</c:v>
                </c:pt>
                <c:pt idx="30">
                  <c:v>2307</c:v>
                </c:pt>
                <c:pt idx="31">
                  <c:v>2087</c:v>
                </c:pt>
                <c:pt idx="32">
                  <c:v>2037</c:v>
                </c:pt>
                <c:pt idx="33">
                  <c:v>2296</c:v>
                </c:pt>
                <c:pt idx="34">
                  <c:v>2360</c:v>
                </c:pt>
                <c:pt idx="35">
                  <c:v>2193</c:v>
                </c:pt>
                <c:pt idx="36">
                  <c:v>1752</c:v>
                </c:pt>
                <c:pt idx="37">
                  <c:v>1078</c:v>
                </c:pt>
                <c:pt idx="38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B-524B-B91E-2C25014677F1}"/>
            </c:ext>
          </c:extLst>
        </c:ser>
        <c:ser>
          <c:idx val="4"/>
          <c:order val="4"/>
          <c:tx>
            <c:strRef>
              <c:f>'17'!$F$1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'17'!$F$2:$F$40</c:f>
              <c:numCache>
                <c:formatCode>General</c:formatCode>
                <c:ptCount val="39"/>
                <c:pt idx="0">
                  <c:v>1209</c:v>
                </c:pt>
                <c:pt idx="1">
                  <c:v>1410</c:v>
                </c:pt>
                <c:pt idx="2">
                  <c:v>1507</c:v>
                </c:pt>
                <c:pt idx="3">
                  <c:v>1377</c:v>
                </c:pt>
                <c:pt idx="4">
                  <c:v>1267</c:v>
                </c:pt>
                <c:pt idx="5">
                  <c:v>1347</c:v>
                </c:pt>
                <c:pt idx="6">
                  <c:v>1455</c:v>
                </c:pt>
                <c:pt idx="7">
                  <c:v>1396</c:v>
                </c:pt>
                <c:pt idx="8">
                  <c:v>1270</c:v>
                </c:pt>
                <c:pt idx="9">
                  <c:v>1397</c:v>
                </c:pt>
                <c:pt idx="10">
                  <c:v>1522</c:v>
                </c:pt>
                <c:pt idx="11">
                  <c:v>1397</c:v>
                </c:pt>
                <c:pt idx="12">
                  <c:v>1205</c:v>
                </c:pt>
                <c:pt idx="13">
                  <c:v>1387</c:v>
                </c:pt>
                <c:pt idx="14">
                  <c:v>1068</c:v>
                </c:pt>
                <c:pt idx="15">
                  <c:v>1098</c:v>
                </c:pt>
                <c:pt idx="16">
                  <c:v>812</c:v>
                </c:pt>
                <c:pt idx="17">
                  <c:v>1202</c:v>
                </c:pt>
                <c:pt idx="18">
                  <c:v>1309</c:v>
                </c:pt>
                <c:pt idx="19">
                  <c:v>1206</c:v>
                </c:pt>
                <c:pt idx="20">
                  <c:v>1099</c:v>
                </c:pt>
                <c:pt idx="21">
                  <c:v>1093</c:v>
                </c:pt>
                <c:pt idx="22">
                  <c:v>1275</c:v>
                </c:pt>
                <c:pt idx="23">
                  <c:v>1193</c:v>
                </c:pt>
                <c:pt idx="24">
                  <c:v>1215</c:v>
                </c:pt>
                <c:pt idx="25">
                  <c:v>1395</c:v>
                </c:pt>
                <c:pt idx="26">
                  <c:v>1884</c:v>
                </c:pt>
                <c:pt idx="27">
                  <c:v>699</c:v>
                </c:pt>
                <c:pt idx="28">
                  <c:v>1375</c:v>
                </c:pt>
                <c:pt idx="29">
                  <c:v>1496</c:v>
                </c:pt>
                <c:pt idx="30">
                  <c:v>1637</c:v>
                </c:pt>
                <c:pt idx="31">
                  <c:v>1415</c:v>
                </c:pt>
                <c:pt idx="32">
                  <c:v>1328</c:v>
                </c:pt>
                <c:pt idx="33">
                  <c:v>1517</c:v>
                </c:pt>
                <c:pt idx="34">
                  <c:v>1608</c:v>
                </c:pt>
                <c:pt idx="35">
                  <c:v>1572</c:v>
                </c:pt>
                <c:pt idx="36">
                  <c:v>1107</c:v>
                </c:pt>
                <c:pt idx="37">
                  <c:v>484</c:v>
                </c:pt>
                <c:pt idx="38">
                  <c:v>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B-524B-B91E-2C25014677F1}"/>
            </c:ext>
          </c:extLst>
        </c:ser>
        <c:ser>
          <c:idx val="7"/>
          <c:order val="7"/>
          <c:tx>
            <c:strRef>
              <c:f>'17'!$I$1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'17'!$I$2:$I$40</c:f>
              <c:numCache>
                <c:formatCode>General</c:formatCode>
                <c:ptCount val="39"/>
                <c:pt idx="0">
                  <c:v>49.05</c:v>
                </c:pt>
                <c:pt idx="1">
                  <c:v>48.18</c:v>
                </c:pt>
                <c:pt idx="2">
                  <c:v>47.84</c:v>
                </c:pt>
                <c:pt idx="3">
                  <c:v>47.84</c:v>
                </c:pt>
                <c:pt idx="4">
                  <c:v>48.01</c:v>
                </c:pt>
                <c:pt idx="5">
                  <c:v>48.97</c:v>
                </c:pt>
                <c:pt idx="6">
                  <c:v>50.94</c:v>
                </c:pt>
                <c:pt idx="7">
                  <c:v>53.54</c:v>
                </c:pt>
                <c:pt idx="8">
                  <c:v>53.54</c:v>
                </c:pt>
                <c:pt idx="9">
                  <c:v>54.55</c:v>
                </c:pt>
                <c:pt idx="10">
                  <c:v>55.13</c:v>
                </c:pt>
                <c:pt idx="11">
                  <c:v>55.6</c:v>
                </c:pt>
                <c:pt idx="12">
                  <c:v>56.22</c:v>
                </c:pt>
                <c:pt idx="13">
                  <c:v>57.45</c:v>
                </c:pt>
                <c:pt idx="14">
                  <c:v>57.97</c:v>
                </c:pt>
                <c:pt idx="15">
                  <c:v>63.78</c:v>
                </c:pt>
                <c:pt idx="16">
                  <c:v>68.05</c:v>
                </c:pt>
                <c:pt idx="17">
                  <c:v>74.61</c:v>
                </c:pt>
                <c:pt idx="18">
                  <c:v>78.14</c:v>
                </c:pt>
                <c:pt idx="19">
                  <c:v>73.59</c:v>
                </c:pt>
                <c:pt idx="20">
                  <c:v>71.67</c:v>
                </c:pt>
                <c:pt idx="21">
                  <c:v>67.05</c:v>
                </c:pt>
                <c:pt idx="22">
                  <c:v>67.430000000000007</c:v>
                </c:pt>
                <c:pt idx="23">
                  <c:v>66.92</c:v>
                </c:pt>
                <c:pt idx="24">
                  <c:v>66.36</c:v>
                </c:pt>
                <c:pt idx="25">
                  <c:v>64.66</c:v>
                </c:pt>
                <c:pt idx="26">
                  <c:v>60.82</c:v>
                </c:pt>
                <c:pt idx="27">
                  <c:v>54.41</c:v>
                </c:pt>
                <c:pt idx="28">
                  <c:v>60.13</c:v>
                </c:pt>
                <c:pt idx="29">
                  <c:v>58.91</c:v>
                </c:pt>
                <c:pt idx="30">
                  <c:v>58.21</c:v>
                </c:pt>
                <c:pt idx="31">
                  <c:v>61.12</c:v>
                </c:pt>
                <c:pt idx="32">
                  <c:v>55.57</c:v>
                </c:pt>
                <c:pt idx="33">
                  <c:v>57.56</c:v>
                </c:pt>
                <c:pt idx="34">
                  <c:v>59</c:v>
                </c:pt>
                <c:pt idx="35">
                  <c:v>60.89</c:v>
                </c:pt>
                <c:pt idx="36">
                  <c:v>60.03</c:v>
                </c:pt>
                <c:pt idx="37">
                  <c:v>63.17</c:v>
                </c:pt>
                <c:pt idx="38">
                  <c:v>77.81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B-524B-B91E-2C25014677F1}"/>
            </c:ext>
          </c:extLst>
        </c:ser>
        <c:ser>
          <c:idx val="8"/>
          <c:order val="8"/>
          <c:tx>
            <c:strRef>
              <c:f>'17'!$J$1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'17'!$J$2:$J$40</c:f>
              <c:numCache>
                <c:formatCode>General</c:formatCode>
                <c:ptCount val="39"/>
                <c:pt idx="0">
                  <c:v>1553</c:v>
                </c:pt>
                <c:pt idx="1">
                  <c:v>1643</c:v>
                </c:pt>
                <c:pt idx="2">
                  <c:v>2170</c:v>
                </c:pt>
                <c:pt idx="3">
                  <c:v>1785</c:v>
                </c:pt>
                <c:pt idx="4">
                  <c:v>1634</c:v>
                </c:pt>
                <c:pt idx="5">
                  <c:v>1483</c:v>
                </c:pt>
                <c:pt idx="6">
                  <c:v>1999</c:v>
                </c:pt>
                <c:pt idx="7">
                  <c:v>1850</c:v>
                </c:pt>
                <c:pt idx="8">
                  <c:v>1687</c:v>
                </c:pt>
                <c:pt idx="9">
                  <c:v>1510</c:v>
                </c:pt>
                <c:pt idx="10">
                  <c:v>2051</c:v>
                </c:pt>
                <c:pt idx="11">
                  <c:v>1874</c:v>
                </c:pt>
                <c:pt idx="12">
                  <c:v>1907</c:v>
                </c:pt>
                <c:pt idx="13">
                  <c:v>1487</c:v>
                </c:pt>
                <c:pt idx="14">
                  <c:v>1833</c:v>
                </c:pt>
                <c:pt idx="15">
                  <c:v>1503</c:v>
                </c:pt>
                <c:pt idx="16">
                  <c:v>1700</c:v>
                </c:pt>
                <c:pt idx="17">
                  <c:v>1514</c:v>
                </c:pt>
                <c:pt idx="18">
                  <c:v>1947</c:v>
                </c:pt>
                <c:pt idx="19">
                  <c:v>1379</c:v>
                </c:pt>
                <c:pt idx="20">
                  <c:v>1719</c:v>
                </c:pt>
                <c:pt idx="21">
                  <c:v>1248</c:v>
                </c:pt>
                <c:pt idx="22">
                  <c:v>2251</c:v>
                </c:pt>
                <c:pt idx="23">
                  <c:v>815</c:v>
                </c:pt>
                <c:pt idx="24">
                  <c:v>1544</c:v>
                </c:pt>
                <c:pt idx="25">
                  <c:v>1213</c:v>
                </c:pt>
                <c:pt idx="26">
                  <c:v>1685</c:v>
                </c:pt>
                <c:pt idx="27">
                  <c:v>1109</c:v>
                </c:pt>
                <c:pt idx="28">
                  <c:v>1645</c:v>
                </c:pt>
                <c:pt idx="29">
                  <c:v>1339</c:v>
                </c:pt>
                <c:pt idx="30">
                  <c:v>2471</c:v>
                </c:pt>
                <c:pt idx="31">
                  <c:v>1512</c:v>
                </c:pt>
                <c:pt idx="32">
                  <c:v>2021</c:v>
                </c:pt>
                <c:pt idx="33">
                  <c:v>1926</c:v>
                </c:pt>
                <c:pt idx="34">
                  <c:v>2287</c:v>
                </c:pt>
                <c:pt idx="35">
                  <c:v>1889</c:v>
                </c:pt>
                <c:pt idx="36">
                  <c:v>1546</c:v>
                </c:pt>
                <c:pt idx="37">
                  <c:v>-213</c:v>
                </c:pt>
                <c:pt idx="38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8656"/>
        <c:axId val="80280192"/>
      </c:lineChart>
      <c:lineChart>
        <c:grouping val="standard"/>
        <c:varyColors val="0"/>
        <c:ser>
          <c:idx val="5"/>
          <c:order val="5"/>
          <c:tx>
            <c:strRef>
              <c:f>'17'!$G$1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'17'!$G$2:$G$40</c:f>
              <c:numCache>
                <c:formatCode>General</c:formatCode>
                <c:ptCount val="39"/>
                <c:pt idx="0">
                  <c:v>29.88</c:v>
                </c:pt>
                <c:pt idx="1">
                  <c:v>31.74</c:v>
                </c:pt>
                <c:pt idx="2">
                  <c:v>32.46</c:v>
                </c:pt>
                <c:pt idx="3">
                  <c:v>33.5</c:v>
                </c:pt>
                <c:pt idx="4">
                  <c:v>29.4</c:v>
                </c:pt>
                <c:pt idx="5">
                  <c:v>30.34</c:v>
                </c:pt>
                <c:pt idx="6">
                  <c:v>31.23</c:v>
                </c:pt>
                <c:pt idx="7">
                  <c:v>30.26</c:v>
                </c:pt>
                <c:pt idx="8">
                  <c:v>28.58</c:v>
                </c:pt>
                <c:pt idx="9">
                  <c:v>30.47</c:v>
                </c:pt>
                <c:pt idx="10">
                  <c:v>32.17</c:v>
                </c:pt>
                <c:pt idx="11">
                  <c:v>29.82</c:v>
                </c:pt>
                <c:pt idx="12">
                  <c:v>28.29</c:v>
                </c:pt>
                <c:pt idx="13">
                  <c:v>30.01</c:v>
                </c:pt>
                <c:pt idx="14">
                  <c:v>30.13</c:v>
                </c:pt>
                <c:pt idx="15">
                  <c:v>27.56</c:v>
                </c:pt>
                <c:pt idx="16">
                  <c:v>27.16</c:v>
                </c:pt>
                <c:pt idx="17">
                  <c:v>29.21</c:v>
                </c:pt>
                <c:pt idx="18">
                  <c:v>30.34</c:v>
                </c:pt>
                <c:pt idx="19">
                  <c:v>28.88</c:v>
                </c:pt>
                <c:pt idx="20">
                  <c:v>29.4</c:v>
                </c:pt>
                <c:pt idx="21">
                  <c:v>31.76</c:v>
                </c:pt>
                <c:pt idx="22">
                  <c:v>33.69</c:v>
                </c:pt>
                <c:pt idx="23">
                  <c:v>32.020000000000003</c:v>
                </c:pt>
                <c:pt idx="24">
                  <c:v>33.619999999999997</c:v>
                </c:pt>
                <c:pt idx="25">
                  <c:v>36.08</c:v>
                </c:pt>
                <c:pt idx="26">
                  <c:v>39.11</c:v>
                </c:pt>
                <c:pt idx="27">
                  <c:v>38.35</c:v>
                </c:pt>
                <c:pt idx="28">
                  <c:v>38.81</c:v>
                </c:pt>
                <c:pt idx="29">
                  <c:v>41.04</c:v>
                </c:pt>
                <c:pt idx="30">
                  <c:v>42.96</c:v>
                </c:pt>
                <c:pt idx="31">
                  <c:v>40.42</c:v>
                </c:pt>
                <c:pt idx="32">
                  <c:v>41.11</c:v>
                </c:pt>
                <c:pt idx="33">
                  <c:v>42.99</c:v>
                </c:pt>
                <c:pt idx="34">
                  <c:v>43.45</c:v>
                </c:pt>
                <c:pt idx="35">
                  <c:v>40.99</c:v>
                </c:pt>
                <c:pt idx="36">
                  <c:v>37.159999999999997</c:v>
                </c:pt>
                <c:pt idx="37">
                  <c:v>28.67</c:v>
                </c:pt>
                <c:pt idx="38">
                  <c:v>43.82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B-524B-B91E-2C25014677F1}"/>
            </c:ext>
          </c:extLst>
        </c:ser>
        <c:ser>
          <c:idx val="6"/>
          <c:order val="6"/>
          <c:tx>
            <c:strRef>
              <c:f>'17'!$H$1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'17'!$A$2:$A$40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'17'!$H$2:$H$40</c:f>
              <c:numCache>
                <c:formatCode>General</c:formatCode>
                <c:ptCount val="39"/>
                <c:pt idx="0">
                  <c:v>19.78</c:v>
                </c:pt>
                <c:pt idx="1">
                  <c:v>20.420000000000002</c:v>
                </c:pt>
                <c:pt idx="2">
                  <c:v>21.03</c:v>
                </c:pt>
                <c:pt idx="3">
                  <c:v>20.18</c:v>
                </c:pt>
                <c:pt idx="4">
                  <c:v>19.350000000000001</c:v>
                </c:pt>
                <c:pt idx="5">
                  <c:v>19.48</c:v>
                </c:pt>
                <c:pt idx="6">
                  <c:v>20.34</c:v>
                </c:pt>
                <c:pt idx="7">
                  <c:v>20.079999999999998</c:v>
                </c:pt>
                <c:pt idx="8">
                  <c:v>19.23</c:v>
                </c:pt>
                <c:pt idx="9">
                  <c:v>19.71</c:v>
                </c:pt>
                <c:pt idx="10">
                  <c:v>20.79</c:v>
                </c:pt>
                <c:pt idx="11">
                  <c:v>19.690000000000001</c:v>
                </c:pt>
                <c:pt idx="12">
                  <c:v>17.98</c:v>
                </c:pt>
                <c:pt idx="13">
                  <c:v>19.309999999999999</c:v>
                </c:pt>
                <c:pt idx="14">
                  <c:v>15.29</c:v>
                </c:pt>
                <c:pt idx="15">
                  <c:v>16.7</c:v>
                </c:pt>
                <c:pt idx="16">
                  <c:v>13.62</c:v>
                </c:pt>
                <c:pt idx="17">
                  <c:v>18.510000000000002</c:v>
                </c:pt>
                <c:pt idx="18">
                  <c:v>19.79</c:v>
                </c:pt>
                <c:pt idx="19">
                  <c:v>19.02</c:v>
                </c:pt>
                <c:pt idx="20">
                  <c:v>18.61</c:v>
                </c:pt>
                <c:pt idx="21">
                  <c:v>17.440000000000001</c:v>
                </c:pt>
                <c:pt idx="22">
                  <c:v>19.850000000000001</c:v>
                </c:pt>
                <c:pt idx="23">
                  <c:v>19.79</c:v>
                </c:pt>
                <c:pt idx="24">
                  <c:v>21.4</c:v>
                </c:pt>
                <c:pt idx="25">
                  <c:v>23.06</c:v>
                </c:pt>
                <c:pt idx="26">
                  <c:v>32.729999999999997</c:v>
                </c:pt>
                <c:pt idx="27">
                  <c:v>13.08</c:v>
                </c:pt>
                <c:pt idx="28">
                  <c:v>26.76</c:v>
                </c:pt>
                <c:pt idx="29">
                  <c:v>27.95</c:v>
                </c:pt>
                <c:pt idx="30">
                  <c:v>30.49</c:v>
                </c:pt>
                <c:pt idx="31">
                  <c:v>27.41</c:v>
                </c:pt>
                <c:pt idx="32">
                  <c:v>26.81</c:v>
                </c:pt>
                <c:pt idx="33">
                  <c:v>28.4</c:v>
                </c:pt>
                <c:pt idx="34">
                  <c:v>29.61</c:v>
                </c:pt>
                <c:pt idx="35">
                  <c:v>29.39</c:v>
                </c:pt>
                <c:pt idx="36">
                  <c:v>23.48</c:v>
                </c:pt>
                <c:pt idx="37">
                  <c:v>12.86</c:v>
                </c:pt>
                <c:pt idx="38">
                  <c:v>32.53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B-524B-B91E-2C250146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95808"/>
        <c:axId val="80294272"/>
      </c:lineChart>
      <c:catAx>
        <c:axId val="8027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80192"/>
        <c:crosses val="autoZero"/>
        <c:auto val="1"/>
        <c:lblAlgn val="ctr"/>
        <c:lblOffset val="100"/>
        <c:tickMarkSkip val="1"/>
        <c:noMultiLvlLbl val="0"/>
      </c:catAx>
      <c:valAx>
        <c:axId val="80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78656"/>
        <c:crosses val="autoZero"/>
        <c:crossBetween val="between"/>
      </c:valAx>
      <c:valAx>
        <c:axId val="8029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295808"/>
        <c:crosses val="max"/>
        <c:crossBetween val="between"/>
      </c:valAx>
      <c:catAx>
        <c:axId val="8029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94272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'17'!$K$2:$K$39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0.14754098360655732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0.10000000000000009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5.1948051948051993E-2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4.9382716049382616E-2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4.7058823529411806E-2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5.6179775280898799E-2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7.4468085106383045E-2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0.14851485148514842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7.7586206896551796E-2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2-0748-BB54-F66CFF9A9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9344"/>
        <c:axId val="80351616"/>
      </c:lineChart>
      <c:catAx>
        <c:axId val="8032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51616"/>
        <c:crosses val="autoZero"/>
        <c:auto val="1"/>
        <c:lblAlgn val="ctr"/>
        <c:lblOffset val="100"/>
        <c:tickMarkSkip val="1"/>
        <c:noMultiLvlLbl val="0"/>
      </c:catAx>
      <c:valAx>
        <c:axId val="80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3293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'18'!$B$2:$B$40</c:f>
              <c:numCache>
                <c:formatCode>General</c:formatCode>
                <c:ptCount val="39"/>
                <c:pt idx="0">
                  <c:v>25.39</c:v>
                </c:pt>
                <c:pt idx="1">
                  <c:v>26</c:v>
                </c:pt>
                <c:pt idx="2">
                  <c:v>24.89</c:v>
                </c:pt>
                <c:pt idx="3">
                  <c:v>25.96</c:v>
                </c:pt>
                <c:pt idx="4">
                  <c:v>32.255000000000003</c:v>
                </c:pt>
                <c:pt idx="5">
                  <c:v>30.59</c:v>
                </c:pt>
                <c:pt idx="6">
                  <c:v>29.76</c:v>
                </c:pt>
                <c:pt idx="7">
                  <c:v>26.709700000000002</c:v>
                </c:pt>
                <c:pt idx="8">
                  <c:v>28.605</c:v>
                </c:pt>
                <c:pt idx="9">
                  <c:v>34.545000000000002</c:v>
                </c:pt>
                <c:pt idx="10">
                  <c:v>33.28</c:v>
                </c:pt>
                <c:pt idx="11">
                  <c:v>37.409999999999997</c:v>
                </c:pt>
                <c:pt idx="12">
                  <c:v>40.99</c:v>
                </c:pt>
                <c:pt idx="13">
                  <c:v>41.7</c:v>
                </c:pt>
                <c:pt idx="14">
                  <c:v>46.36</c:v>
                </c:pt>
                <c:pt idx="15">
                  <c:v>46.45</c:v>
                </c:pt>
                <c:pt idx="16">
                  <c:v>40.655000000000001</c:v>
                </c:pt>
                <c:pt idx="17">
                  <c:v>44.15</c:v>
                </c:pt>
                <c:pt idx="18">
                  <c:v>44.26</c:v>
                </c:pt>
                <c:pt idx="19">
                  <c:v>55.48</c:v>
                </c:pt>
                <c:pt idx="20">
                  <c:v>55.23</c:v>
                </c:pt>
                <c:pt idx="21">
                  <c:v>51.17</c:v>
                </c:pt>
                <c:pt idx="22">
                  <c:v>57.6</c:v>
                </c:pt>
                <c:pt idx="23">
                  <c:v>62.14</c:v>
                </c:pt>
                <c:pt idx="24">
                  <c:v>65.86</c:v>
                </c:pt>
                <c:pt idx="25">
                  <c:v>68.930000000000007</c:v>
                </c:pt>
                <c:pt idx="26">
                  <c:v>74.489999999999995</c:v>
                </c:pt>
                <c:pt idx="27">
                  <c:v>85.54</c:v>
                </c:pt>
                <c:pt idx="28">
                  <c:v>91.27</c:v>
                </c:pt>
                <c:pt idx="29">
                  <c:v>98.61</c:v>
                </c:pt>
                <c:pt idx="30">
                  <c:v>114.37</c:v>
                </c:pt>
                <c:pt idx="31">
                  <c:v>101.57</c:v>
                </c:pt>
                <c:pt idx="32">
                  <c:v>117.94</c:v>
                </c:pt>
                <c:pt idx="33">
                  <c:v>133.96</c:v>
                </c:pt>
                <c:pt idx="34">
                  <c:v>139.03</c:v>
                </c:pt>
                <c:pt idx="35">
                  <c:v>157.69999999999999</c:v>
                </c:pt>
                <c:pt idx="36">
                  <c:v>157.71</c:v>
                </c:pt>
                <c:pt idx="37">
                  <c:v>203.51</c:v>
                </c:pt>
                <c:pt idx="38">
                  <c:v>210.33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0-5544-B9AC-67ACBD9ABB8F}"/>
            </c:ext>
          </c:extLst>
        </c:ser>
        <c:ser>
          <c:idx val="1"/>
          <c:order val="1"/>
          <c:tx>
            <c:strRef>
              <c:f>'18'!$C$1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'18'!$C$2:$C$40</c:f>
              <c:numCache>
                <c:formatCode>General</c:formatCode>
                <c:ptCount val="39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0.36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0.46</c:v>
                </c:pt>
                <c:pt idx="32">
                  <c:v>0.46</c:v>
                </c:pt>
                <c:pt idx="33">
                  <c:v>0.46</c:v>
                </c:pt>
                <c:pt idx="34">
                  <c:v>0.46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0-5544-B9AC-67ACBD9ABB8F}"/>
            </c:ext>
          </c:extLst>
        </c:ser>
        <c:ser>
          <c:idx val="2"/>
          <c:order val="2"/>
          <c:tx>
            <c:strRef>
              <c:f>'18'!$D$1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'18'!$D$2:$D$40</c:f>
              <c:numCache>
                <c:formatCode>General</c:formatCode>
                <c:ptCount val="39"/>
                <c:pt idx="0">
                  <c:v>16428</c:v>
                </c:pt>
                <c:pt idx="1">
                  <c:v>17367</c:v>
                </c:pt>
                <c:pt idx="2">
                  <c:v>17372</c:v>
                </c:pt>
                <c:pt idx="3">
                  <c:v>20885</c:v>
                </c:pt>
                <c:pt idx="4">
                  <c:v>17407</c:v>
                </c:pt>
                <c:pt idx="5">
                  <c:v>18059</c:v>
                </c:pt>
                <c:pt idx="6">
                  <c:v>16008</c:v>
                </c:pt>
                <c:pt idx="7">
                  <c:v>21456</c:v>
                </c:pt>
                <c:pt idx="8">
                  <c:v>20489</c:v>
                </c:pt>
                <c:pt idx="9">
                  <c:v>19896</c:v>
                </c:pt>
                <c:pt idx="10">
                  <c:v>18529</c:v>
                </c:pt>
                <c:pt idx="11">
                  <c:v>24519</c:v>
                </c:pt>
                <c:pt idx="12">
                  <c:v>20403</c:v>
                </c:pt>
                <c:pt idx="13">
                  <c:v>23382</c:v>
                </c:pt>
                <c:pt idx="14">
                  <c:v>23201</c:v>
                </c:pt>
                <c:pt idx="15">
                  <c:v>26470</c:v>
                </c:pt>
                <c:pt idx="16">
                  <c:v>21729</c:v>
                </c:pt>
                <c:pt idx="17">
                  <c:v>22180</c:v>
                </c:pt>
                <c:pt idx="18">
                  <c:v>20379</c:v>
                </c:pt>
                <c:pt idx="19">
                  <c:v>23796</c:v>
                </c:pt>
                <c:pt idx="20">
                  <c:v>20531</c:v>
                </c:pt>
                <c:pt idx="21">
                  <c:v>20614</c:v>
                </c:pt>
                <c:pt idx="22">
                  <c:v>20453</c:v>
                </c:pt>
                <c:pt idx="23">
                  <c:v>24090</c:v>
                </c:pt>
                <c:pt idx="24">
                  <c:v>22090</c:v>
                </c:pt>
                <c:pt idx="25">
                  <c:v>23317</c:v>
                </c:pt>
                <c:pt idx="26">
                  <c:v>24538</c:v>
                </c:pt>
                <c:pt idx="27">
                  <c:v>28918</c:v>
                </c:pt>
                <c:pt idx="28">
                  <c:v>26819</c:v>
                </c:pt>
                <c:pt idx="29">
                  <c:v>30085</c:v>
                </c:pt>
                <c:pt idx="30">
                  <c:v>29084</c:v>
                </c:pt>
                <c:pt idx="31">
                  <c:v>32471</c:v>
                </c:pt>
                <c:pt idx="32">
                  <c:v>30571</c:v>
                </c:pt>
                <c:pt idx="33">
                  <c:v>33717</c:v>
                </c:pt>
                <c:pt idx="34">
                  <c:v>33055</c:v>
                </c:pt>
                <c:pt idx="35">
                  <c:v>36906</c:v>
                </c:pt>
                <c:pt idx="36">
                  <c:v>35021</c:v>
                </c:pt>
                <c:pt idx="37">
                  <c:v>38033</c:v>
                </c:pt>
                <c:pt idx="38">
                  <c:v>37154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0-5544-B9AC-67ACBD9ABB8F}"/>
            </c:ext>
          </c:extLst>
        </c:ser>
        <c:ser>
          <c:idx val="3"/>
          <c:order val="3"/>
          <c:tx>
            <c:strRef>
              <c:f>'18'!$E$1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'18'!$E$2:$E$40</c:f>
              <c:numCache>
                <c:formatCode>General</c:formatCode>
                <c:ptCount val="39"/>
                <c:pt idx="0">
                  <c:v>5709</c:v>
                </c:pt>
                <c:pt idx="1">
                  <c:v>6171</c:v>
                </c:pt>
                <c:pt idx="2">
                  <c:v>7203</c:v>
                </c:pt>
                <c:pt idx="3">
                  <c:v>7994</c:v>
                </c:pt>
                <c:pt idx="4">
                  <c:v>6374</c:v>
                </c:pt>
                <c:pt idx="5">
                  <c:v>6385</c:v>
                </c:pt>
                <c:pt idx="6">
                  <c:v>5308</c:v>
                </c:pt>
                <c:pt idx="7">
                  <c:v>7771</c:v>
                </c:pt>
                <c:pt idx="8">
                  <c:v>7612</c:v>
                </c:pt>
                <c:pt idx="9">
                  <c:v>6073</c:v>
                </c:pt>
                <c:pt idx="10">
                  <c:v>6334</c:v>
                </c:pt>
                <c:pt idx="11">
                  <c:v>7969</c:v>
                </c:pt>
                <c:pt idx="12">
                  <c:v>6974</c:v>
                </c:pt>
                <c:pt idx="13">
                  <c:v>6609</c:v>
                </c:pt>
                <c:pt idx="14">
                  <c:v>6984</c:v>
                </c:pt>
                <c:pt idx="15">
                  <c:v>8019</c:v>
                </c:pt>
                <c:pt idx="16">
                  <c:v>6784</c:v>
                </c:pt>
                <c:pt idx="17">
                  <c:v>6385</c:v>
                </c:pt>
                <c:pt idx="18">
                  <c:v>5793</c:v>
                </c:pt>
                <c:pt idx="19">
                  <c:v>6026</c:v>
                </c:pt>
                <c:pt idx="20">
                  <c:v>5283</c:v>
                </c:pt>
                <c:pt idx="21">
                  <c:v>4190</c:v>
                </c:pt>
                <c:pt idx="22">
                  <c:v>5225</c:v>
                </c:pt>
                <c:pt idx="23">
                  <c:v>6177</c:v>
                </c:pt>
                <c:pt idx="24">
                  <c:v>5594</c:v>
                </c:pt>
                <c:pt idx="25">
                  <c:v>5636</c:v>
                </c:pt>
                <c:pt idx="26">
                  <c:v>7708</c:v>
                </c:pt>
                <c:pt idx="27">
                  <c:v>8679</c:v>
                </c:pt>
                <c:pt idx="28">
                  <c:v>8292</c:v>
                </c:pt>
                <c:pt idx="29">
                  <c:v>10379</c:v>
                </c:pt>
                <c:pt idx="30">
                  <c:v>9955</c:v>
                </c:pt>
                <c:pt idx="31">
                  <c:v>10258</c:v>
                </c:pt>
                <c:pt idx="32">
                  <c:v>10341</c:v>
                </c:pt>
                <c:pt idx="33">
                  <c:v>12405</c:v>
                </c:pt>
                <c:pt idx="34">
                  <c:v>12686</c:v>
                </c:pt>
                <c:pt idx="35">
                  <c:v>13891</c:v>
                </c:pt>
                <c:pt idx="36">
                  <c:v>12975</c:v>
                </c:pt>
                <c:pt idx="37">
                  <c:v>13407</c:v>
                </c:pt>
                <c:pt idx="38">
                  <c:v>15876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0-5544-B9AC-67ACBD9ABB8F}"/>
            </c:ext>
          </c:extLst>
        </c:ser>
        <c:ser>
          <c:idx val="4"/>
          <c:order val="4"/>
          <c:tx>
            <c:strRef>
              <c:f>'18'!$F$1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'18'!$F$2:$F$40</c:f>
              <c:numCache>
                <c:formatCode>General</c:formatCode>
                <c:ptCount val="39"/>
                <c:pt idx="0">
                  <c:v>5232</c:v>
                </c:pt>
                <c:pt idx="1">
                  <c:v>5874</c:v>
                </c:pt>
                <c:pt idx="2">
                  <c:v>5738</c:v>
                </c:pt>
                <c:pt idx="3">
                  <c:v>6624</c:v>
                </c:pt>
                <c:pt idx="4">
                  <c:v>5108</c:v>
                </c:pt>
                <c:pt idx="5">
                  <c:v>-492</c:v>
                </c:pt>
                <c:pt idx="6">
                  <c:v>4466</c:v>
                </c:pt>
                <c:pt idx="7">
                  <c:v>6377</c:v>
                </c:pt>
                <c:pt idx="8">
                  <c:v>6055</c:v>
                </c:pt>
                <c:pt idx="9">
                  <c:v>4965</c:v>
                </c:pt>
                <c:pt idx="10">
                  <c:v>5244</c:v>
                </c:pt>
                <c:pt idx="11">
                  <c:v>6558</c:v>
                </c:pt>
                <c:pt idx="12">
                  <c:v>5660</c:v>
                </c:pt>
                <c:pt idx="13">
                  <c:v>4612</c:v>
                </c:pt>
                <c:pt idx="14">
                  <c:v>4540</c:v>
                </c:pt>
                <c:pt idx="15">
                  <c:v>5863</c:v>
                </c:pt>
                <c:pt idx="16">
                  <c:v>4985</c:v>
                </c:pt>
                <c:pt idx="17">
                  <c:v>-3195</c:v>
                </c:pt>
                <c:pt idx="18">
                  <c:v>4620</c:v>
                </c:pt>
                <c:pt idx="19">
                  <c:v>4998</c:v>
                </c:pt>
                <c:pt idx="20">
                  <c:v>3756</c:v>
                </c:pt>
                <c:pt idx="21">
                  <c:v>3122</c:v>
                </c:pt>
                <c:pt idx="22">
                  <c:v>4690</c:v>
                </c:pt>
                <c:pt idx="23">
                  <c:v>5200</c:v>
                </c:pt>
                <c:pt idx="24">
                  <c:v>4801</c:v>
                </c:pt>
                <c:pt idx="25">
                  <c:v>6513</c:v>
                </c:pt>
                <c:pt idx="26">
                  <c:v>6576</c:v>
                </c:pt>
                <c:pt idx="27">
                  <c:v>-6302</c:v>
                </c:pt>
                <c:pt idx="28">
                  <c:v>7424</c:v>
                </c:pt>
                <c:pt idx="29">
                  <c:v>8873</c:v>
                </c:pt>
                <c:pt idx="30">
                  <c:v>8824</c:v>
                </c:pt>
                <c:pt idx="31">
                  <c:v>8420</c:v>
                </c:pt>
                <c:pt idx="32">
                  <c:v>8809</c:v>
                </c:pt>
                <c:pt idx="33">
                  <c:v>13187</c:v>
                </c:pt>
                <c:pt idx="34">
                  <c:v>10678</c:v>
                </c:pt>
                <c:pt idx="35">
                  <c:v>11649</c:v>
                </c:pt>
                <c:pt idx="36">
                  <c:v>10752</c:v>
                </c:pt>
                <c:pt idx="37">
                  <c:v>11202</c:v>
                </c:pt>
                <c:pt idx="38">
                  <c:v>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D0-5544-B9AC-67ACBD9ABB8F}"/>
            </c:ext>
          </c:extLst>
        </c:ser>
        <c:ser>
          <c:idx val="7"/>
          <c:order val="7"/>
          <c:tx>
            <c:strRef>
              <c:f>'18'!$I$1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'18'!$I$2:$I$40</c:f>
              <c:numCache>
                <c:formatCode>General</c:formatCode>
                <c:ptCount val="39"/>
                <c:pt idx="0">
                  <c:v>23.02</c:v>
                </c:pt>
                <c:pt idx="1">
                  <c:v>22.68</c:v>
                </c:pt>
                <c:pt idx="2">
                  <c:v>23.27</c:v>
                </c:pt>
                <c:pt idx="3">
                  <c:v>23.27</c:v>
                </c:pt>
                <c:pt idx="4">
                  <c:v>24.64</c:v>
                </c:pt>
                <c:pt idx="5">
                  <c:v>26.37</c:v>
                </c:pt>
                <c:pt idx="6">
                  <c:v>38</c:v>
                </c:pt>
                <c:pt idx="7">
                  <c:v>45.6</c:v>
                </c:pt>
                <c:pt idx="8">
                  <c:v>45.6</c:v>
                </c:pt>
                <c:pt idx="9">
                  <c:v>44.33</c:v>
                </c:pt>
                <c:pt idx="10">
                  <c:v>34.5</c:v>
                </c:pt>
                <c:pt idx="11">
                  <c:v>34.46</c:v>
                </c:pt>
                <c:pt idx="12">
                  <c:v>35.93</c:v>
                </c:pt>
                <c:pt idx="13">
                  <c:v>38.200000000000003</c:v>
                </c:pt>
                <c:pt idx="14">
                  <c:v>40.68</c:v>
                </c:pt>
                <c:pt idx="15">
                  <c:v>43.92</c:v>
                </c:pt>
                <c:pt idx="16">
                  <c:v>46.37</c:v>
                </c:pt>
                <c:pt idx="17">
                  <c:v>48.96</c:v>
                </c:pt>
                <c:pt idx="18">
                  <c:v>81.760000000000005</c:v>
                </c:pt>
                <c:pt idx="19">
                  <c:v>82.12</c:v>
                </c:pt>
                <c:pt idx="20">
                  <c:v>90.21</c:v>
                </c:pt>
                <c:pt idx="21">
                  <c:v>101.52</c:v>
                </c:pt>
                <c:pt idx="22">
                  <c:v>66.19</c:v>
                </c:pt>
                <c:pt idx="23">
                  <c:v>68.900000000000006</c:v>
                </c:pt>
                <c:pt idx="24">
                  <c:v>69.010000000000005</c:v>
                </c:pt>
                <c:pt idx="25">
                  <c:v>66.08</c:v>
                </c:pt>
                <c:pt idx="26">
                  <c:v>56.46</c:v>
                </c:pt>
                <c:pt idx="27">
                  <c:v>55.12</c:v>
                </c:pt>
                <c:pt idx="28">
                  <c:v>129.27000000000001</c:v>
                </c:pt>
                <c:pt idx="29">
                  <c:v>109.46</c:v>
                </c:pt>
                <c:pt idx="30">
                  <c:v>77.459999999999994</c:v>
                </c:pt>
                <c:pt idx="31">
                  <c:v>69.14</c:v>
                </c:pt>
                <c:pt idx="32">
                  <c:v>39.909999999999997</c:v>
                </c:pt>
                <c:pt idx="33">
                  <c:v>39.11</c:v>
                </c:pt>
                <c:pt idx="34">
                  <c:v>35.57</c:v>
                </c:pt>
                <c:pt idx="35">
                  <c:v>34.72</c:v>
                </c:pt>
                <c:pt idx="36">
                  <c:v>32.93</c:v>
                </c:pt>
                <c:pt idx="37">
                  <c:v>32.33</c:v>
                </c:pt>
                <c:pt idx="38">
                  <c:v>34.549999999999997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D0-5544-B9AC-67ACBD9ABB8F}"/>
            </c:ext>
          </c:extLst>
        </c:ser>
        <c:ser>
          <c:idx val="8"/>
          <c:order val="8"/>
          <c:tx>
            <c:strRef>
              <c:f>'18'!$J$1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'18'!$J$2:$J$40</c:f>
              <c:numCache>
                <c:formatCode>General</c:formatCode>
                <c:ptCount val="39"/>
                <c:pt idx="0">
                  <c:v>8672</c:v>
                </c:pt>
                <c:pt idx="1">
                  <c:v>5942</c:v>
                </c:pt>
                <c:pt idx="2">
                  <c:v>8493</c:v>
                </c:pt>
                <c:pt idx="3">
                  <c:v>5862</c:v>
                </c:pt>
                <c:pt idx="4">
                  <c:v>9594</c:v>
                </c:pt>
                <c:pt idx="5">
                  <c:v>7677</c:v>
                </c:pt>
                <c:pt idx="6">
                  <c:v>8484</c:v>
                </c:pt>
                <c:pt idx="7">
                  <c:v>4780</c:v>
                </c:pt>
                <c:pt idx="8">
                  <c:v>9666</c:v>
                </c:pt>
                <c:pt idx="9">
                  <c:v>5903</c:v>
                </c:pt>
                <c:pt idx="10">
                  <c:v>8205</c:v>
                </c:pt>
                <c:pt idx="11">
                  <c:v>4413</c:v>
                </c:pt>
                <c:pt idx="12">
                  <c:v>10099</c:v>
                </c:pt>
                <c:pt idx="13">
                  <c:v>9514</c:v>
                </c:pt>
                <c:pt idx="14">
                  <c:v>8354</c:v>
                </c:pt>
                <c:pt idx="15">
                  <c:v>4340</c:v>
                </c:pt>
                <c:pt idx="16">
                  <c:v>9570</c:v>
                </c:pt>
                <c:pt idx="17">
                  <c:v>6816</c:v>
                </c:pt>
                <c:pt idx="18">
                  <c:v>8594</c:v>
                </c:pt>
                <c:pt idx="19">
                  <c:v>5598</c:v>
                </c:pt>
                <c:pt idx="20">
                  <c:v>10367</c:v>
                </c:pt>
                <c:pt idx="21">
                  <c:v>8464</c:v>
                </c:pt>
                <c:pt idx="22">
                  <c:v>11549</c:v>
                </c:pt>
                <c:pt idx="23">
                  <c:v>6293</c:v>
                </c:pt>
                <c:pt idx="24">
                  <c:v>10660</c:v>
                </c:pt>
                <c:pt idx="25">
                  <c:v>11005</c:v>
                </c:pt>
                <c:pt idx="26">
                  <c:v>12440</c:v>
                </c:pt>
                <c:pt idx="27">
                  <c:v>7875</c:v>
                </c:pt>
                <c:pt idx="28">
                  <c:v>12151</c:v>
                </c:pt>
                <c:pt idx="29">
                  <c:v>11418</c:v>
                </c:pt>
                <c:pt idx="30">
                  <c:v>13657</c:v>
                </c:pt>
                <c:pt idx="31">
                  <c:v>8900</c:v>
                </c:pt>
                <c:pt idx="32">
                  <c:v>13520</c:v>
                </c:pt>
                <c:pt idx="33">
                  <c:v>16108</c:v>
                </c:pt>
                <c:pt idx="34">
                  <c:v>13818</c:v>
                </c:pt>
                <c:pt idx="35">
                  <c:v>10680</c:v>
                </c:pt>
                <c:pt idx="36">
                  <c:v>17504</c:v>
                </c:pt>
                <c:pt idx="37">
                  <c:v>18673</c:v>
                </c:pt>
                <c:pt idx="38">
                  <c:v>19335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64128"/>
        <c:axId val="80474112"/>
      </c:lineChart>
      <c:lineChart>
        <c:grouping val="standard"/>
        <c:varyColors val="0"/>
        <c:ser>
          <c:idx val="5"/>
          <c:order val="5"/>
          <c:tx>
            <c:strRef>
              <c:f>'18'!$G$1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'18'!$G$2:$G$40</c:f>
              <c:numCache>
                <c:formatCode>General</c:formatCode>
                <c:ptCount val="39"/>
                <c:pt idx="0">
                  <c:v>34.75</c:v>
                </c:pt>
                <c:pt idx="1">
                  <c:v>35.53</c:v>
                </c:pt>
                <c:pt idx="2">
                  <c:v>41.46</c:v>
                </c:pt>
                <c:pt idx="3">
                  <c:v>38.28</c:v>
                </c:pt>
                <c:pt idx="4">
                  <c:v>36.619999999999997</c:v>
                </c:pt>
                <c:pt idx="5">
                  <c:v>35.36</c:v>
                </c:pt>
                <c:pt idx="6">
                  <c:v>33.159999999999997</c:v>
                </c:pt>
                <c:pt idx="7">
                  <c:v>36.22</c:v>
                </c:pt>
                <c:pt idx="8">
                  <c:v>37.15</c:v>
                </c:pt>
                <c:pt idx="9">
                  <c:v>30.52</c:v>
                </c:pt>
                <c:pt idx="10">
                  <c:v>34.18</c:v>
                </c:pt>
                <c:pt idx="11">
                  <c:v>32.5</c:v>
                </c:pt>
                <c:pt idx="12">
                  <c:v>34.18</c:v>
                </c:pt>
                <c:pt idx="13">
                  <c:v>28.27</c:v>
                </c:pt>
                <c:pt idx="14">
                  <c:v>30.1</c:v>
                </c:pt>
                <c:pt idx="15">
                  <c:v>30.29</c:v>
                </c:pt>
                <c:pt idx="16">
                  <c:v>31.22</c:v>
                </c:pt>
                <c:pt idx="17">
                  <c:v>28.79</c:v>
                </c:pt>
                <c:pt idx="18">
                  <c:v>28.43</c:v>
                </c:pt>
                <c:pt idx="19">
                  <c:v>25.32</c:v>
                </c:pt>
                <c:pt idx="20">
                  <c:v>25.73</c:v>
                </c:pt>
                <c:pt idx="21">
                  <c:v>20.329999999999998</c:v>
                </c:pt>
                <c:pt idx="22">
                  <c:v>25.55</c:v>
                </c:pt>
                <c:pt idx="23">
                  <c:v>25.64</c:v>
                </c:pt>
                <c:pt idx="24">
                  <c:v>25.32</c:v>
                </c:pt>
                <c:pt idx="25">
                  <c:v>24.17</c:v>
                </c:pt>
                <c:pt idx="26">
                  <c:v>31.41</c:v>
                </c:pt>
                <c:pt idx="27">
                  <c:v>30.01</c:v>
                </c:pt>
                <c:pt idx="28">
                  <c:v>30.92</c:v>
                </c:pt>
                <c:pt idx="29">
                  <c:v>34.5</c:v>
                </c:pt>
                <c:pt idx="30">
                  <c:v>34.229999999999997</c:v>
                </c:pt>
                <c:pt idx="31">
                  <c:v>31.59</c:v>
                </c:pt>
                <c:pt idx="32">
                  <c:v>33.83</c:v>
                </c:pt>
                <c:pt idx="33">
                  <c:v>36.79</c:v>
                </c:pt>
                <c:pt idx="34">
                  <c:v>38.380000000000003</c:v>
                </c:pt>
                <c:pt idx="35">
                  <c:v>37.64</c:v>
                </c:pt>
                <c:pt idx="36">
                  <c:v>37.049999999999997</c:v>
                </c:pt>
                <c:pt idx="37">
                  <c:v>35.25</c:v>
                </c:pt>
                <c:pt idx="38">
                  <c:v>42.73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D0-5544-B9AC-67ACBD9ABB8F}"/>
            </c:ext>
          </c:extLst>
        </c:ser>
        <c:ser>
          <c:idx val="6"/>
          <c:order val="6"/>
          <c:tx>
            <c:strRef>
              <c:f>'18'!$H$1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'18'!$A$2:$A$40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'18'!$H$2:$H$40</c:f>
              <c:numCache>
                <c:formatCode>General</c:formatCode>
                <c:ptCount val="39"/>
                <c:pt idx="0">
                  <c:v>31.85</c:v>
                </c:pt>
                <c:pt idx="1">
                  <c:v>33.82</c:v>
                </c:pt>
                <c:pt idx="2">
                  <c:v>33.03</c:v>
                </c:pt>
                <c:pt idx="3">
                  <c:v>31.72</c:v>
                </c:pt>
                <c:pt idx="4">
                  <c:v>29.34</c:v>
                </c:pt>
                <c:pt idx="5">
                  <c:v>-2.72</c:v>
                </c:pt>
                <c:pt idx="6">
                  <c:v>27.9</c:v>
                </c:pt>
                <c:pt idx="7">
                  <c:v>29.72</c:v>
                </c:pt>
                <c:pt idx="8">
                  <c:v>29.55</c:v>
                </c:pt>
                <c:pt idx="9">
                  <c:v>24.95</c:v>
                </c:pt>
                <c:pt idx="10">
                  <c:v>28.3</c:v>
                </c:pt>
                <c:pt idx="11">
                  <c:v>26.75</c:v>
                </c:pt>
                <c:pt idx="12">
                  <c:v>27.74</c:v>
                </c:pt>
                <c:pt idx="13">
                  <c:v>19.72</c:v>
                </c:pt>
                <c:pt idx="14">
                  <c:v>19.57</c:v>
                </c:pt>
                <c:pt idx="15">
                  <c:v>22.15</c:v>
                </c:pt>
                <c:pt idx="16">
                  <c:v>22.94</c:v>
                </c:pt>
                <c:pt idx="17">
                  <c:v>-14.4</c:v>
                </c:pt>
                <c:pt idx="18">
                  <c:v>22.67</c:v>
                </c:pt>
                <c:pt idx="19">
                  <c:v>21</c:v>
                </c:pt>
                <c:pt idx="20">
                  <c:v>18.29</c:v>
                </c:pt>
                <c:pt idx="21">
                  <c:v>15.15</c:v>
                </c:pt>
                <c:pt idx="22">
                  <c:v>22.93</c:v>
                </c:pt>
                <c:pt idx="23">
                  <c:v>21.59</c:v>
                </c:pt>
                <c:pt idx="24">
                  <c:v>21.73</c:v>
                </c:pt>
                <c:pt idx="25">
                  <c:v>27.93</c:v>
                </c:pt>
                <c:pt idx="26">
                  <c:v>26.8</c:v>
                </c:pt>
                <c:pt idx="27">
                  <c:v>-21.79</c:v>
                </c:pt>
                <c:pt idx="28">
                  <c:v>27.68</c:v>
                </c:pt>
                <c:pt idx="29">
                  <c:v>29.49</c:v>
                </c:pt>
                <c:pt idx="30">
                  <c:v>30.34</c:v>
                </c:pt>
                <c:pt idx="31">
                  <c:v>25.93</c:v>
                </c:pt>
                <c:pt idx="32">
                  <c:v>28.81</c:v>
                </c:pt>
                <c:pt idx="33">
                  <c:v>39.11</c:v>
                </c:pt>
                <c:pt idx="34">
                  <c:v>32.299999999999997</c:v>
                </c:pt>
                <c:pt idx="35">
                  <c:v>31.56</c:v>
                </c:pt>
                <c:pt idx="36">
                  <c:v>30.7</c:v>
                </c:pt>
                <c:pt idx="37">
                  <c:v>29.45</c:v>
                </c:pt>
                <c:pt idx="38">
                  <c:v>37.39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ED0-5544-B9AC-67ACBD9AB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7184"/>
        <c:axId val="80475648"/>
      </c:lineChart>
      <c:catAx>
        <c:axId val="804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4112"/>
        <c:crosses val="autoZero"/>
        <c:auto val="1"/>
        <c:lblAlgn val="ctr"/>
        <c:lblOffset val="100"/>
        <c:tickMarkSkip val="1"/>
        <c:noMultiLvlLbl val="0"/>
      </c:catAx>
      <c:valAx>
        <c:axId val="8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64128"/>
        <c:crosses val="autoZero"/>
        <c:crossBetween val="between"/>
      </c:valAx>
      <c:valAx>
        <c:axId val="80475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477184"/>
        <c:crosses val="max"/>
        <c:crossBetween val="between"/>
      </c:valAx>
      <c:catAx>
        <c:axId val="804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475648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'18'!$K$2:$K$39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0.25000000000000006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0.21739130434782614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0.10714285714285703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0.16129032258064513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8.3333333333333412E-2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7.6923076923076844E-2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9.523809523809533E-2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0.10869565217391301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B-5A47-9DEF-99676D05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8800"/>
        <c:axId val="80590336"/>
      </c:lineChart>
      <c:catAx>
        <c:axId val="805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90336"/>
        <c:crosses val="autoZero"/>
        <c:auto val="1"/>
        <c:lblAlgn val="ctr"/>
        <c:lblOffset val="100"/>
        <c:tickMarkSkip val="1"/>
        <c:noMultiLvlLbl val="0"/>
      </c:catAx>
      <c:valAx>
        <c:axId val="805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5888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'19'!$B$2:$B$40</c:f>
              <c:numCache>
                <c:formatCode>General</c:formatCode>
                <c:ptCount val="39"/>
                <c:pt idx="0">
                  <c:v>13.78</c:v>
                </c:pt>
                <c:pt idx="1">
                  <c:v>14.365</c:v>
                </c:pt>
                <c:pt idx="2">
                  <c:v>13.505000000000001</c:v>
                </c:pt>
                <c:pt idx="3">
                  <c:v>15.22</c:v>
                </c:pt>
                <c:pt idx="4">
                  <c:v>15.27</c:v>
                </c:pt>
                <c:pt idx="5">
                  <c:v>17.202500000000001</c:v>
                </c:pt>
                <c:pt idx="6">
                  <c:v>17.5825</c:v>
                </c:pt>
                <c:pt idx="7">
                  <c:v>17.297499999999999</c:v>
                </c:pt>
                <c:pt idx="8">
                  <c:v>19.420000000000002</c:v>
                </c:pt>
                <c:pt idx="9">
                  <c:v>20.37</c:v>
                </c:pt>
                <c:pt idx="10">
                  <c:v>20.04</c:v>
                </c:pt>
                <c:pt idx="11">
                  <c:v>21.405000000000001</c:v>
                </c:pt>
                <c:pt idx="12">
                  <c:v>23.905000000000001</c:v>
                </c:pt>
                <c:pt idx="13">
                  <c:v>25.62</c:v>
                </c:pt>
                <c:pt idx="14">
                  <c:v>23.47</c:v>
                </c:pt>
                <c:pt idx="15">
                  <c:v>26.572500000000002</c:v>
                </c:pt>
                <c:pt idx="16">
                  <c:v>26.012499999999999</c:v>
                </c:pt>
                <c:pt idx="17">
                  <c:v>24.5075</c:v>
                </c:pt>
                <c:pt idx="18">
                  <c:v>24.387499999999999</c:v>
                </c:pt>
                <c:pt idx="19">
                  <c:v>25.9725</c:v>
                </c:pt>
                <c:pt idx="20">
                  <c:v>29.585000000000001</c:v>
                </c:pt>
                <c:pt idx="21">
                  <c:v>32.6</c:v>
                </c:pt>
                <c:pt idx="22">
                  <c:v>30.58</c:v>
                </c:pt>
                <c:pt idx="23">
                  <c:v>29.864999999999998</c:v>
                </c:pt>
                <c:pt idx="24">
                  <c:v>32.092500000000001</c:v>
                </c:pt>
                <c:pt idx="25">
                  <c:v>35.032499999999999</c:v>
                </c:pt>
                <c:pt idx="26">
                  <c:v>36.637500000000003</c:v>
                </c:pt>
                <c:pt idx="27">
                  <c:v>39.047499999999999</c:v>
                </c:pt>
                <c:pt idx="28">
                  <c:v>40.832500000000003</c:v>
                </c:pt>
                <c:pt idx="29">
                  <c:v>41.7575</c:v>
                </c:pt>
                <c:pt idx="30">
                  <c:v>41.9</c:v>
                </c:pt>
                <c:pt idx="31">
                  <c:v>43.454999999999998</c:v>
                </c:pt>
                <c:pt idx="32">
                  <c:v>48.33</c:v>
                </c:pt>
                <c:pt idx="33">
                  <c:v>51.215000000000003</c:v>
                </c:pt>
                <c:pt idx="34">
                  <c:v>58.247500000000002</c:v>
                </c:pt>
                <c:pt idx="35">
                  <c:v>60.54</c:v>
                </c:pt>
                <c:pt idx="36">
                  <c:v>60.155000000000001</c:v>
                </c:pt>
                <c:pt idx="37">
                  <c:v>60.042499999999997</c:v>
                </c:pt>
                <c:pt idx="38">
                  <c:v>69.39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F540-BAF5-47C8655D5E88}"/>
            </c:ext>
          </c:extLst>
        </c:ser>
        <c:ser>
          <c:idx val="1"/>
          <c:order val="1"/>
          <c:tx>
            <c:strRef>
              <c:f>'19'!$C$1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'19'!$C$2:$C$40</c:f>
              <c:numCache>
                <c:formatCode>General</c:formatCode>
                <c:ptCount val="39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B-F540-BAF5-47C8655D5E88}"/>
            </c:ext>
          </c:extLst>
        </c:ser>
        <c:ser>
          <c:idx val="2"/>
          <c:order val="2"/>
          <c:tx>
            <c:strRef>
              <c:f>'19'!$D$1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'19'!$D$2:$D$40</c:f>
              <c:numCache>
                <c:formatCode>General</c:formatCode>
                <c:ptCount val="39"/>
                <c:pt idx="0">
                  <c:v>3134</c:v>
                </c:pt>
                <c:pt idx="1">
                  <c:v>3961</c:v>
                </c:pt>
                <c:pt idx="2">
                  <c:v>4382</c:v>
                </c:pt>
                <c:pt idx="3">
                  <c:v>3865</c:v>
                </c:pt>
                <c:pt idx="4">
                  <c:v>3371</c:v>
                </c:pt>
                <c:pt idx="5">
                  <c:v>3667</c:v>
                </c:pt>
                <c:pt idx="6">
                  <c:v>3843</c:v>
                </c:pt>
                <c:pt idx="7">
                  <c:v>3375</c:v>
                </c:pt>
                <c:pt idx="8">
                  <c:v>3279</c:v>
                </c:pt>
                <c:pt idx="9">
                  <c:v>3833</c:v>
                </c:pt>
                <c:pt idx="10">
                  <c:v>4394</c:v>
                </c:pt>
                <c:pt idx="11">
                  <c:v>3630</c:v>
                </c:pt>
                <c:pt idx="12">
                  <c:v>3674</c:v>
                </c:pt>
                <c:pt idx="13">
                  <c:v>4029</c:v>
                </c:pt>
                <c:pt idx="14">
                  <c:v>4654</c:v>
                </c:pt>
                <c:pt idx="15">
                  <c:v>4664</c:v>
                </c:pt>
                <c:pt idx="16">
                  <c:v>4104</c:v>
                </c:pt>
                <c:pt idx="17">
                  <c:v>4358</c:v>
                </c:pt>
                <c:pt idx="18">
                  <c:v>4954</c:v>
                </c:pt>
                <c:pt idx="19">
                  <c:v>4069</c:v>
                </c:pt>
                <c:pt idx="20">
                  <c:v>3835</c:v>
                </c:pt>
                <c:pt idx="21">
                  <c:v>3817</c:v>
                </c:pt>
                <c:pt idx="22">
                  <c:v>4805</c:v>
                </c:pt>
                <c:pt idx="23">
                  <c:v>3698</c:v>
                </c:pt>
                <c:pt idx="24">
                  <c:v>3972</c:v>
                </c:pt>
                <c:pt idx="25">
                  <c:v>4404</c:v>
                </c:pt>
                <c:pt idx="26">
                  <c:v>4808</c:v>
                </c:pt>
                <c:pt idx="27">
                  <c:v>4010</c:v>
                </c:pt>
                <c:pt idx="28">
                  <c:v>3863</c:v>
                </c:pt>
                <c:pt idx="29">
                  <c:v>4069</c:v>
                </c:pt>
                <c:pt idx="30">
                  <c:v>4418</c:v>
                </c:pt>
                <c:pt idx="31">
                  <c:v>4376</c:v>
                </c:pt>
                <c:pt idx="32">
                  <c:v>4075</c:v>
                </c:pt>
                <c:pt idx="33">
                  <c:v>4970</c:v>
                </c:pt>
                <c:pt idx="34">
                  <c:v>5572</c:v>
                </c:pt>
                <c:pt idx="35">
                  <c:v>4588</c:v>
                </c:pt>
                <c:pt idx="36">
                  <c:v>4613</c:v>
                </c:pt>
                <c:pt idx="37">
                  <c:v>4204</c:v>
                </c:pt>
                <c:pt idx="38">
                  <c:v>4785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B-F540-BAF5-47C8655D5E88}"/>
            </c:ext>
          </c:extLst>
        </c:ser>
        <c:ser>
          <c:idx val="3"/>
          <c:order val="3"/>
          <c:tx>
            <c:strRef>
              <c:f>'19'!$E$1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'19'!$E$2:$E$40</c:f>
              <c:numCache>
                <c:formatCode>General</c:formatCode>
                <c:ptCount val="39"/>
                <c:pt idx="0">
                  <c:v>428</c:v>
                </c:pt>
                <c:pt idx="1">
                  <c:v>958</c:v>
                </c:pt>
                <c:pt idx="2">
                  <c:v>911</c:v>
                </c:pt>
                <c:pt idx="3">
                  <c:v>1132</c:v>
                </c:pt>
                <c:pt idx="4">
                  <c:v>843</c:v>
                </c:pt>
                <c:pt idx="5">
                  <c:v>1022</c:v>
                </c:pt>
                <c:pt idx="6">
                  <c:v>749</c:v>
                </c:pt>
                <c:pt idx="7">
                  <c:v>661</c:v>
                </c:pt>
                <c:pt idx="8">
                  <c:v>734</c:v>
                </c:pt>
                <c:pt idx="9">
                  <c:v>981</c:v>
                </c:pt>
                <c:pt idx="10">
                  <c:v>1185</c:v>
                </c:pt>
                <c:pt idx="11">
                  <c:v>640</c:v>
                </c:pt>
                <c:pt idx="12">
                  <c:v>738</c:v>
                </c:pt>
                <c:pt idx="13">
                  <c:v>951</c:v>
                </c:pt>
                <c:pt idx="14">
                  <c:v>1163</c:v>
                </c:pt>
                <c:pt idx="15">
                  <c:v>1542</c:v>
                </c:pt>
                <c:pt idx="16">
                  <c:v>1133</c:v>
                </c:pt>
                <c:pt idx="17">
                  <c:v>1155</c:v>
                </c:pt>
                <c:pt idx="18">
                  <c:v>1488</c:v>
                </c:pt>
                <c:pt idx="19">
                  <c:v>883</c:v>
                </c:pt>
                <c:pt idx="20">
                  <c:v>1238</c:v>
                </c:pt>
                <c:pt idx="21">
                  <c:v>1171</c:v>
                </c:pt>
                <c:pt idx="22">
                  <c:v>1402</c:v>
                </c:pt>
                <c:pt idx="23">
                  <c:v>486</c:v>
                </c:pt>
                <c:pt idx="24">
                  <c:v>1320</c:v>
                </c:pt>
                <c:pt idx="25">
                  <c:v>1288</c:v>
                </c:pt>
                <c:pt idx="26">
                  <c:v>1396</c:v>
                </c:pt>
                <c:pt idx="27">
                  <c:v>729</c:v>
                </c:pt>
                <c:pt idx="28">
                  <c:v>1031</c:v>
                </c:pt>
                <c:pt idx="29">
                  <c:v>1124</c:v>
                </c:pt>
                <c:pt idx="30">
                  <c:v>974</c:v>
                </c:pt>
                <c:pt idx="31">
                  <c:v>1115</c:v>
                </c:pt>
                <c:pt idx="32">
                  <c:v>1125</c:v>
                </c:pt>
                <c:pt idx="33">
                  <c:v>1399</c:v>
                </c:pt>
                <c:pt idx="34">
                  <c:v>1595</c:v>
                </c:pt>
                <c:pt idx="35">
                  <c:v>956</c:v>
                </c:pt>
                <c:pt idx="36">
                  <c:v>1708</c:v>
                </c:pt>
                <c:pt idx="37">
                  <c:v>1169</c:v>
                </c:pt>
                <c:pt idx="38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BB-F540-BAF5-47C8655D5E88}"/>
            </c:ext>
          </c:extLst>
        </c:ser>
        <c:ser>
          <c:idx val="4"/>
          <c:order val="4"/>
          <c:tx>
            <c:strRef>
              <c:f>'19'!$F$1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'19'!$F$2:$F$40</c:f>
              <c:numCache>
                <c:formatCode>General</c:formatCode>
                <c:ptCount val="39"/>
                <c:pt idx="0">
                  <c:v>268</c:v>
                </c:pt>
                <c:pt idx="1">
                  <c:v>580</c:v>
                </c:pt>
                <c:pt idx="2">
                  <c:v>407</c:v>
                </c:pt>
                <c:pt idx="3">
                  <c:v>667</c:v>
                </c:pt>
                <c:pt idx="4">
                  <c:v>461</c:v>
                </c:pt>
                <c:pt idx="5">
                  <c:v>607</c:v>
                </c:pt>
                <c:pt idx="6">
                  <c:v>415</c:v>
                </c:pt>
                <c:pt idx="7">
                  <c:v>429</c:v>
                </c:pt>
                <c:pt idx="8">
                  <c:v>272</c:v>
                </c:pt>
                <c:pt idx="9">
                  <c:v>610</c:v>
                </c:pt>
                <c:pt idx="10">
                  <c:v>698</c:v>
                </c:pt>
                <c:pt idx="11">
                  <c:v>327</c:v>
                </c:pt>
                <c:pt idx="12">
                  <c:v>430</c:v>
                </c:pt>
                <c:pt idx="13">
                  <c:v>492</c:v>
                </c:pt>
                <c:pt idx="14">
                  <c:v>660</c:v>
                </c:pt>
                <c:pt idx="15">
                  <c:v>884</c:v>
                </c:pt>
                <c:pt idx="16">
                  <c:v>650</c:v>
                </c:pt>
                <c:pt idx="17">
                  <c:v>716</c:v>
                </c:pt>
                <c:pt idx="18">
                  <c:v>879</c:v>
                </c:pt>
                <c:pt idx="19">
                  <c:v>507</c:v>
                </c:pt>
                <c:pt idx="20">
                  <c:v>636</c:v>
                </c:pt>
                <c:pt idx="21">
                  <c:v>540</c:v>
                </c:pt>
                <c:pt idx="22">
                  <c:v>753</c:v>
                </c:pt>
                <c:pt idx="23">
                  <c:v>966</c:v>
                </c:pt>
                <c:pt idx="24">
                  <c:v>1583</c:v>
                </c:pt>
                <c:pt idx="25">
                  <c:v>793</c:v>
                </c:pt>
                <c:pt idx="26">
                  <c:v>847</c:v>
                </c:pt>
                <c:pt idx="27">
                  <c:v>2155</c:v>
                </c:pt>
                <c:pt idx="28">
                  <c:v>4428</c:v>
                </c:pt>
                <c:pt idx="29">
                  <c:v>795</c:v>
                </c:pt>
                <c:pt idx="30">
                  <c:v>1007</c:v>
                </c:pt>
                <c:pt idx="31">
                  <c:v>409</c:v>
                </c:pt>
                <c:pt idx="32">
                  <c:v>680</c:v>
                </c:pt>
                <c:pt idx="33">
                  <c:v>1234</c:v>
                </c:pt>
                <c:pt idx="34">
                  <c:v>879</c:v>
                </c:pt>
                <c:pt idx="35">
                  <c:v>975</c:v>
                </c:pt>
                <c:pt idx="36">
                  <c:v>421</c:v>
                </c:pt>
                <c:pt idx="37">
                  <c:v>1275</c:v>
                </c:pt>
                <c:pt idx="38">
                  <c:v>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BB-F540-BAF5-47C8655D5E88}"/>
            </c:ext>
          </c:extLst>
        </c:ser>
        <c:ser>
          <c:idx val="7"/>
          <c:order val="7"/>
          <c:tx>
            <c:strRef>
              <c:f>'19'!$I$1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'19'!$I$2:$I$40</c:f>
              <c:numCache>
                <c:formatCode>General</c:formatCode>
                <c:ptCount val="39"/>
                <c:pt idx="0">
                  <c:v>51</c:v>
                </c:pt>
                <c:pt idx="1">
                  <c:v>47.73</c:v>
                </c:pt>
                <c:pt idx="2">
                  <c:v>59.23</c:v>
                </c:pt>
                <c:pt idx="3">
                  <c:v>59.23</c:v>
                </c:pt>
                <c:pt idx="4">
                  <c:v>47.93</c:v>
                </c:pt>
                <c:pt idx="5">
                  <c:v>44.47</c:v>
                </c:pt>
                <c:pt idx="6">
                  <c:v>44.83</c:v>
                </c:pt>
                <c:pt idx="7">
                  <c:v>52.63</c:v>
                </c:pt>
                <c:pt idx="8">
                  <c:v>52.63</c:v>
                </c:pt>
                <c:pt idx="9">
                  <c:v>67.400000000000006</c:v>
                </c:pt>
                <c:pt idx="10">
                  <c:v>69.42</c:v>
                </c:pt>
                <c:pt idx="11">
                  <c:v>60.14</c:v>
                </c:pt>
                <c:pt idx="12">
                  <c:v>65.510000000000005</c:v>
                </c:pt>
                <c:pt idx="13">
                  <c:v>55.09</c:v>
                </c:pt>
                <c:pt idx="14">
                  <c:v>60.35</c:v>
                </c:pt>
                <c:pt idx="15">
                  <c:v>63.71</c:v>
                </c:pt>
                <c:pt idx="16">
                  <c:v>51.79</c:v>
                </c:pt>
                <c:pt idx="17">
                  <c:v>48.52</c:v>
                </c:pt>
                <c:pt idx="18">
                  <c:v>45.72</c:v>
                </c:pt>
                <c:pt idx="19">
                  <c:v>43.54</c:v>
                </c:pt>
                <c:pt idx="20">
                  <c:v>50.83</c:v>
                </c:pt>
                <c:pt idx="21">
                  <c:v>53.18</c:v>
                </c:pt>
                <c:pt idx="22">
                  <c:v>58.68</c:v>
                </c:pt>
                <c:pt idx="23">
                  <c:v>64.02</c:v>
                </c:pt>
                <c:pt idx="24">
                  <c:v>55.68</c:v>
                </c:pt>
                <c:pt idx="25">
                  <c:v>43.76</c:v>
                </c:pt>
                <c:pt idx="26">
                  <c:v>42.44</c:v>
                </c:pt>
                <c:pt idx="27">
                  <c:v>42.94</c:v>
                </c:pt>
                <c:pt idx="28">
                  <c:v>34.53</c:v>
                </c:pt>
                <c:pt idx="29">
                  <c:v>23.41</c:v>
                </c:pt>
                <c:pt idx="30">
                  <c:v>24.22</c:v>
                </c:pt>
                <c:pt idx="31">
                  <c:v>24.53</c:v>
                </c:pt>
                <c:pt idx="32">
                  <c:v>31.99</c:v>
                </c:pt>
                <c:pt idx="33">
                  <c:v>76.72</c:v>
                </c:pt>
                <c:pt idx="34">
                  <c:v>68.209999999999994</c:v>
                </c:pt>
                <c:pt idx="35">
                  <c:v>72.97</c:v>
                </c:pt>
                <c:pt idx="36">
                  <c:v>64.430000000000007</c:v>
                </c:pt>
                <c:pt idx="37">
                  <c:v>71.430000000000007</c:v>
                </c:pt>
                <c:pt idx="38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BB-F540-BAF5-47C8655D5E88}"/>
            </c:ext>
          </c:extLst>
        </c:ser>
        <c:ser>
          <c:idx val="8"/>
          <c:order val="8"/>
          <c:tx>
            <c:strRef>
              <c:f>'19'!$J$1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'19'!$J$2:$J$40</c:f>
              <c:numCache>
                <c:formatCode>General</c:formatCode>
                <c:ptCount val="39"/>
                <c:pt idx="0">
                  <c:v>983</c:v>
                </c:pt>
                <c:pt idx="1">
                  <c:v>1008</c:v>
                </c:pt>
                <c:pt idx="2">
                  <c:v>1126</c:v>
                </c:pt>
                <c:pt idx="3">
                  <c:v>957</c:v>
                </c:pt>
                <c:pt idx="4">
                  <c:v>835</c:v>
                </c:pt>
                <c:pt idx="5">
                  <c:v>1093</c:v>
                </c:pt>
                <c:pt idx="6">
                  <c:v>1229</c:v>
                </c:pt>
                <c:pt idx="7">
                  <c:v>835</c:v>
                </c:pt>
                <c:pt idx="8">
                  <c:v>1082</c:v>
                </c:pt>
                <c:pt idx="9">
                  <c:v>1168</c:v>
                </c:pt>
                <c:pt idx="10">
                  <c:v>1140</c:v>
                </c:pt>
                <c:pt idx="11">
                  <c:v>1712</c:v>
                </c:pt>
                <c:pt idx="12">
                  <c:v>1017</c:v>
                </c:pt>
                <c:pt idx="13">
                  <c:v>1431</c:v>
                </c:pt>
                <c:pt idx="14">
                  <c:v>1520</c:v>
                </c:pt>
                <c:pt idx="15">
                  <c:v>1532</c:v>
                </c:pt>
                <c:pt idx="16">
                  <c:v>1181</c:v>
                </c:pt>
                <c:pt idx="17">
                  <c:v>1753</c:v>
                </c:pt>
                <c:pt idx="18">
                  <c:v>1579</c:v>
                </c:pt>
                <c:pt idx="19">
                  <c:v>1603</c:v>
                </c:pt>
                <c:pt idx="20">
                  <c:v>1545</c:v>
                </c:pt>
                <c:pt idx="21">
                  <c:v>1725</c:v>
                </c:pt>
                <c:pt idx="22">
                  <c:v>2024</c:v>
                </c:pt>
                <c:pt idx="23">
                  <c:v>1042</c:v>
                </c:pt>
                <c:pt idx="24">
                  <c:v>1364</c:v>
                </c:pt>
                <c:pt idx="25">
                  <c:v>1801</c:v>
                </c:pt>
                <c:pt idx="26">
                  <c:v>1995</c:v>
                </c:pt>
                <c:pt idx="27">
                  <c:v>1253</c:v>
                </c:pt>
                <c:pt idx="28">
                  <c:v>1290</c:v>
                </c:pt>
                <c:pt idx="29">
                  <c:v>1643</c:v>
                </c:pt>
                <c:pt idx="30">
                  <c:v>2292</c:v>
                </c:pt>
                <c:pt idx="31">
                  <c:v>1368</c:v>
                </c:pt>
                <c:pt idx="32">
                  <c:v>1597</c:v>
                </c:pt>
                <c:pt idx="33">
                  <c:v>1684</c:v>
                </c:pt>
                <c:pt idx="34">
                  <c:v>2962</c:v>
                </c:pt>
                <c:pt idx="35">
                  <c:v>1912</c:v>
                </c:pt>
                <c:pt idx="36">
                  <c:v>1894</c:v>
                </c:pt>
                <c:pt idx="37">
                  <c:v>1898</c:v>
                </c:pt>
                <c:pt idx="38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88256"/>
        <c:axId val="80689792"/>
      </c:lineChart>
      <c:lineChart>
        <c:grouping val="standard"/>
        <c:varyColors val="0"/>
        <c:ser>
          <c:idx val="5"/>
          <c:order val="5"/>
          <c:tx>
            <c:strRef>
              <c:f>'19'!$G$1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'19'!$G$2:$G$40</c:f>
              <c:numCache>
                <c:formatCode>General</c:formatCode>
                <c:ptCount val="39"/>
                <c:pt idx="0">
                  <c:v>13.66</c:v>
                </c:pt>
                <c:pt idx="1">
                  <c:v>24.19</c:v>
                </c:pt>
                <c:pt idx="2">
                  <c:v>20.79</c:v>
                </c:pt>
                <c:pt idx="3">
                  <c:v>29.29</c:v>
                </c:pt>
                <c:pt idx="4">
                  <c:v>25.01</c:v>
                </c:pt>
                <c:pt idx="5">
                  <c:v>27.87</c:v>
                </c:pt>
                <c:pt idx="6">
                  <c:v>19.489999999999998</c:v>
                </c:pt>
                <c:pt idx="7">
                  <c:v>19.59</c:v>
                </c:pt>
                <c:pt idx="8">
                  <c:v>22.38</c:v>
                </c:pt>
                <c:pt idx="9">
                  <c:v>25.59</c:v>
                </c:pt>
                <c:pt idx="10">
                  <c:v>26.97</c:v>
                </c:pt>
                <c:pt idx="11">
                  <c:v>17.63</c:v>
                </c:pt>
                <c:pt idx="12">
                  <c:v>20.09</c:v>
                </c:pt>
                <c:pt idx="13">
                  <c:v>23.6</c:v>
                </c:pt>
                <c:pt idx="14">
                  <c:v>24.99</c:v>
                </c:pt>
                <c:pt idx="15">
                  <c:v>33.06</c:v>
                </c:pt>
                <c:pt idx="16">
                  <c:v>27.61</c:v>
                </c:pt>
                <c:pt idx="17">
                  <c:v>26.5</c:v>
                </c:pt>
                <c:pt idx="18">
                  <c:v>30.04</c:v>
                </c:pt>
                <c:pt idx="19">
                  <c:v>21.7</c:v>
                </c:pt>
                <c:pt idx="20">
                  <c:v>32.28</c:v>
                </c:pt>
                <c:pt idx="21">
                  <c:v>30.68</c:v>
                </c:pt>
                <c:pt idx="22">
                  <c:v>29.18</c:v>
                </c:pt>
                <c:pt idx="23">
                  <c:v>13.14</c:v>
                </c:pt>
                <c:pt idx="24">
                  <c:v>33.229999999999997</c:v>
                </c:pt>
                <c:pt idx="25">
                  <c:v>29.25</c:v>
                </c:pt>
                <c:pt idx="26">
                  <c:v>29.03</c:v>
                </c:pt>
                <c:pt idx="27">
                  <c:v>18.18</c:v>
                </c:pt>
                <c:pt idx="28">
                  <c:v>26.69</c:v>
                </c:pt>
                <c:pt idx="29">
                  <c:v>27.62</c:v>
                </c:pt>
                <c:pt idx="30">
                  <c:v>22.05</c:v>
                </c:pt>
                <c:pt idx="31">
                  <c:v>25.48</c:v>
                </c:pt>
                <c:pt idx="32">
                  <c:v>27.61</c:v>
                </c:pt>
                <c:pt idx="33">
                  <c:v>28.15</c:v>
                </c:pt>
                <c:pt idx="34">
                  <c:v>28.63</c:v>
                </c:pt>
                <c:pt idx="35">
                  <c:v>20.84</c:v>
                </c:pt>
                <c:pt idx="36">
                  <c:v>37.03</c:v>
                </c:pt>
                <c:pt idx="37">
                  <c:v>27.81</c:v>
                </c:pt>
                <c:pt idx="38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BB-F540-BAF5-47C8655D5E88}"/>
            </c:ext>
          </c:extLst>
        </c:ser>
        <c:ser>
          <c:idx val="6"/>
          <c:order val="6"/>
          <c:tx>
            <c:strRef>
              <c:f>'19'!$H$1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'19'!$A$2:$A$40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'19'!$H$2:$H$40</c:f>
              <c:numCache>
                <c:formatCode>General</c:formatCode>
                <c:ptCount val="39"/>
                <c:pt idx="0">
                  <c:v>8.5500000000000007</c:v>
                </c:pt>
                <c:pt idx="1">
                  <c:v>14.64</c:v>
                </c:pt>
                <c:pt idx="2">
                  <c:v>9.2899999999999991</c:v>
                </c:pt>
                <c:pt idx="3">
                  <c:v>17.260000000000002</c:v>
                </c:pt>
                <c:pt idx="4">
                  <c:v>13.68</c:v>
                </c:pt>
                <c:pt idx="5">
                  <c:v>16.55</c:v>
                </c:pt>
                <c:pt idx="6">
                  <c:v>10.8</c:v>
                </c:pt>
                <c:pt idx="7">
                  <c:v>12.71</c:v>
                </c:pt>
                <c:pt idx="8">
                  <c:v>8.3000000000000007</c:v>
                </c:pt>
                <c:pt idx="9">
                  <c:v>15.91</c:v>
                </c:pt>
                <c:pt idx="10">
                  <c:v>15.89</c:v>
                </c:pt>
                <c:pt idx="11">
                  <c:v>9.01</c:v>
                </c:pt>
                <c:pt idx="12">
                  <c:v>11.7</c:v>
                </c:pt>
                <c:pt idx="13">
                  <c:v>12.21</c:v>
                </c:pt>
                <c:pt idx="14">
                  <c:v>14.18</c:v>
                </c:pt>
                <c:pt idx="15">
                  <c:v>18.95</c:v>
                </c:pt>
                <c:pt idx="16">
                  <c:v>15.84</c:v>
                </c:pt>
                <c:pt idx="17">
                  <c:v>16.43</c:v>
                </c:pt>
                <c:pt idx="18">
                  <c:v>17.739999999999998</c:v>
                </c:pt>
                <c:pt idx="19">
                  <c:v>12.46</c:v>
                </c:pt>
                <c:pt idx="20">
                  <c:v>16.579999999999998</c:v>
                </c:pt>
                <c:pt idx="21">
                  <c:v>14.15</c:v>
                </c:pt>
                <c:pt idx="22">
                  <c:v>15.67</c:v>
                </c:pt>
                <c:pt idx="23">
                  <c:v>26.12</c:v>
                </c:pt>
                <c:pt idx="24">
                  <c:v>39.85</c:v>
                </c:pt>
                <c:pt idx="25">
                  <c:v>18.010000000000002</c:v>
                </c:pt>
                <c:pt idx="26">
                  <c:v>17.62</c:v>
                </c:pt>
                <c:pt idx="27">
                  <c:v>53.74</c:v>
                </c:pt>
                <c:pt idx="28">
                  <c:v>114.63</c:v>
                </c:pt>
                <c:pt idx="29">
                  <c:v>19.54</c:v>
                </c:pt>
                <c:pt idx="30">
                  <c:v>22.79</c:v>
                </c:pt>
                <c:pt idx="31">
                  <c:v>9.35</c:v>
                </c:pt>
                <c:pt idx="32">
                  <c:v>16.690000000000001</c:v>
                </c:pt>
                <c:pt idx="33">
                  <c:v>24.83</c:v>
                </c:pt>
                <c:pt idx="34">
                  <c:v>15.78</c:v>
                </c:pt>
                <c:pt idx="35">
                  <c:v>21.25</c:v>
                </c:pt>
                <c:pt idx="36">
                  <c:v>9.1300000000000008</c:v>
                </c:pt>
                <c:pt idx="37">
                  <c:v>30.33</c:v>
                </c:pt>
                <c:pt idx="38">
                  <c:v>25.68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BB-F540-BAF5-47C8655D5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600"/>
        <c:axId val="80712064"/>
      </c:lineChart>
      <c:catAx>
        <c:axId val="806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9792"/>
        <c:crosses val="autoZero"/>
        <c:auto val="1"/>
        <c:lblAlgn val="ctr"/>
        <c:lblOffset val="100"/>
        <c:tickMarkSkip val="1"/>
        <c:noMultiLvlLbl val="0"/>
      </c:catAx>
      <c:valAx>
        <c:axId val="8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688256"/>
        <c:crosses val="autoZero"/>
        <c:crossBetween val="between"/>
      </c:valAx>
      <c:valAx>
        <c:axId val="80712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13600"/>
        <c:crosses val="max"/>
        <c:crossBetween val="between"/>
      </c:valAx>
      <c:catAx>
        <c:axId val="8071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712064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'19'!$K$2:$K$39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7.1428571428571286E-2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0.13333333333333347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5.5555555555555608E-2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0.15789473684210525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0.13636363636363635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0.12000000000000011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0.10714285714285703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0.12903225806451607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A-C543-8B18-6557D358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38944"/>
        <c:axId val="80818560"/>
      </c:lineChart>
      <c:catAx>
        <c:axId val="807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818560"/>
        <c:crosses val="autoZero"/>
        <c:auto val="1"/>
        <c:lblAlgn val="ctr"/>
        <c:lblOffset val="100"/>
        <c:tickMarkSkip val="1"/>
        <c:noMultiLvlLbl val="0"/>
      </c:catAx>
      <c:valAx>
        <c:axId val="808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073894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fear plan'!$V$1</c:f>
              <c:strCache>
                <c:ptCount val="1"/>
                <c:pt idx="0">
                  <c:v>코스피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plan'!$U$2:$U$497</c:f>
              <c:strCache>
                <c:ptCount val="496"/>
                <c:pt idx="0">
                  <c:v>2022년 7월</c:v>
                </c:pt>
                <c:pt idx="1">
                  <c:v>2022년 6월</c:v>
                </c:pt>
                <c:pt idx="2">
                  <c:v>2022년 5월</c:v>
                </c:pt>
                <c:pt idx="3">
                  <c:v>2022년 4월</c:v>
                </c:pt>
                <c:pt idx="4">
                  <c:v>2022년 3월</c:v>
                </c:pt>
                <c:pt idx="5">
                  <c:v>2022년 2월</c:v>
                </c:pt>
                <c:pt idx="6">
                  <c:v>2022년 1월</c:v>
                </c:pt>
                <c:pt idx="7">
                  <c:v>2021년 12월</c:v>
                </c:pt>
                <c:pt idx="8">
                  <c:v>2021년 11월</c:v>
                </c:pt>
                <c:pt idx="9">
                  <c:v>2021년 10월</c:v>
                </c:pt>
                <c:pt idx="10">
                  <c:v>2021년 9월</c:v>
                </c:pt>
                <c:pt idx="11">
                  <c:v>2021년 8월</c:v>
                </c:pt>
                <c:pt idx="12">
                  <c:v>2021년 7월</c:v>
                </c:pt>
                <c:pt idx="13">
                  <c:v>2021년 6월</c:v>
                </c:pt>
                <c:pt idx="14">
                  <c:v>2021년 5월</c:v>
                </c:pt>
                <c:pt idx="15">
                  <c:v>2021년 4월</c:v>
                </c:pt>
                <c:pt idx="16">
                  <c:v>2021년 3월</c:v>
                </c:pt>
                <c:pt idx="17">
                  <c:v>2021년 2월</c:v>
                </c:pt>
                <c:pt idx="18">
                  <c:v>2021년 1월</c:v>
                </c:pt>
                <c:pt idx="19">
                  <c:v>2020년 12월</c:v>
                </c:pt>
                <c:pt idx="20">
                  <c:v>2020년 11월</c:v>
                </c:pt>
                <c:pt idx="21">
                  <c:v>2020년 10월</c:v>
                </c:pt>
                <c:pt idx="22">
                  <c:v>2020년 9월</c:v>
                </c:pt>
                <c:pt idx="23">
                  <c:v>2020년 8월</c:v>
                </c:pt>
                <c:pt idx="24">
                  <c:v>2020년 7월</c:v>
                </c:pt>
                <c:pt idx="25">
                  <c:v>2020년 6월</c:v>
                </c:pt>
                <c:pt idx="26">
                  <c:v>2020년 5월</c:v>
                </c:pt>
                <c:pt idx="27">
                  <c:v>2020년 4월</c:v>
                </c:pt>
                <c:pt idx="28">
                  <c:v>2020년 3월</c:v>
                </c:pt>
                <c:pt idx="29">
                  <c:v>2020년 2월</c:v>
                </c:pt>
                <c:pt idx="30">
                  <c:v>2020년 1월</c:v>
                </c:pt>
                <c:pt idx="31">
                  <c:v>2019년 12월</c:v>
                </c:pt>
                <c:pt idx="32">
                  <c:v>2019년 11월</c:v>
                </c:pt>
                <c:pt idx="33">
                  <c:v>2019년 10월</c:v>
                </c:pt>
                <c:pt idx="34">
                  <c:v>2019년 9월</c:v>
                </c:pt>
                <c:pt idx="35">
                  <c:v>2019년 8월</c:v>
                </c:pt>
                <c:pt idx="36">
                  <c:v>2019년 7월</c:v>
                </c:pt>
                <c:pt idx="37">
                  <c:v>2019년 6월</c:v>
                </c:pt>
                <c:pt idx="38">
                  <c:v>2019년 5월</c:v>
                </c:pt>
                <c:pt idx="39">
                  <c:v>2019년 4월</c:v>
                </c:pt>
                <c:pt idx="40">
                  <c:v>2019년 3월</c:v>
                </c:pt>
                <c:pt idx="41">
                  <c:v>2019년 2월</c:v>
                </c:pt>
                <c:pt idx="42">
                  <c:v>2019년 1월</c:v>
                </c:pt>
                <c:pt idx="43">
                  <c:v>2018년 12월</c:v>
                </c:pt>
                <c:pt idx="44">
                  <c:v>2018년 11월</c:v>
                </c:pt>
                <c:pt idx="45">
                  <c:v>2018년 10월</c:v>
                </c:pt>
                <c:pt idx="46">
                  <c:v>2018년 9월</c:v>
                </c:pt>
                <c:pt idx="47">
                  <c:v>2018년 8월</c:v>
                </c:pt>
                <c:pt idx="48">
                  <c:v>2018년 7월</c:v>
                </c:pt>
                <c:pt idx="49">
                  <c:v>2018년 6월</c:v>
                </c:pt>
                <c:pt idx="50">
                  <c:v>2018년 5월</c:v>
                </c:pt>
                <c:pt idx="51">
                  <c:v>2018년 4월</c:v>
                </c:pt>
                <c:pt idx="52">
                  <c:v>2018년 3월</c:v>
                </c:pt>
                <c:pt idx="53">
                  <c:v>2018년 2월</c:v>
                </c:pt>
                <c:pt idx="54">
                  <c:v>2018년 1월</c:v>
                </c:pt>
                <c:pt idx="55">
                  <c:v>2017년 12월</c:v>
                </c:pt>
                <c:pt idx="56">
                  <c:v>2017년 11월</c:v>
                </c:pt>
                <c:pt idx="57">
                  <c:v>2017년 10월</c:v>
                </c:pt>
                <c:pt idx="58">
                  <c:v>2017년 9월</c:v>
                </c:pt>
                <c:pt idx="59">
                  <c:v>2017년 8월</c:v>
                </c:pt>
                <c:pt idx="60">
                  <c:v>2017년 7월</c:v>
                </c:pt>
                <c:pt idx="61">
                  <c:v>2017년 6월</c:v>
                </c:pt>
                <c:pt idx="62">
                  <c:v>2017년 5월</c:v>
                </c:pt>
                <c:pt idx="63">
                  <c:v>2017년 4월</c:v>
                </c:pt>
                <c:pt idx="64">
                  <c:v>2017년 3월</c:v>
                </c:pt>
                <c:pt idx="65">
                  <c:v>2017년 2월</c:v>
                </c:pt>
                <c:pt idx="66">
                  <c:v>2017년 1월</c:v>
                </c:pt>
                <c:pt idx="67">
                  <c:v>2016년 12월</c:v>
                </c:pt>
                <c:pt idx="68">
                  <c:v>2016년 11월</c:v>
                </c:pt>
                <c:pt idx="69">
                  <c:v>2016년 10월</c:v>
                </c:pt>
                <c:pt idx="70">
                  <c:v>2016년 9월</c:v>
                </c:pt>
                <c:pt idx="71">
                  <c:v>2016년 8월</c:v>
                </c:pt>
                <c:pt idx="72">
                  <c:v>2016년 7월</c:v>
                </c:pt>
                <c:pt idx="73">
                  <c:v>2016년 6월</c:v>
                </c:pt>
                <c:pt idx="74">
                  <c:v>2016년 5월</c:v>
                </c:pt>
                <c:pt idx="75">
                  <c:v>2016년 4월</c:v>
                </c:pt>
                <c:pt idx="76">
                  <c:v>2016년 3월</c:v>
                </c:pt>
                <c:pt idx="77">
                  <c:v>2016년 2월</c:v>
                </c:pt>
                <c:pt idx="78">
                  <c:v>2016년 1월</c:v>
                </c:pt>
                <c:pt idx="79">
                  <c:v>2015년 12월</c:v>
                </c:pt>
                <c:pt idx="80">
                  <c:v>2015년 11월</c:v>
                </c:pt>
                <c:pt idx="81">
                  <c:v>2015년 10월</c:v>
                </c:pt>
                <c:pt idx="82">
                  <c:v>2015년 9월</c:v>
                </c:pt>
                <c:pt idx="83">
                  <c:v>2015년 8월</c:v>
                </c:pt>
                <c:pt idx="84">
                  <c:v>2015년 7월</c:v>
                </c:pt>
                <c:pt idx="85">
                  <c:v>2015년 6월</c:v>
                </c:pt>
                <c:pt idx="86">
                  <c:v>2015년 5월</c:v>
                </c:pt>
                <c:pt idx="87">
                  <c:v>2015년 4월</c:v>
                </c:pt>
                <c:pt idx="88">
                  <c:v>2015년 3월</c:v>
                </c:pt>
                <c:pt idx="89">
                  <c:v>2015년 2월</c:v>
                </c:pt>
                <c:pt idx="90">
                  <c:v>2015년 1월</c:v>
                </c:pt>
                <c:pt idx="91">
                  <c:v>2014년 12월</c:v>
                </c:pt>
                <c:pt idx="92">
                  <c:v>2014년 11월</c:v>
                </c:pt>
                <c:pt idx="93">
                  <c:v>2014년 10월</c:v>
                </c:pt>
                <c:pt idx="94">
                  <c:v>2014년 9월</c:v>
                </c:pt>
                <c:pt idx="95">
                  <c:v>2014년 8월</c:v>
                </c:pt>
                <c:pt idx="96">
                  <c:v>2014년 7월</c:v>
                </c:pt>
                <c:pt idx="97">
                  <c:v>2014년 6월</c:v>
                </c:pt>
                <c:pt idx="98">
                  <c:v>2014년 5월</c:v>
                </c:pt>
                <c:pt idx="99">
                  <c:v>2014년 4월</c:v>
                </c:pt>
                <c:pt idx="100">
                  <c:v>2014년 3월</c:v>
                </c:pt>
                <c:pt idx="101">
                  <c:v>2014년 2월</c:v>
                </c:pt>
                <c:pt idx="102">
                  <c:v>2014년 1월</c:v>
                </c:pt>
                <c:pt idx="103">
                  <c:v>2013년 12월</c:v>
                </c:pt>
                <c:pt idx="104">
                  <c:v>2013년 11월</c:v>
                </c:pt>
                <c:pt idx="105">
                  <c:v>2013년 10월</c:v>
                </c:pt>
                <c:pt idx="106">
                  <c:v>2013년 9월</c:v>
                </c:pt>
                <c:pt idx="107">
                  <c:v>2013년 8월</c:v>
                </c:pt>
                <c:pt idx="108">
                  <c:v>2013년 7월</c:v>
                </c:pt>
                <c:pt idx="109">
                  <c:v>2013년 6월</c:v>
                </c:pt>
                <c:pt idx="110">
                  <c:v>2013년 5월</c:v>
                </c:pt>
                <c:pt idx="111">
                  <c:v>2013년 4월</c:v>
                </c:pt>
                <c:pt idx="112">
                  <c:v>2013년 3월</c:v>
                </c:pt>
                <c:pt idx="113">
                  <c:v>2013년 2월</c:v>
                </c:pt>
                <c:pt idx="114">
                  <c:v>2013년 1월</c:v>
                </c:pt>
                <c:pt idx="115">
                  <c:v>2012년 12월</c:v>
                </c:pt>
                <c:pt idx="116">
                  <c:v>2012년 11월</c:v>
                </c:pt>
                <c:pt idx="117">
                  <c:v>2012년 10월</c:v>
                </c:pt>
                <c:pt idx="118">
                  <c:v>2012년 9월</c:v>
                </c:pt>
                <c:pt idx="119">
                  <c:v>2012년 8월</c:v>
                </c:pt>
                <c:pt idx="120">
                  <c:v>2012년 7월</c:v>
                </c:pt>
                <c:pt idx="121">
                  <c:v>2012년 6월</c:v>
                </c:pt>
                <c:pt idx="122">
                  <c:v>2012년 5월</c:v>
                </c:pt>
                <c:pt idx="123">
                  <c:v>2012년 4월</c:v>
                </c:pt>
                <c:pt idx="124">
                  <c:v>2012년 3월</c:v>
                </c:pt>
                <c:pt idx="125">
                  <c:v>2012년 2월</c:v>
                </c:pt>
                <c:pt idx="126">
                  <c:v>2012년 1월</c:v>
                </c:pt>
                <c:pt idx="127">
                  <c:v>2011년 12월</c:v>
                </c:pt>
                <c:pt idx="128">
                  <c:v>2011년 11월</c:v>
                </c:pt>
                <c:pt idx="129">
                  <c:v>2011년 10월</c:v>
                </c:pt>
                <c:pt idx="130">
                  <c:v>2011년 9월</c:v>
                </c:pt>
                <c:pt idx="131">
                  <c:v>2011년 8월</c:v>
                </c:pt>
                <c:pt idx="132">
                  <c:v>2011년 7월</c:v>
                </c:pt>
                <c:pt idx="133">
                  <c:v>2011년 6월</c:v>
                </c:pt>
                <c:pt idx="134">
                  <c:v>2011년 5월</c:v>
                </c:pt>
                <c:pt idx="135">
                  <c:v>2011년 4월</c:v>
                </c:pt>
                <c:pt idx="136">
                  <c:v>2011년 3월</c:v>
                </c:pt>
                <c:pt idx="137">
                  <c:v>2011년 2월</c:v>
                </c:pt>
                <c:pt idx="138">
                  <c:v>2011년 1월</c:v>
                </c:pt>
                <c:pt idx="139">
                  <c:v>2010년 12월</c:v>
                </c:pt>
                <c:pt idx="140">
                  <c:v>2010년 11월</c:v>
                </c:pt>
                <c:pt idx="141">
                  <c:v>2010년 10월</c:v>
                </c:pt>
                <c:pt idx="142">
                  <c:v>2010년 9월</c:v>
                </c:pt>
                <c:pt idx="143">
                  <c:v>2010년 8월</c:v>
                </c:pt>
                <c:pt idx="144">
                  <c:v>2010년 7월</c:v>
                </c:pt>
                <c:pt idx="145">
                  <c:v>2010년 6월</c:v>
                </c:pt>
                <c:pt idx="146">
                  <c:v>2010년 5월</c:v>
                </c:pt>
                <c:pt idx="147">
                  <c:v>2010년 4월</c:v>
                </c:pt>
                <c:pt idx="148">
                  <c:v>2010년 3월</c:v>
                </c:pt>
                <c:pt idx="149">
                  <c:v>2010년 2월</c:v>
                </c:pt>
                <c:pt idx="150">
                  <c:v>2010년 1월</c:v>
                </c:pt>
                <c:pt idx="151">
                  <c:v>2009년 12월</c:v>
                </c:pt>
                <c:pt idx="152">
                  <c:v>2009년 11월</c:v>
                </c:pt>
                <c:pt idx="153">
                  <c:v>2009년 10월</c:v>
                </c:pt>
                <c:pt idx="154">
                  <c:v>2009년 9월</c:v>
                </c:pt>
                <c:pt idx="155">
                  <c:v>2009년 8월</c:v>
                </c:pt>
                <c:pt idx="156">
                  <c:v>2009년 7월</c:v>
                </c:pt>
                <c:pt idx="157">
                  <c:v>2009년 6월</c:v>
                </c:pt>
                <c:pt idx="158">
                  <c:v>2009년 5월</c:v>
                </c:pt>
                <c:pt idx="159">
                  <c:v>2009년 4월</c:v>
                </c:pt>
                <c:pt idx="160">
                  <c:v>2009년 3월</c:v>
                </c:pt>
                <c:pt idx="161">
                  <c:v>2009년 2월</c:v>
                </c:pt>
                <c:pt idx="162">
                  <c:v>2009년 1월</c:v>
                </c:pt>
                <c:pt idx="163">
                  <c:v>2008년 12월</c:v>
                </c:pt>
                <c:pt idx="164">
                  <c:v>2008년 11월</c:v>
                </c:pt>
                <c:pt idx="165">
                  <c:v>2008년 10월</c:v>
                </c:pt>
                <c:pt idx="166">
                  <c:v>2008년 9월</c:v>
                </c:pt>
                <c:pt idx="167">
                  <c:v>2008년 8월</c:v>
                </c:pt>
                <c:pt idx="168">
                  <c:v>2008년 7월</c:v>
                </c:pt>
                <c:pt idx="169">
                  <c:v>2008년 6월</c:v>
                </c:pt>
                <c:pt idx="170">
                  <c:v>2008년 5월</c:v>
                </c:pt>
                <c:pt idx="171">
                  <c:v>2008년 4월</c:v>
                </c:pt>
                <c:pt idx="172">
                  <c:v>2008년 3월</c:v>
                </c:pt>
                <c:pt idx="173">
                  <c:v>2008년 2월</c:v>
                </c:pt>
                <c:pt idx="174">
                  <c:v>2008년 1월</c:v>
                </c:pt>
                <c:pt idx="175">
                  <c:v>2007년 12월</c:v>
                </c:pt>
                <c:pt idx="176">
                  <c:v>2007년 11월</c:v>
                </c:pt>
                <c:pt idx="177">
                  <c:v>2007년 10월</c:v>
                </c:pt>
                <c:pt idx="178">
                  <c:v>2007년 9월</c:v>
                </c:pt>
                <c:pt idx="179">
                  <c:v>2007년 8월</c:v>
                </c:pt>
                <c:pt idx="180">
                  <c:v>2007년 7월</c:v>
                </c:pt>
                <c:pt idx="181">
                  <c:v>2007년 6월</c:v>
                </c:pt>
                <c:pt idx="182">
                  <c:v>2007년 5월</c:v>
                </c:pt>
                <c:pt idx="183">
                  <c:v>2007년 4월</c:v>
                </c:pt>
                <c:pt idx="184">
                  <c:v>2007년 3월</c:v>
                </c:pt>
                <c:pt idx="185">
                  <c:v>2007년 2월</c:v>
                </c:pt>
                <c:pt idx="186">
                  <c:v>2007년 1월</c:v>
                </c:pt>
                <c:pt idx="187">
                  <c:v>2006년 12월</c:v>
                </c:pt>
                <c:pt idx="188">
                  <c:v>2006년 11월</c:v>
                </c:pt>
                <c:pt idx="189">
                  <c:v>2006년 10월</c:v>
                </c:pt>
                <c:pt idx="190">
                  <c:v>2006년 9월</c:v>
                </c:pt>
                <c:pt idx="191">
                  <c:v>2006년 8월</c:v>
                </c:pt>
                <c:pt idx="192">
                  <c:v>2006년 7월</c:v>
                </c:pt>
                <c:pt idx="193">
                  <c:v>2006년 6월</c:v>
                </c:pt>
                <c:pt idx="194">
                  <c:v>2006년 5월</c:v>
                </c:pt>
                <c:pt idx="195">
                  <c:v>2006년 4월</c:v>
                </c:pt>
                <c:pt idx="196">
                  <c:v>2006년 3월</c:v>
                </c:pt>
                <c:pt idx="197">
                  <c:v>2006년 2월</c:v>
                </c:pt>
                <c:pt idx="198">
                  <c:v>2006년 1월</c:v>
                </c:pt>
                <c:pt idx="199">
                  <c:v>2005년 12월</c:v>
                </c:pt>
                <c:pt idx="200">
                  <c:v>2005년 11월</c:v>
                </c:pt>
                <c:pt idx="201">
                  <c:v>2005년 10월</c:v>
                </c:pt>
                <c:pt idx="202">
                  <c:v>2005년 9월</c:v>
                </c:pt>
                <c:pt idx="203">
                  <c:v>2005년 8월</c:v>
                </c:pt>
                <c:pt idx="204">
                  <c:v>2005년 7월</c:v>
                </c:pt>
                <c:pt idx="205">
                  <c:v>2005년 6월</c:v>
                </c:pt>
                <c:pt idx="206">
                  <c:v>2005년 5월</c:v>
                </c:pt>
                <c:pt idx="207">
                  <c:v>2005년 4월</c:v>
                </c:pt>
                <c:pt idx="208">
                  <c:v>2005년 3월</c:v>
                </c:pt>
                <c:pt idx="209">
                  <c:v>2005년 2월</c:v>
                </c:pt>
                <c:pt idx="210">
                  <c:v>2005년 1월</c:v>
                </c:pt>
                <c:pt idx="211">
                  <c:v>2004년 12월</c:v>
                </c:pt>
                <c:pt idx="212">
                  <c:v>2004년 11월</c:v>
                </c:pt>
                <c:pt idx="213">
                  <c:v>2004년 10월</c:v>
                </c:pt>
                <c:pt idx="214">
                  <c:v>2004년 9월</c:v>
                </c:pt>
                <c:pt idx="215">
                  <c:v>2004년 8월</c:v>
                </c:pt>
                <c:pt idx="216">
                  <c:v>2004년 7월</c:v>
                </c:pt>
                <c:pt idx="217">
                  <c:v>2004년 6월</c:v>
                </c:pt>
                <c:pt idx="218">
                  <c:v>2004년 5월</c:v>
                </c:pt>
                <c:pt idx="219">
                  <c:v>2004년 4월</c:v>
                </c:pt>
                <c:pt idx="220">
                  <c:v>2004년 3월</c:v>
                </c:pt>
                <c:pt idx="221">
                  <c:v>2004년 2월</c:v>
                </c:pt>
                <c:pt idx="222">
                  <c:v>2004년 1월</c:v>
                </c:pt>
                <c:pt idx="223">
                  <c:v>2003년 12월</c:v>
                </c:pt>
                <c:pt idx="224">
                  <c:v>2003년 11월</c:v>
                </c:pt>
                <c:pt idx="225">
                  <c:v>2003년 10월</c:v>
                </c:pt>
                <c:pt idx="226">
                  <c:v>2003년 9월</c:v>
                </c:pt>
                <c:pt idx="227">
                  <c:v>2003년 8월</c:v>
                </c:pt>
                <c:pt idx="228">
                  <c:v>2003년 7월</c:v>
                </c:pt>
                <c:pt idx="229">
                  <c:v>2003년 6월</c:v>
                </c:pt>
                <c:pt idx="230">
                  <c:v>2003년 5월</c:v>
                </c:pt>
                <c:pt idx="231">
                  <c:v>2003년 4월</c:v>
                </c:pt>
                <c:pt idx="232">
                  <c:v>2003년 3월</c:v>
                </c:pt>
                <c:pt idx="233">
                  <c:v>2003년 2월</c:v>
                </c:pt>
                <c:pt idx="234">
                  <c:v>2003년 1월</c:v>
                </c:pt>
                <c:pt idx="235">
                  <c:v>2002년 12월</c:v>
                </c:pt>
                <c:pt idx="236">
                  <c:v>2002년 11월</c:v>
                </c:pt>
                <c:pt idx="237">
                  <c:v>2002년 10월</c:v>
                </c:pt>
                <c:pt idx="238">
                  <c:v>2002년 9월</c:v>
                </c:pt>
                <c:pt idx="239">
                  <c:v>2002년 8월</c:v>
                </c:pt>
                <c:pt idx="240">
                  <c:v>2002년 7월</c:v>
                </c:pt>
                <c:pt idx="241">
                  <c:v>2002년 6월</c:v>
                </c:pt>
                <c:pt idx="242">
                  <c:v>2002년 5월</c:v>
                </c:pt>
                <c:pt idx="243">
                  <c:v>2002년 4월</c:v>
                </c:pt>
                <c:pt idx="244">
                  <c:v>2002년 3월</c:v>
                </c:pt>
                <c:pt idx="245">
                  <c:v>2002년 2월</c:v>
                </c:pt>
                <c:pt idx="246">
                  <c:v>2002년 1월</c:v>
                </c:pt>
                <c:pt idx="247">
                  <c:v>2001년 12월</c:v>
                </c:pt>
                <c:pt idx="248">
                  <c:v>2001년 11월</c:v>
                </c:pt>
                <c:pt idx="249">
                  <c:v>2001년 10월</c:v>
                </c:pt>
                <c:pt idx="250">
                  <c:v>2001년 9월</c:v>
                </c:pt>
                <c:pt idx="251">
                  <c:v>2001년 8월</c:v>
                </c:pt>
                <c:pt idx="252">
                  <c:v>2001년 7월</c:v>
                </c:pt>
                <c:pt idx="253">
                  <c:v>2001년 6월</c:v>
                </c:pt>
                <c:pt idx="254">
                  <c:v>2001년 5월</c:v>
                </c:pt>
                <c:pt idx="255">
                  <c:v>2001년 4월</c:v>
                </c:pt>
                <c:pt idx="256">
                  <c:v>2001년 3월</c:v>
                </c:pt>
                <c:pt idx="257">
                  <c:v>2001년 2월</c:v>
                </c:pt>
                <c:pt idx="258">
                  <c:v>2001년 1월</c:v>
                </c:pt>
                <c:pt idx="259">
                  <c:v>2000년 12월</c:v>
                </c:pt>
                <c:pt idx="260">
                  <c:v>2000년 11월</c:v>
                </c:pt>
                <c:pt idx="261">
                  <c:v>2000년 10월</c:v>
                </c:pt>
                <c:pt idx="262">
                  <c:v>2000년 9월</c:v>
                </c:pt>
                <c:pt idx="263">
                  <c:v>2000년 8월</c:v>
                </c:pt>
                <c:pt idx="264">
                  <c:v>2000년 7월</c:v>
                </c:pt>
                <c:pt idx="265">
                  <c:v>2000년 6월</c:v>
                </c:pt>
                <c:pt idx="266">
                  <c:v>2000년 5월</c:v>
                </c:pt>
                <c:pt idx="267">
                  <c:v>2000년 4월</c:v>
                </c:pt>
                <c:pt idx="268">
                  <c:v>2000년 3월</c:v>
                </c:pt>
                <c:pt idx="269">
                  <c:v>2000년 2월</c:v>
                </c:pt>
                <c:pt idx="270">
                  <c:v>2000년 1월</c:v>
                </c:pt>
                <c:pt idx="271">
                  <c:v>1999년 12월</c:v>
                </c:pt>
                <c:pt idx="272">
                  <c:v>1999년 11월</c:v>
                </c:pt>
                <c:pt idx="273">
                  <c:v>1999년 10월</c:v>
                </c:pt>
                <c:pt idx="274">
                  <c:v>1999년 9월</c:v>
                </c:pt>
                <c:pt idx="275">
                  <c:v>1999년 8월</c:v>
                </c:pt>
                <c:pt idx="276">
                  <c:v>1999년 7월</c:v>
                </c:pt>
                <c:pt idx="277">
                  <c:v>1999년 6월</c:v>
                </c:pt>
                <c:pt idx="278">
                  <c:v>1999년 5월</c:v>
                </c:pt>
                <c:pt idx="279">
                  <c:v>1999년 4월</c:v>
                </c:pt>
                <c:pt idx="280">
                  <c:v>1999년 3월</c:v>
                </c:pt>
                <c:pt idx="281">
                  <c:v>1999년 2월</c:v>
                </c:pt>
                <c:pt idx="282">
                  <c:v>1999년 1월</c:v>
                </c:pt>
                <c:pt idx="283">
                  <c:v>1998년 12월</c:v>
                </c:pt>
                <c:pt idx="284">
                  <c:v>1998년 11월</c:v>
                </c:pt>
                <c:pt idx="285">
                  <c:v>1998년 10월</c:v>
                </c:pt>
                <c:pt idx="286">
                  <c:v>1998년 9월</c:v>
                </c:pt>
                <c:pt idx="287">
                  <c:v>1998년 8월</c:v>
                </c:pt>
                <c:pt idx="288">
                  <c:v>1998년 7월</c:v>
                </c:pt>
                <c:pt idx="289">
                  <c:v>1998년 6월</c:v>
                </c:pt>
                <c:pt idx="290">
                  <c:v>1998년 5월</c:v>
                </c:pt>
                <c:pt idx="291">
                  <c:v>1998년 4월</c:v>
                </c:pt>
                <c:pt idx="292">
                  <c:v>1998년 3월</c:v>
                </c:pt>
                <c:pt idx="293">
                  <c:v>1998년 2월</c:v>
                </c:pt>
                <c:pt idx="294">
                  <c:v>1998년 1월</c:v>
                </c:pt>
                <c:pt idx="295">
                  <c:v>1997년 12월</c:v>
                </c:pt>
                <c:pt idx="296">
                  <c:v>1997년 11월</c:v>
                </c:pt>
                <c:pt idx="297">
                  <c:v>1997년 10월</c:v>
                </c:pt>
                <c:pt idx="298">
                  <c:v>1997년 9월</c:v>
                </c:pt>
                <c:pt idx="299">
                  <c:v>1997년 8월</c:v>
                </c:pt>
                <c:pt idx="300">
                  <c:v>1997년 7월</c:v>
                </c:pt>
                <c:pt idx="301">
                  <c:v>1997년 6월</c:v>
                </c:pt>
                <c:pt idx="302">
                  <c:v>1997년 5월</c:v>
                </c:pt>
                <c:pt idx="303">
                  <c:v>1997년 4월</c:v>
                </c:pt>
                <c:pt idx="304">
                  <c:v>1997년 3월</c:v>
                </c:pt>
                <c:pt idx="305">
                  <c:v>1997년 2월</c:v>
                </c:pt>
                <c:pt idx="306">
                  <c:v>1997년 1월</c:v>
                </c:pt>
                <c:pt idx="307">
                  <c:v>1996년 12월</c:v>
                </c:pt>
                <c:pt idx="308">
                  <c:v>1996년 11월</c:v>
                </c:pt>
                <c:pt idx="309">
                  <c:v>1996년 10월</c:v>
                </c:pt>
                <c:pt idx="310">
                  <c:v>1996년 9월</c:v>
                </c:pt>
                <c:pt idx="311">
                  <c:v>1996년 8월</c:v>
                </c:pt>
                <c:pt idx="312">
                  <c:v>1996년 7월</c:v>
                </c:pt>
                <c:pt idx="313">
                  <c:v>1996년 6월</c:v>
                </c:pt>
                <c:pt idx="314">
                  <c:v>1996년 5월</c:v>
                </c:pt>
                <c:pt idx="315">
                  <c:v>1996년 4월</c:v>
                </c:pt>
                <c:pt idx="316">
                  <c:v>1996년 3월</c:v>
                </c:pt>
                <c:pt idx="317">
                  <c:v>1996년 2월</c:v>
                </c:pt>
                <c:pt idx="318">
                  <c:v>1996년 1월</c:v>
                </c:pt>
                <c:pt idx="319">
                  <c:v>1995년 12월</c:v>
                </c:pt>
                <c:pt idx="320">
                  <c:v>1995년 11월</c:v>
                </c:pt>
                <c:pt idx="321">
                  <c:v>1995년 10월</c:v>
                </c:pt>
                <c:pt idx="322">
                  <c:v>1995년 9월</c:v>
                </c:pt>
                <c:pt idx="323">
                  <c:v>1995년 8월</c:v>
                </c:pt>
                <c:pt idx="324">
                  <c:v>1995년 7월</c:v>
                </c:pt>
                <c:pt idx="325">
                  <c:v>1995년 6월</c:v>
                </c:pt>
                <c:pt idx="326">
                  <c:v>1995년 5월</c:v>
                </c:pt>
                <c:pt idx="327">
                  <c:v>1995년 4월</c:v>
                </c:pt>
                <c:pt idx="328">
                  <c:v>1995년 3월</c:v>
                </c:pt>
                <c:pt idx="329">
                  <c:v>1995년 2월</c:v>
                </c:pt>
                <c:pt idx="330">
                  <c:v>1995년 1월</c:v>
                </c:pt>
                <c:pt idx="331">
                  <c:v>1994년 12월</c:v>
                </c:pt>
                <c:pt idx="332">
                  <c:v>1994년 11월</c:v>
                </c:pt>
                <c:pt idx="333">
                  <c:v>1994년 10월</c:v>
                </c:pt>
                <c:pt idx="334">
                  <c:v>1994년 9월</c:v>
                </c:pt>
                <c:pt idx="335">
                  <c:v>1994년 8월</c:v>
                </c:pt>
                <c:pt idx="336">
                  <c:v>1994년 7월</c:v>
                </c:pt>
                <c:pt idx="337">
                  <c:v>1994년 6월</c:v>
                </c:pt>
                <c:pt idx="338">
                  <c:v>1994년 5월</c:v>
                </c:pt>
                <c:pt idx="339">
                  <c:v>1994년 4월</c:v>
                </c:pt>
                <c:pt idx="340">
                  <c:v>1994년 3월</c:v>
                </c:pt>
                <c:pt idx="341">
                  <c:v>1994년 2월</c:v>
                </c:pt>
                <c:pt idx="342">
                  <c:v>1994년 1월</c:v>
                </c:pt>
                <c:pt idx="343">
                  <c:v>1993년 12월</c:v>
                </c:pt>
                <c:pt idx="344">
                  <c:v>1993년 11월</c:v>
                </c:pt>
                <c:pt idx="345">
                  <c:v>1993년 10월</c:v>
                </c:pt>
                <c:pt idx="346">
                  <c:v>1993년 9월</c:v>
                </c:pt>
                <c:pt idx="347">
                  <c:v>1993년 8월</c:v>
                </c:pt>
                <c:pt idx="348">
                  <c:v>1993년 7월</c:v>
                </c:pt>
                <c:pt idx="349">
                  <c:v>1993년 6월</c:v>
                </c:pt>
                <c:pt idx="350">
                  <c:v>1993년 5월</c:v>
                </c:pt>
                <c:pt idx="351">
                  <c:v>1993년 4월</c:v>
                </c:pt>
                <c:pt idx="352">
                  <c:v>1993년 3월</c:v>
                </c:pt>
                <c:pt idx="353">
                  <c:v>1993년 2월</c:v>
                </c:pt>
                <c:pt idx="354">
                  <c:v>1993년 1월</c:v>
                </c:pt>
                <c:pt idx="355">
                  <c:v>1992년 12월</c:v>
                </c:pt>
                <c:pt idx="356">
                  <c:v>1992년 11월</c:v>
                </c:pt>
                <c:pt idx="357">
                  <c:v>1992년 10월</c:v>
                </c:pt>
                <c:pt idx="358">
                  <c:v>1992년 9월</c:v>
                </c:pt>
                <c:pt idx="359">
                  <c:v>1992년 8월</c:v>
                </c:pt>
                <c:pt idx="360">
                  <c:v>1992년 7월</c:v>
                </c:pt>
                <c:pt idx="361">
                  <c:v>1992년 6월</c:v>
                </c:pt>
                <c:pt idx="362">
                  <c:v>1992년 5월</c:v>
                </c:pt>
                <c:pt idx="363">
                  <c:v>1992년 4월</c:v>
                </c:pt>
                <c:pt idx="364">
                  <c:v>1992년 3월</c:v>
                </c:pt>
                <c:pt idx="365">
                  <c:v>1992년 2월</c:v>
                </c:pt>
                <c:pt idx="366">
                  <c:v>1992년 1월</c:v>
                </c:pt>
                <c:pt idx="367">
                  <c:v>1991년 12월</c:v>
                </c:pt>
                <c:pt idx="368">
                  <c:v>1991년 11월</c:v>
                </c:pt>
                <c:pt idx="369">
                  <c:v>1991년 10월</c:v>
                </c:pt>
                <c:pt idx="370">
                  <c:v>1991년 9월</c:v>
                </c:pt>
                <c:pt idx="371">
                  <c:v>1991년 8월</c:v>
                </c:pt>
                <c:pt idx="372">
                  <c:v>1991년 7월</c:v>
                </c:pt>
                <c:pt idx="373">
                  <c:v>1991년 6월</c:v>
                </c:pt>
                <c:pt idx="374">
                  <c:v>1991년 5월</c:v>
                </c:pt>
                <c:pt idx="375">
                  <c:v>1991년 4월</c:v>
                </c:pt>
                <c:pt idx="376">
                  <c:v>1991년 3월</c:v>
                </c:pt>
                <c:pt idx="377">
                  <c:v>1991년 2월</c:v>
                </c:pt>
                <c:pt idx="378">
                  <c:v>1991년 1월</c:v>
                </c:pt>
                <c:pt idx="379">
                  <c:v>1990년 12월</c:v>
                </c:pt>
                <c:pt idx="380">
                  <c:v>1990년 11월</c:v>
                </c:pt>
                <c:pt idx="381">
                  <c:v>1990년 10월</c:v>
                </c:pt>
                <c:pt idx="382">
                  <c:v>1990년 9월</c:v>
                </c:pt>
                <c:pt idx="383">
                  <c:v>1990년 8월</c:v>
                </c:pt>
                <c:pt idx="384">
                  <c:v>1990년 7월</c:v>
                </c:pt>
                <c:pt idx="385">
                  <c:v>1990년 6월</c:v>
                </c:pt>
                <c:pt idx="386">
                  <c:v>1990년 5월</c:v>
                </c:pt>
                <c:pt idx="387">
                  <c:v>1990년 4월</c:v>
                </c:pt>
                <c:pt idx="388">
                  <c:v>1990년 3월</c:v>
                </c:pt>
                <c:pt idx="389">
                  <c:v>1990년 2월</c:v>
                </c:pt>
                <c:pt idx="390">
                  <c:v>1990년 1월</c:v>
                </c:pt>
                <c:pt idx="391">
                  <c:v>1989년 12월</c:v>
                </c:pt>
                <c:pt idx="392">
                  <c:v>1989년 11월</c:v>
                </c:pt>
                <c:pt idx="393">
                  <c:v>1989년 10월</c:v>
                </c:pt>
                <c:pt idx="394">
                  <c:v>1989년 9월</c:v>
                </c:pt>
                <c:pt idx="395">
                  <c:v>1989년 8월</c:v>
                </c:pt>
                <c:pt idx="396">
                  <c:v>1989년 7월</c:v>
                </c:pt>
                <c:pt idx="397">
                  <c:v>1989년 6월</c:v>
                </c:pt>
                <c:pt idx="398">
                  <c:v>1989년 5월</c:v>
                </c:pt>
                <c:pt idx="399">
                  <c:v>1989년 4월</c:v>
                </c:pt>
                <c:pt idx="400">
                  <c:v>1989년 3월</c:v>
                </c:pt>
                <c:pt idx="401">
                  <c:v>1989년 2월</c:v>
                </c:pt>
                <c:pt idx="402">
                  <c:v>1989년 1월</c:v>
                </c:pt>
                <c:pt idx="403">
                  <c:v>1988년 12월</c:v>
                </c:pt>
                <c:pt idx="404">
                  <c:v>1988년 11월</c:v>
                </c:pt>
                <c:pt idx="405">
                  <c:v>1988년 10월</c:v>
                </c:pt>
                <c:pt idx="406">
                  <c:v>1988년 9월</c:v>
                </c:pt>
                <c:pt idx="407">
                  <c:v>1988년 8월</c:v>
                </c:pt>
                <c:pt idx="408">
                  <c:v>1988년 7월</c:v>
                </c:pt>
                <c:pt idx="409">
                  <c:v>1988년 6월</c:v>
                </c:pt>
                <c:pt idx="410">
                  <c:v>1988년 5월</c:v>
                </c:pt>
                <c:pt idx="411">
                  <c:v>1988년 4월</c:v>
                </c:pt>
                <c:pt idx="412">
                  <c:v>1988년 3월</c:v>
                </c:pt>
                <c:pt idx="413">
                  <c:v>1988년 2월</c:v>
                </c:pt>
                <c:pt idx="414">
                  <c:v>1988년 1월</c:v>
                </c:pt>
                <c:pt idx="415">
                  <c:v>1987년 12월</c:v>
                </c:pt>
                <c:pt idx="416">
                  <c:v>1987년 11월</c:v>
                </c:pt>
                <c:pt idx="417">
                  <c:v>1987년 10월</c:v>
                </c:pt>
                <c:pt idx="418">
                  <c:v>1987년 9월</c:v>
                </c:pt>
                <c:pt idx="419">
                  <c:v>1987년 8월</c:v>
                </c:pt>
                <c:pt idx="420">
                  <c:v>1987년 7월</c:v>
                </c:pt>
                <c:pt idx="421">
                  <c:v>1987년 6월</c:v>
                </c:pt>
                <c:pt idx="422">
                  <c:v>1987년 5월</c:v>
                </c:pt>
                <c:pt idx="423">
                  <c:v>1987년 4월</c:v>
                </c:pt>
                <c:pt idx="424">
                  <c:v>1987년 3월</c:v>
                </c:pt>
                <c:pt idx="425">
                  <c:v>1987년 2월</c:v>
                </c:pt>
                <c:pt idx="426">
                  <c:v>1987년 1월</c:v>
                </c:pt>
                <c:pt idx="427">
                  <c:v>1986년 12월</c:v>
                </c:pt>
                <c:pt idx="428">
                  <c:v>1986년 11월</c:v>
                </c:pt>
                <c:pt idx="429">
                  <c:v>1986년 10월</c:v>
                </c:pt>
                <c:pt idx="430">
                  <c:v>1986년 9월</c:v>
                </c:pt>
                <c:pt idx="431">
                  <c:v>1986년 8월</c:v>
                </c:pt>
                <c:pt idx="432">
                  <c:v>1986년 7월</c:v>
                </c:pt>
                <c:pt idx="433">
                  <c:v>1986년 6월</c:v>
                </c:pt>
                <c:pt idx="434">
                  <c:v>1986년 5월</c:v>
                </c:pt>
                <c:pt idx="435">
                  <c:v>1986년 4월</c:v>
                </c:pt>
                <c:pt idx="436">
                  <c:v>1986년 3월</c:v>
                </c:pt>
                <c:pt idx="437">
                  <c:v>1986년 2월</c:v>
                </c:pt>
                <c:pt idx="438">
                  <c:v>1986년 1월</c:v>
                </c:pt>
                <c:pt idx="439">
                  <c:v>1985년 12월</c:v>
                </c:pt>
                <c:pt idx="440">
                  <c:v>1985년 11월</c:v>
                </c:pt>
                <c:pt idx="441">
                  <c:v>1985년 10월</c:v>
                </c:pt>
                <c:pt idx="442">
                  <c:v>1985년 9월</c:v>
                </c:pt>
                <c:pt idx="443">
                  <c:v>1985년 8월</c:v>
                </c:pt>
                <c:pt idx="444">
                  <c:v>1985년 7월</c:v>
                </c:pt>
                <c:pt idx="445">
                  <c:v>1985년 6월</c:v>
                </c:pt>
                <c:pt idx="446">
                  <c:v>1985년 5월</c:v>
                </c:pt>
                <c:pt idx="447">
                  <c:v>1985년 4월</c:v>
                </c:pt>
                <c:pt idx="448">
                  <c:v>1985년 3월</c:v>
                </c:pt>
                <c:pt idx="449">
                  <c:v>1985년 2월</c:v>
                </c:pt>
                <c:pt idx="450">
                  <c:v>1985년 1월</c:v>
                </c:pt>
                <c:pt idx="451">
                  <c:v>1984년 12월</c:v>
                </c:pt>
                <c:pt idx="452">
                  <c:v>1984년 11월</c:v>
                </c:pt>
                <c:pt idx="453">
                  <c:v>1984년 10월</c:v>
                </c:pt>
                <c:pt idx="454">
                  <c:v>1984년 9월</c:v>
                </c:pt>
                <c:pt idx="455">
                  <c:v>1984년 8월</c:v>
                </c:pt>
                <c:pt idx="456">
                  <c:v>1984년 7월</c:v>
                </c:pt>
                <c:pt idx="457">
                  <c:v>1984년 6월</c:v>
                </c:pt>
                <c:pt idx="458">
                  <c:v>1984년 5월</c:v>
                </c:pt>
                <c:pt idx="459">
                  <c:v>1984년 4월</c:v>
                </c:pt>
                <c:pt idx="460">
                  <c:v>1984년 3월</c:v>
                </c:pt>
                <c:pt idx="461">
                  <c:v>1984년 2월</c:v>
                </c:pt>
                <c:pt idx="462">
                  <c:v>1984년 1월</c:v>
                </c:pt>
                <c:pt idx="463">
                  <c:v>1983년 12월</c:v>
                </c:pt>
                <c:pt idx="464">
                  <c:v>1983년 11월</c:v>
                </c:pt>
                <c:pt idx="465">
                  <c:v>1983년 10월</c:v>
                </c:pt>
                <c:pt idx="466">
                  <c:v>1983년 9월</c:v>
                </c:pt>
                <c:pt idx="467">
                  <c:v>1983년 8월</c:v>
                </c:pt>
                <c:pt idx="468">
                  <c:v>1983년 7월</c:v>
                </c:pt>
                <c:pt idx="469">
                  <c:v>1983년 6월</c:v>
                </c:pt>
                <c:pt idx="470">
                  <c:v>1983년 5월</c:v>
                </c:pt>
                <c:pt idx="471">
                  <c:v>1983년 4월</c:v>
                </c:pt>
                <c:pt idx="472">
                  <c:v>1983년 3월</c:v>
                </c:pt>
                <c:pt idx="473">
                  <c:v>1983년 2월</c:v>
                </c:pt>
                <c:pt idx="474">
                  <c:v>1983년 1월</c:v>
                </c:pt>
                <c:pt idx="475">
                  <c:v>1982년 12월</c:v>
                </c:pt>
                <c:pt idx="476">
                  <c:v>1982년 11월</c:v>
                </c:pt>
                <c:pt idx="477">
                  <c:v>1982년 10월</c:v>
                </c:pt>
                <c:pt idx="478">
                  <c:v>1982년 9월</c:v>
                </c:pt>
                <c:pt idx="479">
                  <c:v>1982년 8월</c:v>
                </c:pt>
                <c:pt idx="480">
                  <c:v>1982년 7월</c:v>
                </c:pt>
                <c:pt idx="481">
                  <c:v>1982년 6월</c:v>
                </c:pt>
                <c:pt idx="482">
                  <c:v>1982년 5월</c:v>
                </c:pt>
                <c:pt idx="483">
                  <c:v>1982년 4월</c:v>
                </c:pt>
                <c:pt idx="484">
                  <c:v>1982년 3월</c:v>
                </c:pt>
                <c:pt idx="485">
                  <c:v>1982년 2월</c:v>
                </c:pt>
                <c:pt idx="486">
                  <c:v>1982년 1월</c:v>
                </c:pt>
                <c:pt idx="487">
                  <c:v>1981년 12월</c:v>
                </c:pt>
                <c:pt idx="488">
                  <c:v>1981년 11월</c:v>
                </c:pt>
                <c:pt idx="489">
                  <c:v>1981년 10월</c:v>
                </c:pt>
                <c:pt idx="490">
                  <c:v>1981년 9월</c:v>
                </c:pt>
                <c:pt idx="491">
                  <c:v>1981년 8월</c:v>
                </c:pt>
                <c:pt idx="492">
                  <c:v>1981년 7월</c:v>
                </c:pt>
                <c:pt idx="493">
                  <c:v>1981년 6월</c:v>
                </c:pt>
                <c:pt idx="494">
                  <c:v>1981년 5월</c:v>
                </c:pt>
                <c:pt idx="495">
                  <c:v>1981년 4월</c:v>
                </c:pt>
              </c:strCache>
            </c:strRef>
          </c:cat>
          <c:val>
            <c:numRef>
              <c:f>'4 fear plan'!$V$2:$V$497</c:f>
              <c:numCache>
                <c:formatCode>#,##0.00</c:formatCode>
                <c:ptCount val="496"/>
                <c:pt idx="0">
                  <c:v>2480.88</c:v>
                </c:pt>
                <c:pt idx="1">
                  <c:v>2451.5</c:v>
                </c:pt>
                <c:pt idx="2">
                  <c:v>2332.64</c:v>
                </c:pt>
                <c:pt idx="3">
                  <c:v>2685.9</c:v>
                </c:pt>
                <c:pt idx="4">
                  <c:v>2695.05</c:v>
                </c:pt>
                <c:pt idx="5">
                  <c:v>2757.65</c:v>
                </c:pt>
                <c:pt idx="6">
                  <c:v>2699.18</c:v>
                </c:pt>
                <c:pt idx="7">
                  <c:v>2663.34</c:v>
                </c:pt>
                <c:pt idx="8">
                  <c:v>2977.65</c:v>
                </c:pt>
                <c:pt idx="9">
                  <c:v>2839.01</c:v>
                </c:pt>
                <c:pt idx="10">
                  <c:v>2970.68</c:v>
                </c:pt>
                <c:pt idx="11">
                  <c:v>3068.82</c:v>
                </c:pt>
                <c:pt idx="12">
                  <c:v>3199.27</c:v>
                </c:pt>
                <c:pt idx="13">
                  <c:v>3202.32</c:v>
                </c:pt>
                <c:pt idx="14">
                  <c:v>3296.68</c:v>
                </c:pt>
                <c:pt idx="15">
                  <c:v>3203.92</c:v>
                </c:pt>
                <c:pt idx="16">
                  <c:v>3147.86</c:v>
                </c:pt>
                <c:pt idx="17">
                  <c:v>3061.42</c:v>
                </c:pt>
                <c:pt idx="18">
                  <c:v>3012.95</c:v>
                </c:pt>
                <c:pt idx="19">
                  <c:v>2976.21</c:v>
                </c:pt>
                <c:pt idx="20">
                  <c:v>2873.47</c:v>
                </c:pt>
                <c:pt idx="21">
                  <c:v>2591.34</c:v>
                </c:pt>
                <c:pt idx="22">
                  <c:v>2267.15</c:v>
                </c:pt>
                <c:pt idx="23">
                  <c:v>2327.89</c:v>
                </c:pt>
                <c:pt idx="24">
                  <c:v>2326.17</c:v>
                </c:pt>
                <c:pt idx="25">
                  <c:v>2249.37</c:v>
                </c:pt>
                <c:pt idx="26">
                  <c:v>2108.33</c:v>
                </c:pt>
                <c:pt idx="27">
                  <c:v>2029.6</c:v>
                </c:pt>
                <c:pt idx="28">
                  <c:v>1947.56</c:v>
                </c:pt>
                <c:pt idx="29">
                  <c:v>1754.64</c:v>
                </c:pt>
                <c:pt idx="30">
                  <c:v>1987.01</c:v>
                </c:pt>
                <c:pt idx="31">
                  <c:v>2119.0100000000002</c:v>
                </c:pt>
                <c:pt idx="32">
                  <c:v>2197.67</c:v>
                </c:pt>
                <c:pt idx="33">
                  <c:v>2087.96</c:v>
                </c:pt>
                <c:pt idx="34">
                  <c:v>2083.48</c:v>
                </c:pt>
                <c:pt idx="35">
                  <c:v>2063.0500000000002</c:v>
                </c:pt>
                <c:pt idx="36">
                  <c:v>1967.79</c:v>
                </c:pt>
                <c:pt idx="37">
                  <c:v>2024.55</c:v>
                </c:pt>
                <c:pt idx="38">
                  <c:v>2130.62</c:v>
                </c:pt>
                <c:pt idx="39">
                  <c:v>2041.74</c:v>
                </c:pt>
                <c:pt idx="40">
                  <c:v>2203.59</c:v>
                </c:pt>
                <c:pt idx="41">
                  <c:v>2140.67</c:v>
                </c:pt>
                <c:pt idx="42">
                  <c:v>2195.44</c:v>
                </c:pt>
                <c:pt idx="43">
                  <c:v>2204.85</c:v>
                </c:pt>
                <c:pt idx="44">
                  <c:v>2041.04</c:v>
                </c:pt>
                <c:pt idx="45">
                  <c:v>2096.86</c:v>
                </c:pt>
                <c:pt idx="46">
                  <c:v>2029.69</c:v>
                </c:pt>
                <c:pt idx="47">
                  <c:v>2343.0700000000002</c:v>
                </c:pt>
                <c:pt idx="48">
                  <c:v>2322.88</c:v>
                </c:pt>
                <c:pt idx="49">
                  <c:v>2295.2600000000002</c:v>
                </c:pt>
                <c:pt idx="50">
                  <c:v>2326.13</c:v>
                </c:pt>
                <c:pt idx="51">
                  <c:v>2423.0100000000002</c:v>
                </c:pt>
                <c:pt idx="52">
                  <c:v>2515.38</c:v>
                </c:pt>
                <c:pt idx="53">
                  <c:v>2445.85</c:v>
                </c:pt>
                <c:pt idx="54">
                  <c:v>2427.36</c:v>
                </c:pt>
                <c:pt idx="55">
                  <c:v>2566.46</c:v>
                </c:pt>
                <c:pt idx="56">
                  <c:v>2467.4899999999998</c:v>
                </c:pt>
                <c:pt idx="57">
                  <c:v>2476.37</c:v>
                </c:pt>
                <c:pt idx="58">
                  <c:v>2523.4299999999998</c:v>
                </c:pt>
                <c:pt idx="59">
                  <c:v>2394.4699999999998</c:v>
                </c:pt>
                <c:pt idx="60">
                  <c:v>2363.19</c:v>
                </c:pt>
                <c:pt idx="61">
                  <c:v>2402.71</c:v>
                </c:pt>
                <c:pt idx="62">
                  <c:v>2391.79</c:v>
                </c:pt>
                <c:pt idx="63">
                  <c:v>2347.38</c:v>
                </c:pt>
                <c:pt idx="64">
                  <c:v>2205.44</c:v>
                </c:pt>
                <c:pt idx="65">
                  <c:v>2160.23</c:v>
                </c:pt>
                <c:pt idx="66">
                  <c:v>2091.64</c:v>
                </c:pt>
                <c:pt idx="67">
                  <c:v>2067.5700000000002</c:v>
                </c:pt>
                <c:pt idx="68">
                  <c:v>2026.46</c:v>
                </c:pt>
                <c:pt idx="69">
                  <c:v>1983.48</c:v>
                </c:pt>
                <c:pt idx="70">
                  <c:v>2008.19</c:v>
                </c:pt>
                <c:pt idx="71">
                  <c:v>2043.63</c:v>
                </c:pt>
                <c:pt idx="72">
                  <c:v>2034.65</c:v>
                </c:pt>
                <c:pt idx="73">
                  <c:v>2016.19</c:v>
                </c:pt>
                <c:pt idx="74">
                  <c:v>1970.35</c:v>
                </c:pt>
                <c:pt idx="75">
                  <c:v>1983.4</c:v>
                </c:pt>
                <c:pt idx="76">
                  <c:v>1994.15</c:v>
                </c:pt>
                <c:pt idx="77">
                  <c:v>1995.85</c:v>
                </c:pt>
                <c:pt idx="78">
                  <c:v>1916.66</c:v>
                </c:pt>
                <c:pt idx="79">
                  <c:v>1912.06</c:v>
                </c:pt>
                <c:pt idx="80">
                  <c:v>1961.31</c:v>
                </c:pt>
                <c:pt idx="81">
                  <c:v>1991.97</c:v>
                </c:pt>
                <c:pt idx="82">
                  <c:v>2029.47</c:v>
                </c:pt>
                <c:pt idx="83">
                  <c:v>1962.81</c:v>
                </c:pt>
                <c:pt idx="84">
                  <c:v>1941.49</c:v>
                </c:pt>
                <c:pt idx="85">
                  <c:v>2030.16</c:v>
                </c:pt>
                <c:pt idx="86">
                  <c:v>2074.1999999999998</c:v>
                </c:pt>
                <c:pt idx="87">
                  <c:v>2114.8000000000002</c:v>
                </c:pt>
                <c:pt idx="88">
                  <c:v>2127.17</c:v>
                </c:pt>
                <c:pt idx="89">
                  <c:v>2041.03</c:v>
                </c:pt>
                <c:pt idx="90">
                  <c:v>1985.8</c:v>
                </c:pt>
                <c:pt idx="91">
                  <c:v>1949.26</c:v>
                </c:pt>
                <c:pt idx="92">
                  <c:v>1915.59</c:v>
                </c:pt>
                <c:pt idx="93">
                  <c:v>1980.78</c:v>
                </c:pt>
                <c:pt idx="94">
                  <c:v>1964.43</c:v>
                </c:pt>
                <c:pt idx="95">
                  <c:v>2020.09</c:v>
                </c:pt>
                <c:pt idx="96">
                  <c:v>2068.54</c:v>
                </c:pt>
                <c:pt idx="97">
                  <c:v>2076.12</c:v>
                </c:pt>
                <c:pt idx="98">
                  <c:v>2002.21</c:v>
                </c:pt>
                <c:pt idx="99">
                  <c:v>1994.96</c:v>
                </c:pt>
                <c:pt idx="100">
                  <c:v>1961.79</c:v>
                </c:pt>
                <c:pt idx="101">
                  <c:v>1985.61</c:v>
                </c:pt>
                <c:pt idx="102">
                  <c:v>1979.99</c:v>
                </c:pt>
                <c:pt idx="103">
                  <c:v>1941.15</c:v>
                </c:pt>
                <c:pt idx="104">
                  <c:v>2011.34</c:v>
                </c:pt>
                <c:pt idx="105">
                  <c:v>2044.87</c:v>
                </c:pt>
                <c:pt idx="106">
                  <c:v>2030.09</c:v>
                </c:pt>
                <c:pt idx="107">
                  <c:v>1996.96</c:v>
                </c:pt>
                <c:pt idx="108">
                  <c:v>1926.36</c:v>
                </c:pt>
                <c:pt idx="109">
                  <c:v>1914.03</c:v>
                </c:pt>
                <c:pt idx="110">
                  <c:v>1863.32</c:v>
                </c:pt>
                <c:pt idx="111">
                  <c:v>2001.05</c:v>
                </c:pt>
                <c:pt idx="112">
                  <c:v>1963.95</c:v>
                </c:pt>
                <c:pt idx="113">
                  <c:v>2004.89</c:v>
                </c:pt>
                <c:pt idx="114">
                  <c:v>2026.49</c:v>
                </c:pt>
                <c:pt idx="115">
                  <c:v>1961.94</c:v>
                </c:pt>
                <c:pt idx="116">
                  <c:v>1997.05</c:v>
                </c:pt>
                <c:pt idx="117">
                  <c:v>1932.9</c:v>
                </c:pt>
                <c:pt idx="118">
                  <c:v>1912.06</c:v>
                </c:pt>
                <c:pt idx="119">
                  <c:v>1996.21</c:v>
                </c:pt>
                <c:pt idx="120">
                  <c:v>1905.12</c:v>
                </c:pt>
                <c:pt idx="121">
                  <c:v>1881.99</c:v>
                </c:pt>
                <c:pt idx="122">
                  <c:v>1854.01</c:v>
                </c:pt>
                <c:pt idx="123">
                  <c:v>1843.47</c:v>
                </c:pt>
                <c:pt idx="124">
                  <c:v>1981.99</c:v>
                </c:pt>
                <c:pt idx="125">
                  <c:v>2014.04</c:v>
                </c:pt>
                <c:pt idx="126">
                  <c:v>2030.25</c:v>
                </c:pt>
                <c:pt idx="127">
                  <c:v>1955.79</c:v>
                </c:pt>
                <c:pt idx="128">
                  <c:v>1825.74</c:v>
                </c:pt>
                <c:pt idx="129">
                  <c:v>1847.51</c:v>
                </c:pt>
                <c:pt idx="130">
                  <c:v>1909.03</c:v>
                </c:pt>
                <c:pt idx="131">
                  <c:v>1769.65</c:v>
                </c:pt>
                <c:pt idx="132">
                  <c:v>1880.11</c:v>
                </c:pt>
                <c:pt idx="133">
                  <c:v>2133.21</c:v>
                </c:pt>
                <c:pt idx="134">
                  <c:v>2100.69</c:v>
                </c:pt>
                <c:pt idx="135">
                  <c:v>2142.4699999999998</c:v>
                </c:pt>
                <c:pt idx="136">
                  <c:v>2192.36</c:v>
                </c:pt>
                <c:pt idx="137">
                  <c:v>2106.6999999999998</c:v>
                </c:pt>
                <c:pt idx="138">
                  <c:v>1939.3</c:v>
                </c:pt>
                <c:pt idx="139">
                  <c:v>2069.73</c:v>
                </c:pt>
                <c:pt idx="140">
                  <c:v>2051</c:v>
                </c:pt>
                <c:pt idx="141">
                  <c:v>1904.63</c:v>
                </c:pt>
                <c:pt idx="142">
                  <c:v>1882.95</c:v>
                </c:pt>
                <c:pt idx="143">
                  <c:v>1872.81</c:v>
                </c:pt>
                <c:pt idx="144">
                  <c:v>1742.75</c:v>
                </c:pt>
                <c:pt idx="145">
                  <c:v>1759.33</c:v>
                </c:pt>
                <c:pt idx="146">
                  <c:v>1698.29</c:v>
                </c:pt>
                <c:pt idx="147">
                  <c:v>1641.25</c:v>
                </c:pt>
                <c:pt idx="148">
                  <c:v>1741.56</c:v>
                </c:pt>
                <c:pt idx="149">
                  <c:v>1692.85</c:v>
                </c:pt>
                <c:pt idx="150">
                  <c:v>1594.58</c:v>
                </c:pt>
                <c:pt idx="151">
                  <c:v>1602.43</c:v>
                </c:pt>
                <c:pt idx="152">
                  <c:v>1682.77</c:v>
                </c:pt>
                <c:pt idx="153">
                  <c:v>1555.6</c:v>
                </c:pt>
                <c:pt idx="154">
                  <c:v>1580.69</c:v>
                </c:pt>
                <c:pt idx="155">
                  <c:v>1673.14</c:v>
                </c:pt>
                <c:pt idx="156">
                  <c:v>1591.85</c:v>
                </c:pt>
                <c:pt idx="157">
                  <c:v>1557.29</c:v>
                </c:pt>
                <c:pt idx="158">
                  <c:v>1390.07</c:v>
                </c:pt>
                <c:pt idx="159">
                  <c:v>1395.89</c:v>
                </c:pt>
                <c:pt idx="160">
                  <c:v>1369.36</c:v>
                </c:pt>
                <c:pt idx="161">
                  <c:v>1206.26</c:v>
                </c:pt>
                <c:pt idx="162">
                  <c:v>1063.03</c:v>
                </c:pt>
                <c:pt idx="163">
                  <c:v>1162.1099999999999</c:v>
                </c:pt>
                <c:pt idx="164">
                  <c:v>1124.47</c:v>
                </c:pt>
                <c:pt idx="165">
                  <c:v>1076.07</c:v>
                </c:pt>
                <c:pt idx="166">
                  <c:v>1113.06</c:v>
                </c:pt>
                <c:pt idx="167">
                  <c:v>1448.06</c:v>
                </c:pt>
                <c:pt idx="168">
                  <c:v>1474.24</c:v>
                </c:pt>
                <c:pt idx="169">
                  <c:v>1594.67</c:v>
                </c:pt>
                <c:pt idx="170">
                  <c:v>1674.92</c:v>
                </c:pt>
                <c:pt idx="171">
                  <c:v>1852.02</c:v>
                </c:pt>
                <c:pt idx="172">
                  <c:v>1825.47</c:v>
                </c:pt>
                <c:pt idx="173">
                  <c:v>1703.99</c:v>
                </c:pt>
                <c:pt idx="174">
                  <c:v>1711.62</c:v>
                </c:pt>
                <c:pt idx="175">
                  <c:v>1624.68</c:v>
                </c:pt>
                <c:pt idx="176">
                  <c:v>1897.13</c:v>
                </c:pt>
                <c:pt idx="177">
                  <c:v>1906</c:v>
                </c:pt>
                <c:pt idx="178">
                  <c:v>2064.85</c:v>
                </c:pt>
                <c:pt idx="179">
                  <c:v>1946.48</c:v>
                </c:pt>
                <c:pt idx="180">
                  <c:v>1873.24</c:v>
                </c:pt>
                <c:pt idx="181">
                  <c:v>1933.27</c:v>
                </c:pt>
                <c:pt idx="182">
                  <c:v>1743.6</c:v>
                </c:pt>
                <c:pt idx="183">
                  <c:v>1700.91</c:v>
                </c:pt>
                <c:pt idx="184">
                  <c:v>1542.24</c:v>
                </c:pt>
                <c:pt idx="185">
                  <c:v>1452.55</c:v>
                </c:pt>
                <c:pt idx="186">
                  <c:v>1417.34</c:v>
                </c:pt>
                <c:pt idx="187">
                  <c:v>1360.23</c:v>
                </c:pt>
                <c:pt idx="188">
                  <c:v>1434.46</c:v>
                </c:pt>
                <c:pt idx="189">
                  <c:v>1432.21</c:v>
                </c:pt>
                <c:pt idx="190">
                  <c:v>1364.55</c:v>
                </c:pt>
                <c:pt idx="191">
                  <c:v>1371.41</c:v>
                </c:pt>
                <c:pt idx="192">
                  <c:v>1352.74</c:v>
                </c:pt>
                <c:pt idx="193">
                  <c:v>1297.82</c:v>
                </c:pt>
                <c:pt idx="194">
                  <c:v>1295.1500000000001</c:v>
                </c:pt>
                <c:pt idx="195">
                  <c:v>1317.7</c:v>
                </c:pt>
                <c:pt idx="196">
                  <c:v>1419.73</c:v>
                </c:pt>
                <c:pt idx="197">
                  <c:v>1359.6</c:v>
                </c:pt>
                <c:pt idx="198">
                  <c:v>1371.59</c:v>
                </c:pt>
                <c:pt idx="199">
                  <c:v>1399.83</c:v>
                </c:pt>
                <c:pt idx="200">
                  <c:v>1379.37</c:v>
                </c:pt>
                <c:pt idx="201">
                  <c:v>1297.44</c:v>
                </c:pt>
                <c:pt idx="202">
                  <c:v>1158.1099999999999</c:v>
                </c:pt>
                <c:pt idx="203">
                  <c:v>1221.01</c:v>
                </c:pt>
                <c:pt idx="204">
                  <c:v>1083.33</c:v>
                </c:pt>
                <c:pt idx="205">
                  <c:v>1111.29</c:v>
                </c:pt>
                <c:pt idx="206">
                  <c:v>1008.16</c:v>
                </c:pt>
                <c:pt idx="207" formatCode="General">
                  <c:v>970.21</c:v>
                </c:pt>
                <c:pt idx="208" formatCode="General">
                  <c:v>911.3</c:v>
                </c:pt>
                <c:pt idx="209" formatCode="General">
                  <c:v>965.68</c:v>
                </c:pt>
                <c:pt idx="210">
                  <c:v>1011.36</c:v>
                </c:pt>
                <c:pt idx="211" formatCode="General">
                  <c:v>932.7</c:v>
                </c:pt>
                <c:pt idx="212" formatCode="General">
                  <c:v>895.92</c:v>
                </c:pt>
                <c:pt idx="213" formatCode="General">
                  <c:v>878.06</c:v>
                </c:pt>
                <c:pt idx="214" formatCode="General">
                  <c:v>834.84</c:v>
                </c:pt>
                <c:pt idx="215" formatCode="General">
                  <c:v>835.09</c:v>
                </c:pt>
                <c:pt idx="216" formatCode="General">
                  <c:v>803.57</c:v>
                </c:pt>
                <c:pt idx="217" formatCode="General">
                  <c:v>735.34</c:v>
                </c:pt>
                <c:pt idx="218" formatCode="General">
                  <c:v>785.79</c:v>
                </c:pt>
                <c:pt idx="219" formatCode="General">
                  <c:v>803.84</c:v>
                </c:pt>
                <c:pt idx="220" formatCode="General">
                  <c:v>862.84</c:v>
                </c:pt>
                <c:pt idx="221" formatCode="General">
                  <c:v>880.5</c:v>
                </c:pt>
                <c:pt idx="222" formatCode="General">
                  <c:v>883.42</c:v>
                </c:pt>
                <c:pt idx="223" formatCode="General">
                  <c:v>848.5</c:v>
                </c:pt>
                <c:pt idx="224" formatCode="General">
                  <c:v>810.71</c:v>
                </c:pt>
                <c:pt idx="225" formatCode="General">
                  <c:v>796.18</c:v>
                </c:pt>
                <c:pt idx="226" formatCode="General">
                  <c:v>782.36</c:v>
                </c:pt>
                <c:pt idx="227" formatCode="General">
                  <c:v>697.52</c:v>
                </c:pt>
                <c:pt idx="228" formatCode="General">
                  <c:v>759.47</c:v>
                </c:pt>
                <c:pt idx="229" formatCode="General">
                  <c:v>713.52</c:v>
                </c:pt>
                <c:pt idx="230" formatCode="General">
                  <c:v>669.93</c:v>
                </c:pt>
                <c:pt idx="231" formatCode="General">
                  <c:v>633.41999999999996</c:v>
                </c:pt>
                <c:pt idx="232" formatCode="General">
                  <c:v>599.35</c:v>
                </c:pt>
                <c:pt idx="233" formatCode="General">
                  <c:v>535.70000000000005</c:v>
                </c:pt>
                <c:pt idx="234" formatCode="General">
                  <c:v>575.42999999999995</c:v>
                </c:pt>
                <c:pt idx="235" formatCode="General">
                  <c:v>591.86</c:v>
                </c:pt>
                <c:pt idx="236" formatCode="General">
                  <c:v>627.54999999999995</c:v>
                </c:pt>
                <c:pt idx="237" formatCode="General">
                  <c:v>724.8</c:v>
                </c:pt>
                <c:pt idx="238" formatCode="General">
                  <c:v>658.92</c:v>
                </c:pt>
                <c:pt idx="239" formatCode="General">
                  <c:v>646.41999999999996</c:v>
                </c:pt>
                <c:pt idx="240" formatCode="General">
                  <c:v>736.4</c:v>
                </c:pt>
                <c:pt idx="241" formatCode="General">
                  <c:v>717.99</c:v>
                </c:pt>
                <c:pt idx="242" formatCode="General">
                  <c:v>742.72</c:v>
                </c:pt>
                <c:pt idx="243" formatCode="General">
                  <c:v>796.4</c:v>
                </c:pt>
                <c:pt idx="244" formatCode="General">
                  <c:v>842.34</c:v>
                </c:pt>
                <c:pt idx="245" formatCode="General">
                  <c:v>895.58</c:v>
                </c:pt>
                <c:pt idx="246" formatCode="General">
                  <c:v>819.99</c:v>
                </c:pt>
                <c:pt idx="247" formatCode="General">
                  <c:v>748.07</c:v>
                </c:pt>
                <c:pt idx="248" formatCode="General">
                  <c:v>693.7</c:v>
                </c:pt>
                <c:pt idx="249" formatCode="General">
                  <c:v>643.89</c:v>
                </c:pt>
                <c:pt idx="250" formatCode="General">
                  <c:v>537.80999999999995</c:v>
                </c:pt>
                <c:pt idx="251" formatCode="General">
                  <c:v>479.68</c:v>
                </c:pt>
                <c:pt idx="252" formatCode="General">
                  <c:v>545.11</c:v>
                </c:pt>
                <c:pt idx="253" formatCode="General">
                  <c:v>541.54999999999995</c:v>
                </c:pt>
                <c:pt idx="254" formatCode="General">
                  <c:v>595.13</c:v>
                </c:pt>
                <c:pt idx="255" formatCode="General">
                  <c:v>612.16</c:v>
                </c:pt>
                <c:pt idx="256" formatCode="General">
                  <c:v>577.36</c:v>
                </c:pt>
                <c:pt idx="257" formatCode="General">
                  <c:v>523.22</c:v>
                </c:pt>
                <c:pt idx="258" formatCode="General">
                  <c:v>578.1</c:v>
                </c:pt>
                <c:pt idx="259" formatCode="General">
                  <c:v>617.91</c:v>
                </c:pt>
                <c:pt idx="260" formatCode="General">
                  <c:v>504.62</c:v>
                </c:pt>
                <c:pt idx="261" formatCode="General">
                  <c:v>509.23</c:v>
                </c:pt>
                <c:pt idx="262" formatCode="General">
                  <c:v>514.48</c:v>
                </c:pt>
                <c:pt idx="263" formatCode="General">
                  <c:v>613.22</c:v>
                </c:pt>
                <c:pt idx="264" formatCode="General">
                  <c:v>688.62</c:v>
                </c:pt>
                <c:pt idx="265" formatCode="General">
                  <c:v>705.97</c:v>
                </c:pt>
                <c:pt idx="266" formatCode="General">
                  <c:v>821.22</c:v>
                </c:pt>
                <c:pt idx="267" formatCode="General">
                  <c:v>731.88</c:v>
                </c:pt>
                <c:pt idx="268" formatCode="General">
                  <c:v>725.39</c:v>
                </c:pt>
                <c:pt idx="269" formatCode="General">
                  <c:v>860.94</c:v>
                </c:pt>
                <c:pt idx="270" formatCode="General">
                  <c:v>828.38</c:v>
                </c:pt>
                <c:pt idx="271" formatCode="General">
                  <c:v>943.88</c:v>
                </c:pt>
                <c:pt idx="272">
                  <c:v>1028.07</c:v>
                </c:pt>
                <c:pt idx="273" formatCode="General">
                  <c:v>996.66</c:v>
                </c:pt>
                <c:pt idx="274" formatCode="General">
                  <c:v>833.51</c:v>
                </c:pt>
                <c:pt idx="275" formatCode="General">
                  <c:v>836.18</c:v>
                </c:pt>
                <c:pt idx="276" formatCode="General">
                  <c:v>937.88</c:v>
                </c:pt>
                <c:pt idx="277" formatCode="General">
                  <c:v>969.72</c:v>
                </c:pt>
                <c:pt idx="278" formatCode="General">
                  <c:v>883</c:v>
                </c:pt>
                <c:pt idx="279" formatCode="General">
                  <c:v>736.02</c:v>
                </c:pt>
                <c:pt idx="280" formatCode="General">
                  <c:v>752.59</c:v>
                </c:pt>
                <c:pt idx="281" formatCode="General">
                  <c:v>618.98</c:v>
                </c:pt>
                <c:pt idx="282" formatCode="General">
                  <c:v>520.05999999999995</c:v>
                </c:pt>
                <c:pt idx="283" formatCode="General">
                  <c:v>571.42999999999995</c:v>
                </c:pt>
                <c:pt idx="284" formatCode="General">
                  <c:v>562.46</c:v>
                </c:pt>
                <c:pt idx="285" formatCode="General">
                  <c:v>451.88</c:v>
                </c:pt>
                <c:pt idx="286" formatCode="General">
                  <c:v>403.44</c:v>
                </c:pt>
                <c:pt idx="287" formatCode="General">
                  <c:v>310.32</c:v>
                </c:pt>
                <c:pt idx="288" formatCode="General">
                  <c:v>310.16000000000003</c:v>
                </c:pt>
                <c:pt idx="289" formatCode="General">
                  <c:v>343.33</c:v>
                </c:pt>
                <c:pt idx="290" formatCode="General">
                  <c:v>297.88</c:v>
                </c:pt>
                <c:pt idx="291" formatCode="General">
                  <c:v>332.03</c:v>
                </c:pt>
                <c:pt idx="292" formatCode="General">
                  <c:v>421.22</c:v>
                </c:pt>
                <c:pt idx="293" formatCode="General">
                  <c:v>481.04</c:v>
                </c:pt>
                <c:pt idx="294" formatCode="General">
                  <c:v>558.98</c:v>
                </c:pt>
                <c:pt idx="295" formatCode="General">
                  <c:v>567.38</c:v>
                </c:pt>
                <c:pt idx="296" formatCode="General">
                  <c:v>376.31</c:v>
                </c:pt>
                <c:pt idx="297" formatCode="General">
                  <c:v>407.86</c:v>
                </c:pt>
                <c:pt idx="298" formatCode="General">
                  <c:v>470.79</c:v>
                </c:pt>
                <c:pt idx="299" formatCode="General">
                  <c:v>647.11</c:v>
                </c:pt>
                <c:pt idx="300" formatCode="General">
                  <c:v>695.37</c:v>
                </c:pt>
                <c:pt idx="301" formatCode="General">
                  <c:v>726.12</c:v>
                </c:pt>
                <c:pt idx="302" formatCode="General">
                  <c:v>745.4</c:v>
                </c:pt>
                <c:pt idx="303" formatCode="General">
                  <c:v>756.77</c:v>
                </c:pt>
                <c:pt idx="304" formatCode="General">
                  <c:v>703.23</c:v>
                </c:pt>
                <c:pt idx="305" formatCode="General">
                  <c:v>677.34</c:v>
                </c:pt>
                <c:pt idx="306" formatCode="General">
                  <c:v>676.53</c:v>
                </c:pt>
                <c:pt idx="307" formatCode="General">
                  <c:v>685.84</c:v>
                </c:pt>
                <c:pt idx="308" formatCode="General">
                  <c:v>651.22</c:v>
                </c:pt>
                <c:pt idx="309" formatCode="General">
                  <c:v>726.48</c:v>
                </c:pt>
                <c:pt idx="310" formatCode="General">
                  <c:v>757.59</c:v>
                </c:pt>
                <c:pt idx="311" formatCode="General">
                  <c:v>789.67</c:v>
                </c:pt>
                <c:pt idx="312" formatCode="General">
                  <c:v>781.49</c:v>
                </c:pt>
                <c:pt idx="313" formatCode="General">
                  <c:v>821.71</c:v>
                </c:pt>
                <c:pt idx="314" formatCode="General">
                  <c:v>817.43</c:v>
                </c:pt>
                <c:pt idx="315" formatCode="General">
                  <c:v>903.09</c:v>
                </c:pt>
                <c:pt idx="316" formatCode="General">
                  <c:v>980.9</c:v>
                </c:pt>
                <c:pt idx="317" formatCode="General">
                  <c:v>874.16</c:v>
                </c:pt>
                <c:pt idx="318" formatCode="General">
                  <c:v>852.83</c:v>
                </c:pt>
                <c:pt idx="319" formatCode="General">
                  <c:v>878.82</c:v>
                </c:pt>
                <c:pt idx="320" formatCode="General">
                  <c:v>882.94</c:v>
                </c:pt>
                <c:pt idx="321" formatCode="General">
                  <c:v>930.92</c:v>
                </c:pt>
                <c:pt idx="322" formatCode="General">
                  <c:v>990.26</c:v>
                </c:pt>
                <c:pt idx="323" formatCode="General">
                  <c:v>982.65</c:v>
                </c:pt>
                <c:pt idx="324" formatCode="General">
                  <c:v>914.06</c:v>
                </c:pt>
                <c:pt idx="325" formatCode="General">
                  <c:v>933.57</c:v>
                </c:pt>
                <c:pt idx="326" formatCode="General">
                  <c:v>894.41</c:v>
                </c:pt>
                <c:pt idx="327" formatCode="General">
                  <c:v>882.5</c:v>
                </c:pt>
                <c:pt idx="328" formatCode="General">
                  <c:v>897</c:v>
                </c:pt>
                <c:pt idx="329" formatCode="General">
                  <c:v>931.78</c:v>
                </c:pt>
                <c:pt idx="330" formatCode="General">
                  <c:v>885.69</c:v>
                </c:pt>
                <c:pt idx="331" formatCode="General">
                  <c:v>925.56</c:v>
                </c:pt>
                <c:pt idx="332">
                  <c:v>1027.3699999999999</c:v>
                </c:pt>
                <c:pt idx="333">
                  <c:v>1074.4100000000001</c:v>
                </c:pt>
                <c:pt idx="334">
                  <c:v>1105.6199999999999</c:v>
                </c:pt>
                <c:pt idx="335">
                  <c:v>1050.51</c:v>
                </c:pt>
                <c:pt idx="336" formatCode="General">
                  <c:v>944.23</c:v>
                </c:pt>
                <c:pt idx="337" formatCode="General">
                  <c:v>927.97</c:v>
                </c:pt>
                <c:pt idx="338" formatCode="General">
                  <c:v>933.36</c:v>
                </c:pt>
                <c:pt idx="339" formatCode="General">
                  <c:v>939.49</c:v>
                </c:pt>
                <c:pt idx="340" formatCode="General">
                  <c:v>908.72</c:v>
                </c:pt>
                <c:pt idx="341" formatCode="General">
                  <c:v>867.22</c:v>
                </c:pt>
                <c:pt idx="342" formatCode="General">
                  <c:v>918.88</c:v>
                </c:pt>
                <c:pt idx="343" formatCode="General">
                  <c:v>945.71</c:v>
                </c:pt>
                <c:pt idx="344" formatCode="General">
                  <c:v>866.18</c:v>
                </c:pt>
                <c:pt idx="345" formatCode="General">
                  <c:v>811.06</c:v>
                </c:pt>
                <c:pt idx="346" formatCode="General">
                  <c:v>750.72</c:v>
                </c:pt>
                <c:pt idx="347" formatCode="General">
                  <c:v>718.87</c:v>
                </c:pt>
                <c:pt idx="348" formatCode="General">
                  <c:v>664.88</c:v>
                </c:pt>
                <c:pt idx="349" formatCode="General">
                  <c:v>729.94</c:v>
                </c:pt>
                <c:pt idx="350" formatCode="General">
                  <c:v>748.87</c:v>
                </c:pt>
                <c:pt idx="351" formatCode="General">
                  <c:v>752.31</c:v>
                </c:pt>
                <c:pt idx="352" formatCode="General">
                  <c:v>721.57</c:v>
                </c:pt>
                <c:pt idx="353" formatCode="General">
                  <c:v>666.75</c:v>
                </c:pt>
                <c:pt idx="354" formatCode="General">
                  <c:v>642.96</c:v>
                </c:pt>
                <c:pt idx="355" formatCode="General">
                  <c:v>670.56</c:v>
                </c:pt>
                <c:pt idx="356" formatCode="General">
                  <c:v>678.44</c:v>
                </c:pt>
                <c:pt idx="357" formatCode="General">
                  <c:v>663.36</c:v>
                </c:pt>
                <c:pt idx="358" formatCode="General">
                  <c:v>615.58000000000004</c:v>
                </c:pt>
                <c:pt idx="359" formatCode="General">
                  <c:v>513.82000000000005</c:v>
                </c:pt>
                <c:pt idx="360" formatCode="General">
                  <c:v>562.79999999999995</c:v>
                </c:pt>
                <c:pt idx="361" formatCode="General">
                  <c:v>509.95</c:v>
                </c:pt>
                <c:pt idx="362" formatCode="General">
                  <c:v>552.03</c:v>
                </c:pt>
                <c:pt idx="363" formatCode="General">
                  <c:v>574.20000000000005</c:v>
                </c:pt>
                <c:pt idx="364" formatCode="General">
                  <c:v>615.97</c:v>
                </c:pt>
                <c:pt idx="365" formatCode="General">
                  <c:v>606.32000000000005</c:v>
                </c:pt>
                <c:pt idx="366" formatCode="General">
                  <c:v>612.5</c:v>
                </c:pt>
                <c:pt idx="367" formatCode="General">
                  <c:v>680.51</c:v>
                </c:pt>
                <c:pt idx="368" formatCode="General">
                  <c:v>610.91999999999996</c:v>
                </c:pt>
                <c:pt idx="369" formatCode="General">
                  <c:v>652.11</c:v>
                </c:pt>
                <c:pt idx="370" formatCode="General">
                  <c:v>695.94</c:v>
                </c:pt>
                <c:pt idx="371" formatCode="General">
                  <c:v>705.08</c:v>
                </c:pt>
                <c:pt idx="372" formatCode="General">
                  <c:v>683.11</c:v>
                </c:pt>
                <c:pt idx="373" formatCode="General">
                  <c:v>717.03</c:v>
                </c:pt>
                <c:pt idx="374" formatCode="General">
                  <c:v>605.27</c:v>
                </c:pt>
                <c:pt idx="375" formatCode="General">
                  <c:v>611.35</c:v>
                </c:pt>
                <c:pt idx="376" formatCode="General">
                  <c:v>645.61</c:v>
                </c:pt>
                <c:pt idx="377" formatCode="General">
                  <c:v>659.85</c:v>
                </c:pt>
                <c:pt idx="378" formatCode="General">
                  <c:v>675.57</c:v>
                </c:pt>
                <c:pt idx="379" formatCode="General">
                  <c:v>635.4</c:v>
                </c:pt>
                <c:pt idx="380" formatCode="General">
                  <c:v>696.11</c:v>
                </c:pt>
                <c:pt idx="381" formatCode="General">
                  <c:v>697.03</c:v>
                </c:pt>
                <c:pt idx="382" formatCode="General">
                  <c:v>690.16</c:v>
                </c:pt>
                <c:pt idx="383" formatCode="General">
                  <c:v>602.88</c:v>
                </c:pt>
                <c:pt idx="384" formatCode="General">
                  <c:v>606.87</c:v>
                </c:pt>
                <c:pt idx="385" formatCode="General">
                  <c:v>678.38</c:v>
                </c:pt>
                <c:pt idx="386" formatCode="General">
                  <c:v>706.79</c:v>
                </c:pt>
                <c:pt idx="387" formatCode="General">
                  <c:v>797.95</c:v>
                </c:pt>
                <c:pt idx="388" formatCode="General">
                  <c:v>688.66</c:v>
                </c:pt>
                <c:pt idx="389" formatCode="General">
                  <c:v>840.89</c:v>
                </c:pt>
                <c:pt idx="390" formatCode="General">
                  <c:v>861.59</c:v>
                </c:pt>
                <c:pt idx="391" formatCode="General">
                  <c:v>896.16</c:v>
                </c:pt>
                <c:pt idx="392" formatCode="General">
                  <c:v>909.72</c:v>
                </c:pt>
                <c:pt idx="393" formatCode="General">
                  <c:v>906.33</c:v>
                </c:pt>
                <c:pt idx="394" formatCode="General">
                  <c:v>894.02</c:v>
                </c:pt>
                <c:pt idx="395" formatCode="General">
                  <c:v>942.41</c:v>
                </c:pt>
                <c:pt idx="396" formatCode="General">
                  <c:v>975.28</c:v>
                </c:pt>
                <c:pt idx="397" formatCode="General">
                  <c:v>895.66</c:v>
                </c:pt>
                <c:pt idx="398" formatCode="General">
                  <c:v>854.61</c:v>
                </c:pt>
                <c:pt idx="399" formatCode="General">
                  <c:v>932.76</c:v>
                </c:pt>
                <c:pt idx="400" formatCode="General">
                  <c:v>940.54</c:v>
                </c:pt>
                <c:pt idx="401">
                  <c:v>1003.31</c:v>
                </c:pt>
                <c:pt idx="402" formatCode="General">
                  <c:v>917.9</c:v>
                </c:pt>
                <c:pt idx="403" formatCode="General">
                  <c:v>884.29</c:v>
                </c:pt>
                <c:pt idx="404" formatCode="General">
                  <c:v>907.2</c:v>
                </c:pt>
                <c:pt idx="405" formatCode="General">
                  <c:v>831.12</c:v>
                </c:pt>
                <c:pt idx="406" formatCode="General">
                  <c:v>729.79</c:v>
                </c:pt>
                <c:pt idx="407" formatCode="General">
                  <c:v>677.54</c:v>
                </c:pt>
                <c:pt idx="408" formatCode="General">
                  <c:v>664.43</c:v>
                </c:pt>
                <c:pt idx="409" formatCode="General">
                  <c:v>721.08</c:v>
                </c:pt>
                <c:pt idx="410" formatCode="General">
                  <c:v>702.83</c:v>
                </c:pt>
                <c:pt idx="411" formatCode="General">
                  <c:v>717.35</c:v>
                </c:pt>
                <c:pt idx="412" formatCode="General">
                  <c:v>647.17999999999995</c:v>
                </c:pt>
                <c:pt idx="413" formatCode="General">
                  <c:v>656.47</c:v>
                </c:pt>
                <c:pt idx="414" formatCode="General">
                  <c:v>612.35</c:v>
                </c:pt>
                <c:pt idx="415" formatCode="General">
                  <c:v>633.58000000000004</c:v>
                </c:pt>
                <c:pt idx="416" formatCode="General">
                  <c:v>525.11</c:v>
                </c:pt>
                <c:pt idx="417" formatCode="General">
                  <c:v>475.59</c:v>
                </c:pt>
                <c:pt idx="418" formatCode="General">
                  <c:v>509.05</c:v>
                </c:pt>
                <c:pt idx="419" formatCode="General">
                  <c:v>485.35</c:v>
                </c:pt>
                <c:pt idx="420" formatCode="General">
                  <c:v>474.01</c:v>
                </c:pt>
                <c:pt idx="421" formatCode="General">
                  <c:v>485.48</c:v>
                </c:pt>
                <c:pt idx="422" formatCode="General">
                  <c:v>411.76</c:v>
                </c:pt>
                <c:pt idx="423" formatCode="General">
                  <c:v>387.99</c:v>
                </c:pt>
                <c:pt idx="424" formatCode="General">
                  <c:v>358.63</c:v>
                </c:pt>
                <c:pt idx="425" formatCode="General">
                  <c:v>405.13</c:v>
                </c:pt>
                <c:pt idx="426" formatCode="General">
                  <c:v>334.98</c:v>
                </c:pt>
                <c:pt idx="427" formatCode="General">
                  <c:v>310.22000000000003</c:v>
                </c:pt>
                <c:pt idx="428" formatCode="General">
                  <c:v>272.61</c:v>
                </c:pt>
                <c:pt idx="429" formatCode="General">
                  <c:v>268.98</c:v>
                </c:pt>
                <c:pt idx="430" formatCode="General">
                  <c:v>240.79</c:v>
                </c:pt>
                <c:pt idx="431" formatCode="General">
                  <c:v>253.45</c:v>
                </c:pt>
                <c:pt idx="432" formatCode="General">
                  <c:v>264.64</c:v>
                </c:pt>
                <c:pt idx="433" formatCode="General">
                  <c:v>273.75</c:v>
                </c:pt>
                <c:pt idx="434" formatCode="General">
                  <c:v>243.36</c:v>
                </c:pt>
                <c:pt idx="435" formatCode="General">
                  <c:v>231.06</c:v>
                </c:pt>
                <c:pt idx="436" formatCode="General">
                  <c:v>202.91</c:v>
                </c:pt>
                <c:pt idx="437" formatCode="General">
                  <c:v>199.76</c:v>
                </c:pt>
                <c:pt idx="438" formatCode="General">
                  <c:v>175.91</c:v>
                </c:pt>
                <c:pt idx="439" formatCode="General">
                  <c:v>160.41999999999999</c:v>
                </c:pt>
                <c:pt idx="440" formatCode="General">
                  <c:v>163.37</c:v>
                </c:pt>
                <c:pt idx="441" formatCode="General">
                  <c:v>150.16</c:v>
                </c:pt>
                <c:pt idx="442" formatCode="General">
                  <c:v>140.88999999999999</c:v>
                </c:pt>
                <c:pt idx="443" formatCode="General">
                  <c:v>138.91</c:v>
                </c:pt>
                <c:pt idx="444" formatCode="General">
                  <c:v>136.49</c:v>
                </c:pt>
                <c:pt idx="445" formatCode="General">
                  <c:v>137.38</c:v>
                </c:pt>
                <c:pt idx="446" formatCode="General">
                  <c:v>136.58000000000001</c:v>
                </c:pt>
                <c:pt idx="447" formatCode="General">
                  <c:v>134.09</c:v>
                </c:pt>
                <c:pt idx="448" formatCode="General">
                  <c:v>134.15</c:v>
                </c:pt>
                <c:pt idx="449" formatCode="General">
                  <c:v>136.46</c:v>
                </c:pt>
                <c:pt idx="450" formatCode="General">
                  <c:v>134.93</c:v>
                </c:pt>
                <c:pt idx="451" formatCode="General">
                  <c:v>138.9</c:v>
                </c:pt>
                <c:pt idx="452" formatCode="General">
                  <c:v>142.46</c:v>
                </c:pt>
                <c:pt idx="453" formatCode="General">
                  <c:v>135.54</c:v>
                </c:pt>
                <c:pt idx="454" formatCode="General">
                  <c:v>129.82</c:v>
                </c:pt>
                <c:pt idx="455" formatCode="General">
                  <c:v>134.13999999999999</c:v>
                </c:pt>
                <c:pt idx="456" formatCode="General">
                  <c:v>136.11000000000001</c:v>
                </c:pt>
                <c:pt idx="457" formatCode="General">
                  <c:v>134.54</c:v>
                </c:pt>
                <c:pt idx="458" formatCode="General">
                  <c:v>130.28</c:v>
                </c:pt>
                <c:pt idx="459" formatCode="General">
                  <c:v>130.47999999999999</c:v>
                </c:pt>
                <c:pt idx="460" formatCode="General">
                  <c:v>135.6</c:v>
                </c:pt>
                <c:pt idx="461" formatCode="General">
                  <c:v>133.35</c:v>
                </c:pt>
                <c:pt idx="462" formatCode="General">
                  <c:v>129.66</c:v>
                </c:pt>
                <c:pt idx="463" formatCode="General">
                  <c:v>124.08</c:v>
                </c:pt>
                <c:pt idx="464" formatCode="General">
                  <c:v>121.21</c:v>
                </c:pt>
                <c:pt idx="465" formatCode="General">
                  <c:v>117.63</c:v>
                </c:pt>
                <c:pt idx="466" formatCode="General">
                  <c:v>121.42</c:v>
                </c:pt>
                <c:pt idx="467" formatCode="General">
                  <c:v>117.71</c:v>
                </c:pt>
                <c:pt idx="468" formatCode="General">
                  <c:v>118.82</c:v>
                </c:pt>
                <c:pt idx="469" formatCode="General">
                  <c:v>125.04</c:v>
                </c:pt>
                <c:pt idx="470" formatCode="General">
                  <c:v>122.44</c:v>
                </c:pt>
                <c:pt idx="471" formatCode="General">
                  <c:v>125.76</c:v>
                </c:pt>
                <c:pt idx="472" formatCode="General">
                  <c:v>131.44</c:v>
                </c:pt>
                <c:pt idx="473" formatCode="General">
                  <c:v>119.8</c:v>
                </c:pt>
                <c:pt idx="474" formatCode="General">
                  <c:v>123.5</c:v>
                </c:pt>
                <c:pt idx="475" formatCode="General">
                  <c:v>118.27</c:v>
                </c:pt>
                <c:pt idx="476" formatCode="General">
                  <c:v>128.99</c:v>
                </c:pt>
                <c:pt idx="477" formatCode="General">
                  <c:v>123.66</c:v>
                </c:pt>
                <c:pt idx="478" formatCode="General">
                  <c:v>121.91</c:v>
                </c:pt>
                <c:pt idx="479" formatCode="General">
                  <c:v>119.71</c:v>
                </c:pt>
                <c:pt idx="480" formatCode="General">
                  <c:v>121.94</c:v>
                </c:pt>
                <c:pt idx="481" formatCode="General">
                  <c:v>125.08</c:v>
                </c:pt>
                <c:pt idx="482" formatCode="General">
                  <c:v>123.64</c:v>
                </c:pt>
                <c:pt idx="483" formatCode="General">
                  <c:v>114.57</c:v>
                </c:pt>
                <c:pt idx="484" formatCode="General">
                  <c:v>121.4</c:v>
                </c:pt>
                <c:pt idx="485" formatCode="General">
                  <c:v>127.83</c:v>
                </c:pt>
                <c:pt idx="486" formatCode="General">
                  <c:v>128.78</c:v>
                </c:pt>
                <c:pt idx="487" formatCode="General">
                  <c:v>125.65</c:v>
                </c:pt>
                <c:pt idx="488" formatCode="General">
                  <c:v>131.30000000000001</c:v>
                </c:pt>
                <c:pt idx="489" formatCode="General">
                  <c:v>132.4</c:v>
                </c:pt>
                <c:pt idx="490" formatCode="General">
                  <c:v>123</c:v>
                </c:pt>
                <c:pt idx="491" formatCode="General">
                  <c:v>132.30000000000001</c:v>
                </c:pt>
                <c:pt idx="492" formatCode="General">
                  <c:v>140.1</c:v>
                </c:pt>
                <c:pt idx="493" formatCode="General">
                  <c:v>148.1</c:v>
                </c:pt>
                <c:pt idx="494" formatCode="General">
                  <c:v>150.80000000000001</c:v>
                </c:pt>
                <c:pt idx="495" formatCode="General">
                  <c:v>126.3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88111"/>
        <c:axId val="95118783"/>
      </c:lineChart>
      <c:lineChart>
        <c:grouping val="standard"/>
        <c:varyColors val="0"/>
        <c:ser>
          <c:idx val="1"/>
          <c:order val="1"/>
          <c:tx>
            <c:strRef>
              <c:f>'4 fear plan'!$W$1</c:f>
              <c:strCache>
                <c:ptCount val="1"/>
                <c:pt idx="0">
                  <c:v>코스닥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'4 fear plan'!$U$2:$U$497</c:f>
              <c:strCache>
                <c:ptCount val="496"/>
                <c:pt idx="0">
                  <c:v>2022년 7월</c:v>
                </c:pt>
                <c:pt idx="1">
                  <c:v>2022년 6월</c:v>
                </c:pt>
                <c:pt idx="2">
                  <c:v>2022년 5월</c:v>
                </c:pt>
                <c:pt idx="3">
                  <c:v>2022년 4월</c:v>
                </c:pt>
                <c:pt idx="4">
                  <c:v>2022년 3월</c:v>
                </c:pt>
                <c:pt idx="5">
                  <c:v>2022년 2월</c:v>
                </c:pt>
                <c:pt idx="6">
                  <c:v>2022년 1월</c:v>
                </c:pt>
                <c:pt idx="7">
                  <c:v>2021년 12월</c:v>
                </c:pt>
                <c:pt idx="8">
                  <c:v>2021년 11월</c:v>
                </c:pt>
                <c:pt idx="9">
                  <c:v>2021년 10월</c:v>
                </c:pt>
                <c:pt idx="10">
                  <c:v>2021년 9월</c:v>
                </c:pt>
                <c:pt idx="11">
                  <c:v>2021년 8월</c:v>
                </c:pt>
                <c:pt idx="12">
                  <c:v>2021년 7월</c:v>
                </c:pt>
                <c:pt idx="13">
                  <c:v>2021년 6월</c:v>
                </c:pt>
                <c:pt idx="14">
                  <c:v>2021년 5월</c:v>
                </c:pt>
                <c:pt idx="15">
                  <c:v>2021년 4월</c:v>
                </c:pt>
                <c:pt idx="16">
                  <c:v>2021년 3월</c:v>
                </c:pt>
                <c:pt idx="17">
                  <c:v>2021년 2월</c:v>
                </c:pt>
                <c:pt idx="18">
                  <c:v>2021년 1월</c:v>
                </c:pt>
                <c:pt idx="19">
                  <c:v>2020년 12월</c:v>
                </c:pt>
                <c:pt idx="20">
                  <c:v>2020년 11월</c:v>
                </c:pt>
                <c:pt idx="21">
                  <c:v>2020년 10월</c:v>
                </c:pt>
                <c:pt idx="22">
                  <c:v>2020년 9월</c:v>
                </c:pt>
                <c:pt idx="23">
                  <c:v>2020년 8월</c:v>
                </c:pt>
                <c:pt idx="24">
                  <c:v>2020년 7월</c:v>
                </c:pt>
                <c:pt idx="25">
                  <c:v>2020년 6월</c:v>
                </c:pt>
                <c:pt idx="26">
                  <c:v>2020년 5월</c:v>
                </c:pt>
                <c:pt idx="27">
                  <c:v>2020년 4월</c:v>
                </c:pt>
                <c:pt idx="28">
                  <c:v>2020년 3월</c:v>
                </c:pt>
                <c:pt idx="29">
                  <c:v>2020년 2월</c:v>
                </c:pt>
                <c:pt idx="30">
                  <c:v>2020년 1월</c:v>
                </c:pt>
                <c:pt idx="31">
                  <c:v>2019년 12월</c:v>
                </c:pt>
                <c:pt idx="32">
                  <c:v>2019년 11월</c:v>
                </c:pt>
                <c:pt idx="33">
                  <c:v>2019년 10월</c:v>
                </c:pt>
                <c:pt idx="34">
                  <c:v>2019년 9월</c:v>
                </c:pt>
                <c:pt idx="35">
                  <c:v>2019년 8월</c:v>
                </c:pt>
                <c:pt idx="36">
                  <c:v>2019년 7월</c:v>
                </c:pt>
                <c:pt idx="37">
                  <c:v>2019년 6월</c:v>
                </c:pt>
                <c:pt idx="38">
                  <c:v>2019년 5월</c:v>
                </c:pt>
                <c:pt idx="39">
                  <c:v>2019년 4월</c:v>
                </c:pt>
                <c:pt idx="40">
                  <c:v>2019년 3월</c:v>
                </c:pt>
                <c:pt idx="41">
                  <c:v>2019년 2월</c:v>
                </c:pt>
                <c:pt idx="42">
                  <c:v>2019년 1월</c:v>
                </c:pt>
                <c:pt idx="43">
                  <c:v>2018년 12월</c:v>
                </c:pt>
                <c:pt idx="44">
                  <c:v>2018년 11월</c:v>
                </c:pt>
                <c:pt idx="45">
                  <c:v>2018년 10월</c:v>
                </c:pt>
                <c:pt idx="46">
                  <c:v>2018년 9월</c:v>
                </c:pt>
                <c:pt idx="47">
                  <c:v>2018년 8월</c:v>
                </c:pt>
                <c:pt idx="48">
                  <c:v>2018년 7월</c:v>
                </c:pt>
                <c:pt idx="49">
                  <c:v>2018년 6월</c:v>
                </c:pt>
                <c:pt idx="50">
                  <c:v>2018년 5월</c:v>
                </c:pt>
                <c:pt idx="51">
                  <c:v>2018년 4월</c:v>
                </c:pt>
                <c:pt idx="52">
                  <c:v>2018년 3월</c:v>
                </c:pt>
                <c:pt idx="53">
                  <c:v>2018년 2월</c:v>
                </c:pt>
                <c:pt idx="54">
                  <c:v>2018년 1월</c:v>
                </c:pt>
                <c:pt idx="55">
                  <c:v>2017년 12월</c:v>
                </c:pt>
                <c:pt idx="56">
                  <c:v>2017년 11월</c:v>
                </c:pt>
                <c:pt idx="57">
                  <c:v>2017년 10월</c:v>
                </c:pt>
                <c:pt idx="58">
                  <c:v>2017년 9월</c:v>
                </c:pt>
                <c:pt idx="59">
                  <c:v>2017년 8월</c:v>
                </c:pt>
                <c:pt idx="60">
                  <c:v>2017년 7월</c:v>
                </c:pt>
                <c:pt idx="61">
                  <c:v>2017년 6월</c:v>
                </c:pt>
                <c:pt idx="62">
                  <c:v>2017년 5월</c:v>
                </c:pt>
                <c:pt idx="63">
                  <c:v>2017년 4월</c:v>
                </c:pt>
                <c:pt idx="64">
                  <c:v>2017년 3월</c:v>
                </c:pt>
                <c:pt idx="65">
                  <c:v>2017년 2월</c:v>
                </c:pt>
                <c:pt idx="66">
                  <c:v>2017년 1월</c:v>
                </c:pt>
                <c:pt idx="67">
                  <c:v>2016년 12월</c:v>
                </c:pt>
                <c:pt idx="68">
                  <c:v>2016년 11월</c:v>
                </c:pt>
                <c:pt idx="69">
                  <c:v>2016년 10월</c:v>
                </c:pt>
                <c:pt idx="70">
                  <c:v>2016년 9월</c:v>
                </c:pt>
                <c:pt idx="71">
                  <c:v>2016년 8월</c:v>
                </c:pt>
                <c:pt idx="72">
                  <c:v>2016년 7월</c:v>
                </c:pt>
                <c:pt idx="73">
                  <c:v>2016년 6월</c:v>
                </c:pt>
                <c:pt idx="74">
                  <c:v>2016년 5월</c:v>
                </c:pt>
                <c:pt idx="75">
                  <c:v>2016년 4월</c:v>
                </c:pt>
                <c:pt idx="76">
                  <c:v>2016년 3월</c:v>
                </c:pt>
                <c:pt idx="77">
                  <c:v>2016년 2월</c:v>
                </c:pt>
                <c:pt idx="78">
                  <c:v>2016년 1월</c:v>
                </c:pt>
                <c:pt idx="79">
                  <c:v>2015년 12월</c:v>
                </c:pt>
                <c:pt idx="80">
                  <c:v>2015년 11월</c:v>
                </c:pt>
                <c:pt idx="81">
                  <c:v>2015년 10월</c:v>
                </c:pt>
                <c:pt idx="82">
                  <c:v>2015년 9월</c:v>
                </c:pt>
                <c:pt idx="83">
                  <c:v>2015년 8월</c:v>
                </c:pt>
                <c:pt idx="84">
                  <c:v>2015년 7월</c:v>
                </c:pt>
                <c:pt idx="85">
                  <c:v>2015년 6월</c:v>
                </c:pt>
                <c:pt idx="86">
                  <c:v>2015년 5월</c:v>
                </c:pt>
                <c:pt idx="87">
                  <c:v>2015년 4월</c:v>
                </c:pt>
                <c:pt idx="88">
                  <c:v>2015년 3월</c:v>
                </c:pt>
                <c:pt idx="89">
                  <c:v>2015년 2월</c:v>
                </c:pt>
                <c:pt idx="90">
                  <c:v>2015년 1월</c:v>
                </c:pt>
                <c:pt idx="91">
                  <c:v>2014년 12월</c:v>
                </c:pt>
                <c:pt idx="92">
                  <c:v>2014년 11월</c:v>
                </c:pt>
                <c:pt idx="93">
                  <c:v>2014년 10월</c:v>
                </c:pt>
                <c:pt idx="94">
                  <c:v>2014년 9월</c:v>
                </c:pt>
                <c:pt idx="95">
                  <c:v>2014년 8월</c:v>
                </c:pt>
                <c:pt idx="96">
                  <c:v>2014년 7월</c:v>
                </c:pt>
                <c:pt idx="97">
                  <c:v>2014년 6월</c:v>
                </c:pt>
                <c:pt idx="98">
                  <c:v>2014년 5월</c:v>
                </c:pt>
                <c:pt idx="99">
                  <c:v>2014년 4월</c:v>
                </c:pt>
                <c:pt idx="100">
                  <c:v>2014년 3월</c:v>
                </c:pt>
                <c:pt idx="101">
                  <c:v>2014년 2월</c:v>
                </c:pt>
                <c:pt idx="102">
                  <c:v>2014년 1월</c:v>
                </c:pt>
                <c:pt idx="103">
                  <c:v>2013년 12월</c:v>
                </c:pt>
                <c:pt idx="104">
                  <c:v>2013년 11월</c:v>
                </c:pt>
                <c:pt idx="105">
                  <c:v>2013년 10월</c:v>
                </c:pt>
                <c:pt idx="106">
                  <c:v>2013년 9월</c:v>
                </c:pt>
                <c:pt idx="107">
                  <c:v>2013년 8월</c:v>
                </c:pt>
                <c:pt idx="108">
                  <c:v>2013년 7월</c:v>
                </c:pt>
                <c:pt idx="109">
                  <c:v>2013년 6월</c:v>
                </c:pt>
                <c:pt idx="110">
                  <c:v>2013년 5월</c:v>
                </c:pt>
                <c:pt idx="111">
                  <c:v>2013년 4월</c:v>
                </c:pt>
                <c:pt idx="112">
                  <c:v>2013년 3월</c:v>
                </c:pt>
                <c:pt idx="113">
                  <c:v>2013년 2월</c:v>
                </c:pt>
                <c:pt idx="114">
                  <c:v>2013년 1월</c:v>
                </c:pt>
                <c:pt idx="115">
                  <c:v>2012년 12월</c:v>
                </c:pt>
                <c:pt idx="116">
                  <c:v>2012년 11월</c:v>
                </c:pt>
                <c:pt idx="117">
                  <c:v>2012년 10월</c:v>
                </c:pt>
                <c:pt idx="118">
                  <c:v>2012년 9월</c:v>
                </c:pt>
                <c:pt idx="119">
                  <c:v>2012년 8월</c:v>
                </c:pt>
                <c:pt idx="120">
                  <c:v>2012년 7월</c:v>
                </c:pt>
                <c:pt idx="121">
                  <c:v>2012년 6월</c:v>
                </c:pt>
                <c:pt idx="122">
                  <c:v>2012년 5월</c:v>
                </c:pt>
                <c:pt idx="123">
                  <c:v>2012년 4월</c:v>
                </c:pt>
                <c:pt idx="124">
                  <c:v>2012년 3월</c:v>
                </c:pt>
                <c:pt idx="125">
                  <c:v>2012년 2월</c:v>
                </c:pt>
                <c:pt idx="126">
                  <c:v>2012년 1월</c:v>
                </c:pt>
                <c:pt idx="127">
                  <c:v>2011년 12월</c:v>
                </c:pt>
                <c:pt idx="128">
                  <c:v>2011년 11월</c:v>
                </c:pt>
                <c:pt idx="129">
                  <c:v>2011년 10월</c:v>
                </c:pt>
                <c:pt idx="130">
                  <c:v>2011년 9월</c:v>
                </c:pt>
                <c:pt idx="131">
                  <c:v>2011년 8월</c:v>
                </c:pt>
                <c:pt idx="132">
                  <c:v>2011년 7월</c:v>
                </c:pt>
                <c:pt idx="133">
                  <c:v>2011년 6월</c:v>
                </c:pt>
                <c:pt idx="134">
                  <c:v>2011년 5월</c:v>
                </c:pt>
                <c:pt idx="135">
                  <c:v>2011년 4월</c:v>
                </c:pt>
                <c:pt idx="136">
                  <c:v>2011년 3월</c:v>
                </c:pt>
                <c:pt idx="137">
                  <c:v>2011년 2월</c:v>
                </c:pt>
                <c:pt idx="138">
                  <c:v>2011년 1월</c:v>
                </c:pt>
                <c:pt idx="139">
                  <c:v>2010년 12월</c:v>
                </c:pt>
                <c:pt idx="140">
                  <c:v>2010년 11월</c:v>
                </c:pt>
                <c:pt idx="141">
                  <c:v>2010년 10월</c:v>
                </c:pt>
                <c:pt idx="142">
                  <c:v>2010년 9월</c:v>
                </c:pt>
                <c:pt idx="143">
                  <c:v>2010년 8월</c:v>
                </c:pt>
                <c:pt idx="144">
                  <c:v>2010년 7월</c:v>
                </c:pt>
                <c:pt idx="145">
                  <c:v>2010년 6월</c:v>
                </c:pt>
                <c:pt idx="146">
                  <c:v>2010년 5월</c:v>
                </c:pt>
                <c:pt idx="147">
                  <c:v>2010년 4월</c:v>
                </c:pt>
                <c:pt idx="148">
                  <c:v>2010년 3월</c:v>
                </c:pt>
                <c:pt idx="149">
                  <c:v>2010년 2월</c:v>
                </c:pt>
                <c:pt idx="150">
                  <c:v>2010년 1월</c:v>
                </c:pt>
                <c:pt idx="151">
                  <c:v>2009년 12월</c:v>
                </c:pt>
                <c:pt idx="152">
                  <c:v>2009년 11월</c:v>
                </c:pt>
                <c:pt idx="153">
                  <c:v>2009년 10월</c:v>
                </c:pt>
                <c:pt idx="154">
                  <c:v>2009년 9월</c:v>
                </c:pt>
                <c:pt idx="155">
                  <c:v>2009년 8월</c:v>
                </c:pt>
                <c:pt idx="156">
                  <c:v>2009년 7월</c:v>
                </c:pt>
                <c:pt idx="157">
                  <c:v>2009년 6월</c:v>
                </c:pt>
                <c:pt idx="158">
                  <c:v>2009년 5월</c:v>
                </c:pt>
                <c:pt idx="159">
                  <c:v>2009년 4월</c:v>
                </c:pt>
                <c:pt idx="160">
                  <c:v>2009년 3월</c:v>
                </c:pt>
                <c:pt idx="161">
                  <c:v>2009년 2월</c:v>
                </c:pt>
                <c:pt idx="162">
                  <c:v>2009년 1월</c:v>
                </c:pt>
                <c:pt idx="163">
                  <c:v>2008년 12월</c:v>
                </c:pt>
                <c:pt idx="164">
                  <c:v>2008년 11월</c:v>
                </c:pt>
                <c:pt idx="165">
                  <c:v>2008년 10월</c:v>
                </c:pt>
                <c:pt idx="166">
                  <c:v>2008년 9월</c:v>
                </c:pt>
                <c:pt idx="167">
                  <c:v>2008년 8월</c:v>
                </c:pt>
                <c:pt idx="168">
                  <c:v>2008년 7월</c:v>
                </c:pt>
                <c:pt idx="169">
                  <c:v>2008년 6월</c:v>
                </c:pt>
                <c:pt idx="170">
                  <c:v>2008년 5월</c:v>
                </c:pt>
                <c:pt idx="171">
                  <c:v>2008년 4월</c:v>
                </c:pt>
                <c:pt idx="172">
                  <c:v>2008년 3월</c:v>
                </c:pt>
                <c:pt idx="173">
                  <c:v>2008년 2월</c:v>
                </c:pt>
                <c:pt idx="174">
                  <c:v>2008년 1월</c:v>
                </c:pt>
                <c:pt idx="175">
                  <c:v>2007년 12월</c:v>
                </c:pt>
                <c:pt idx="176">
                  <c:v>2007년 11월</c:v>
                </c:pt>
                <c:pt idx="177">
                  <c:v>2007년 10월</c:v>
                </c:pt>
                <c:pt idx="178">
                  <c:v>2007년 9월</c:v>
                </c:pt>
                <c:pt idx="179">
                  <c:v>2007년 8월</c:v>
                </c:pt>
                <c:pt idx="180">
                  <c:v>2007년 7월</c:v>
                </c:pt>
                <c:pt idx="181">
                  <c:v>2007년 6월</c:v>
                </c:pt>
                <c:pt idx="182">
                  <c:v>2007년 5월</c:v>
                </c:pt>
                <c:pt idx="183">
                  <c:v>2007년 4월</c:v>
                </c:pt>
                <c:pt idx="184">
                  <c:v>2007년 3월</c:v>
                </c:pt>
                <c:pt idx="185">
                  <c:v>2007년 2월</c:v>
                </c:pt>
                <c:pt idx="186">
                  <c:v>2007년 1월</c:v>
                </c:pt>
                <c:pt idx="187">
                  <c:v>2006년 12월</c:v>
                </c:pt>
                <c:pt idx="188">
                  <c:v>2006년 11월</c:v>
                </c:pt>
                <c:pt idx="189">
                  <c:v>2006년 10월</c:v>
                </c:pt>
                <c:pt idx="190">
                  <c:v>2006년 9월</c:v>
                </c:pt>
                <c:pt idx="191">
                  <c:v>2006년 8월</c:v>
                </c:pt>
                <c:pt idx="192">
                  <c:v>2006년 7월</c:v>
                </c:pt>
                <c:pt idx="193">
                  <c:v>2006년 6월</c:v>
                </c:pt>
                <c:pt idx="194">
                  <c:v>2006년 5월</c:v>
                </c:pt>
                <c:pt idx="195">
                  <c:v>2006년 4월</c:v>
                </c:pt>
                <c:pt idx="196">
                  <c:v>2006년 3월</c:v>
                </c:pt>
                <c:pt idx="197">
                  <c:v>2006년 2월</c:v>
                </c:pt>
                <c:pt idx="198">
                  <c:v>2006년 1월</c:v>
                </c:pt>
                <c:pt idx="199">
                  <c:v>2005년 12월</c:v>
                </c:pt>
                <c:pt idx="200">
                  <c:v>2005년 11월</c:v>
                </c:pt>
                <c:pt idx="201">
                  <c:v>2005년 10월</c:v>
                </c:pt>
                <c:pt idx="202">
                  <c:v>2005년 9월</c:v>
                </c:pt>
                <c:pt idx="203">
                  <c:v>2005년 8월</c:v>
                </c:pt>
                <c:pt idx="204">
                  <c:v>2005년 7월</c:v>
                </c:pt>
                <c:pt idx="205">
                  <c:v>2005년 6월</c:v>
                </c:pt>
                <c:pt idx="206">
                  <c:v>2005년 5월</c:v>
                </c:pt>
                <c:pt idx="207">
                  <c:v>2005년 4월</c:v>
                </c:pt>
                <c:pt idx="208">
                  <c:v>2005년 3월</c:v>
                </c:pt>
                <c:pt idx="209">
                  <c:v>2005년 2월</c:v>
                </c:pt>
                <c:pt idx="210">
                  <c:v>2005년 1월</c:v>
                </c:pt>
                <c:pt idx="211">
                  <c:v>2004년 12월</c:v>
                </c:pt>
                <c:pt idx="212">
                  <c:v>2004년 11월</c:v>
                </c:pt>
                <c:pt idx="213">
                  <c:v>2004년 10월</c:v>
                </c:pt>
                <c:pt idx="214">
                  <c:v>2004년 9월</c:v>
                </c:pt>
                <c:pt idx="215">
                  <c:v>2004년 8월</c:v>
                </c:pt>
                <c:pt idx="216">
                  <c:v>2004년 7월</c:v>
                </c:pt>
                <c:pt idx="217">
                  <c:v>2004년 6월</c:v>
                </c:pt>
                <c:pt idx="218">
                  <c:v>2004년 5월</c:v>
                </c:pt>
                <c:pt idx="219">
                  <c:v>2004년 4월</c:v>
                </c:pt>
                <c:pt idx="220">
                  <c:v>2004년 3월</c:v>
                </c:pt>
                <c:pt idx="221">
                  <c:v>2004년 2월</c:v>
                </c:pt>
                <c:pt idx="222">
                  <c:v>2004년 1월</c:v>
                </c:pt>
                <c:pt idx="223">
                  <c:v>2003년 12월</c:v>
                </c:pt>
                <c:pt idx="224">
                  <c:v>2003년 11월</c:v>
                </c:pt>
                <c:pt idx="225">
                  <c:v>2003년 10월</c:v>
                </c:pt>
                <c:pt idx="226">
                  <c:v>2003년 9월</c:v>
                </c:pt>
                <c:pt idx="227">
                  <c:v>2003년 8월</c:v>
                </c:pt>
                <c:pt idx="228">
                  <c:v>2003년 7월</c:v>
                </c:pt>
                <c:pt idx="229">
                  <c:v>2003년 6월</c:v>
                </c:pt>
                <c:pt idx="230">
                  <c:v>2003년 5월</c:v>
                </c:pt>
                <c:pt idx="231">
                  <c:v>2003년 4월</c:v>
                </c:pt>
                <c:pt idx="232">
                  <c:v>2003년 3월</c:v>
                </c:pt>
                <c:pt idx="233">
                  <c:v>2003년 2월</c:v>
                </c:pt>
                <c:pt idx="234">
                  <c:v>2003년 1월</c:v>
                </c:pt>
                <c:pt idx="235">
                  <c:v>2002년 12월</c:v>
                </c:pt>
                <c:pt idx="236">
                  <c:v>2002년 11월</c:v>
                </c:pt>
                <c:pt idx="237">
                  <c:v>2002년 10월</c:v>
                </c:pt>
                <c:pt idx="238">
                  <c:v>2002년 9월</c:v>
                </c:pt>
                <c:pt idx="239">
                  <c:v>2002년 8월</c:v>
                </c:pt>
                <c:pt idx="240">
                  <c:v>2002년 7월</c:v>
                </c:pt>
                <c:pt idx="241">
                  <c:v>2002년 6월</c:v>
                </c:pt>
                <c:pt idx="242">
                  <c:v>2002년 5월</c:v>
                </c:pt>
                <c:pt idx="243">
                  <c:v>2002년 4월</c:v>
                </c:pt>
                <c:pt idx="244">
                  <c:v>2002년 3월</c:v>
                </c:pt>
                <c:pt idx="245">
                  <c:v>2002년 2월</c:v>
                </c:pt>
                <c:pt idx="246">
                  <c:v>2002년 1월</c:v>
                </c:pt>
                <c:pt idx="247">
                  <c:v>2001년 12월</c:v>
                </c:pt>
                <c:pt idx="248">
                  <c:v>2001년 11월</c:v>
                </c:pt>
                <c:pt idx="249">
                  <c:v>2001년 10월</c:v>
                </c:pt>
                <c:pt idx="250">
                  <c:v>2001년 9월</c:v>
                </c:pt>
                <c:pt idx="251">
                  <c:v>2001년 8월</c:v>
                </c:pt>
                <c:pt idx="252">
                  <c:v>2001년 7월</c:v>
                </c:pt>
                <c:pt idx="253">
                  <c:v>2001년 6월</c:v>
                </c:pt>
                <c:pt idx="254">
                  <c:v>2001년 5월</c:v>
                </c:pt>
                <c:pt idx="255">
                  <c:v>2001년 4월</c:v>
                </c:pt>
                <c:pt idx="256">
                  <c:v>2001년 3월</c:v>
                </c:pt>
                <c:pt idx="257">
                  <c:v>2001년 2월</c:v>
                </c:pt>
                <c:pt idx="258">
                  <c:v>2001년 1월</c:v>
                </c:pt>
                <c:pt idx="259">
                  <c:v>2000년 12월</c:v>
                </c:pt>
                <c:pt idx="260">
                  <c:v>2000년 11월</c:v>
                </c:pt>
                <c:pt idx="261">
                  <c:v>2000년 10월</c:v>
                </c:pt>
                <c:pt idx="262">
                  <c:v>2000년 9월</c:v>
                </c:pt>
                <c:pt idx="263">
                  <c:v>2000년 8월</c:v>
                </c:pt>
                <c:pt idx="264">
                  <c:v>2000년 7월</c:v>
                </c:pt>
                <c:pt idx="265">
                  <c:v>2000년 6월</c:v>
                </c:pt>
                <c:pt idx="266">
                  <c:v>2000년 5월</c:v>
                </c:pt>
                <c:pt idx="267">
                  <c:v>2000년 4월</c:v>
                </c:pt>
                <c:pt idx="268">
                  <c:v>2000년 3월</c:v>
                </c:pt>
                <c:pt idx="269">
                  <c:v>2000년 2월</c:v>
                </c:pt>
                <c:pt idx="270">
                  <c:v>2000년 1월</c:v>
                </c:pt>
                <c:pt idx="271">
                  <c:v>1999년 12월</c:v>
                </c:pt>
                <c:pt idx="272">
                  <c:v>1999년 11월</c:v>
                </c:pt>
                <c:pt idx="273">
                  <c:v>1999년 10월</c:v>
                </c:pt>
                <c:pt idx="274">
                  <c:v>1999년 9월</c:v>
                </c:pt>
                <c:pt idx="275">
                  <c:v>1999년 8월</c:v>
                </c:pt>
                <c:pt idx="276">
                  <c:v>1999년 7월</c:v>
                </c:pt>
                <c:pt idx="277">
                  <c:v>1999년 6월</c:v>
                </c:pt>
                <c:pt idx="278">
                  <c:v>1999년 5월</c:v>
                </c:pt>
                <c:pt idx="279">
                  <c:v>1999년 4월</c:v>
                </c:pt>
                <c:pt idx="280">
                  <c:v>1999년 3월</c:v>
                </c:pt>
                <c:pt idx="281">
                  <c:v>1999년 2월</c:v>
                </c:pt>
                <c:pt idx="282">
                  <c:v>1999년 1월</c:v>
                </c:pt>
                <c:pt idx="283">
                  <c:v>1998년 12월</c:v>
                </c:pt>
                <c:pt idx="284">
                  <c:v>1998년 11월</c:v>
                </c:pt>
                <c:pt idx="285">
                  <c:v>1998년 10월</c:v>
                </c:pt>
                <c:pt idx="286">
                  <c:v>1998년 9월</c:v>
                </c:pt>
                <c:pt idx="287">
                  <c:v>1998년 8월</c:v>
                </c:pt>
                <c:pt idx="288">
                  <c:v>1998년 7월</c:v>
                </c:pt>
                <c:pt idx="289">
                  <c:v>1998년 6월</c:v>
                </c:pt>
                <c:pt idx="290">
                  <c:v>1998년 5월</c:v>
                </c:pt>
                <c:pt idx="291">
                  <c:v>1998년 4월</c:v>
                </c:pt>
                <c:pt idx="292">
                  <c:v>1998년 3월</c:v>
                </c:pt>
                <c:pt idx="293">
                  <c:v>1998년 2월</c:v>
                </c:pt>
                <c:pt idx="294">
                  <c:v>1998년 1월</c:v>
                </c:pt>
                <c:pt idx="295">
                  <c:v>1997년 12월</c:v>
                </c:pt>
                <c:pt idx="296">
                  <c:v>1997년 11월</c:v>
                </c:pt>
                <c:pt idx="297">
                  <c:v>1997년 10월</c:v>
                </c:pt>
                <c:pt idx="298">
                  <c:v>1997년 9월</c:v>
                </c:pt>
                <c:pt idx="299">
                  <c:v>1997년 8월</c:v>
                </c:pt>
                <c:pt idx="300">
                  <c:v>1997년 7월</c:v>
                </c:pt>
                <c:pt idx="301">
                  <c:v>1997년 6월</c:v>
                </c:pt>
                <c:pt idx="302">
                  <c:v>1997년 5월</c:v>
                </c:pt>
                <c:pt idx="303">
                  <c:v>1997년 4월</c:v>
                </c:pt>
                <c:pt idx="304">
                  <c:v>1997년 3월</c:v>
                </c:pt>
                <c:pt idx="305">
                  <c:v>1997년 2월</c:v>
                </c:pt>
                <c:pt idx="306">
                  <c:v>1997년 1월</c:v>
                </c:pt>
                <c:pt idx="307">
                  <c:v>1996년 12월</c:v>
                </c:pt>
                <c:pt idx="308">
                  <c:v>1996년 11월</c:v>
                </c:pt>
                <c:pt idx="309">
                  <c:v>1996년 10월</c:v>
                </c:pt>
                <c:pt idx="310">
                  <c:v>1996년 9월</c:v>
                </c:pt>
                <c:pt idx="311">
                  <c:v>1996년 8월</c:v>
                </c:pt>
                <c:pt idx="312">
                  <c:v>1996년 7월</c:v>
                </c:pt>
                <c:pt idx="313">
                  <c:v>1996년 6월</c:v>
                </c:pt>
                <c:pt idx="314">
                  <c:v>1996년 5월</c:v>
                </c:pt>
                <c:pt idx="315">
                  <c:v>1996년 4월</c:v>
                </c:pt>
                <c:pt idx="316">
                  <c:v>1996년 3월</c:v>
                </c:pt>
                <c:pt idx="317">
                  <c:v>1996년 2월</c:v>
                </c:pt>
                <c:pt idx="318">
                  <c:v>1996년 1월</c:v>
                </c:pt>
                <c:pt idx="319">
                  <c:v>1995년 12월</c:v>
                </c:pt>
                <c:pt idx="320">
                  <c:v>1995년 11월</c:v>
                </c:pt>
                <c:pt idx="321">
                  <c:v>1995년 10월</c:v>
                </c:pt>
                <c:pt idx="322">
                  <c:v>1995년 9월</c:v>
                </c:pt>
                <c:pt idx="323">
                  <c:v>1995년 8월</c:v>
                </c:pt>
                <c:pt idx="324">
                  <c:v>1995년 7월</c:v>
                </c:pt>
                <c:pt idx="325">
                  <c:v>1995년 6월</c:v>
                </c:pt>
                <c:pt idx="326">
                  <c:v>1995년 5월</c:v>
                </c:pt>
                <c:pt idx="327">
                  <c:v>1995년 4월</c:v>
                </c:pt>
                <c:pt idx="328">
                  <c:v>1995년 3월</c:v>
                </c:pt>
                <c:pt idx="329">
                  <c:v>1995년 2월</c:v>
                </c:pt>
                <c:pt idx="330">
                  <c:v>1995년 1월</c:v>
                </c:pt>
                <c:pt idx="331">
                  <c:v>1994년 12월</c:v>
                </c:pt>
                <c:pt idx="332">
                  <c:v>1994년 11월</c:v>
                </c:pt>
                <c:pt idx="333">
                  <c:v>1994년 10월</c:v>
                </c:pt>
                <c:pt idx="334">
                  <c:v>1994년 9월</c:v>
                </c:pt>
                <c:pt idx="335">
                  <c:v>1994년 8월</c:v>
                </c:pt>
                <c:pt idx="336">
                  <c:v>1994년 7월</c:v>
                </c:pt>
                <c:pt idx="337">
                  <c:v>1994년 6월</c:v>
                </c:pt>
                <c:pt idx="338">
                  <c:v>1994년 5월</c:v>
                </c:pt>
                <c:pt idx="339">
                  <c:v>1994년 4월</c:v>
                </c:pt>
                <c:pt idx="340">
                  <c:v>1994년 3월</c:v>
                </c:pt>
                <c:pt idx="341">
                  <c:v>1994년 2월</c:v>
                </c:pt>
                <c:pt idx="342">
                  <c:v>1994년 1월</c:v>
                </c:pt>
                <c:pt idx="343">
                  <c:v>1993년 12월</c:v>
                </c:pt>
                <c:pt idx="344">
                  <c:v>1993년 11월</c:v>
                </c:pt>
                <c:pt idx="345">
                  <c:v>1993년 10월</c:v>
                </c:pt>
                <c:pt idx="346">
                  <c:v>1993년 9월</c:v>
                </c:pt>
                <c:pt idx="347">
                  <c:v>1993년 8월</c:v>
                </c:pt>
                <c:pt idx="348">
                  <c:v>1993년 7월</c:v>
                </c:pt>
                <c:pt idx="349">
                  <c:v>1993년 6월</c:v>
                </c:pt>
                <c:pt idx="350">
                  <c:v>1993년 5월</c:v>
                </c:pt>
                <c:pt idx="351">
                  <c:v>1993년 4월</c:v>
                </c:pt>
                <c:pt idx="352">
                  <c:v>1993년 3월</c:v>
                </c:pt>
                <c:pt idx="353">
                  <c:v>1993년 2월</c:v>
                </c:pt>
                <c:pt idx="354">
                  <c:v>1993년 1월</c:v>
                </c:pt>
                <c:pt idx="355">
                  <c:v>1992년 12월</c:v>
                </c:pt>
                <c:pt idx="356">
                  <c:v>1992년 11월</c:v>
                </c:pt>
                <c:pt idx="357">
                  <c:v>1992년 10월</c:v>
                </c:pt>
                <c:pt idx="358">
                  <c:v>1992년 9월</c:v>
                </c:pt>
                <c:pt idx="359">
                  <c:v>1992년 8월</c:v>
                </c:pt>
                <c:pt idx="360">
                  <c:v>1992년 7월</c:v>
                </c:pt>
                <c:pt idx="361">
                  <c:v>1992년 6월</c:v>
                </c:pt>
                <c:pt idx="362">
                  <c:v>1992년 5월</c:v>
                </c:pt>
                <c:pt idx="363">
                  <c:v>1992년 4월</c:v>
                </c:pt>
                <c:pt idx="364">
                  <c:v>1992년 3월</c:v>
                </c:pt>
                <c:pt idx="365">
                  <c:v>1992년 2월</c:v>
                </c:pt>
                <c:pt idx="366">
                  <c:v>1992년 1월</c:v>
                </c:pt>
                <c:pt idx="367">
                  <c:v>1991년 12월</c:v>
                </c:pt>
                <c:pt idx="368">
                  <c:v>1991년 11월</c:v>
                </c:pt>
                <c:pt idx="369">
                  <c:v>1991년 10월</c:v>
                </c:pt>
                <c:pt idx="370">
                  <c:v>1991년 9월</c:v>
                </c:pt>
                <c:pt idx="371">
                  <c:v>1991년 8월</c:v>
                </c:pt>
                <c:pt idx="372">
                  <c:v>1991년 7월</c:v>
                </c:pt>
                <c:pt idx="373">
                  <c:v>1991년 6월</c:v>
                </c:pt>
                <c:pt idx="374">
                  <c:v>1991년 5월</c:v>
                </c:pt>
                <c:pt idx="375">
                  <c:v>1991년 4월</c:v>
                </c:pt>
                <c:pt idx="376">
                  <c:v>1991년 3월</c:v>
                </c:pt>
                <c:pt idx="377">
                  <c:v>1991년 2월</c:v>
                </c:pt>
                <c:pt idx="378">
                  <c:v>1991년 1월</c:v>
                </c:pt>
                <c:pt idx="379">
                  <c:v>1990년 12월</c:v>
                </c:pt>
                <c:pt idx="380">
                  <c:v>1990년 11월</c:v>
                </c:pt>
                <c:pt idx="381">
                  <c:v>1990년 10월</c:v>
                </c:pt>
                <c:pt idx="382">
                  <c:v>1990년 9월</c:v>
                </c:pt>
                <c:pt idx="383">
                  <c:v>1990년 8월</c:v>
                </c:pt>
                <c:pt idx="384">
                  <c:v>1990년 7월</c:v>
                </c:pt>
                <c:pt idx="385">
                  <c:v>1990년 6월</c:v>
                </c:pt>
                <c:pt idx="386">
                  <c:v>1990년 5월</c:v>
                </c:pt>
                <c:pt idx="387">
                  <c:v>1990년 4월</c:v>
                </c:pt>
                <c:pt idx="388">
                  <c:v>1990년 3월</c:v>
                </c:pt>
                <c:pt idx="389">
                  <c:v>1990년 2월</c:v>
                </c:pt>
                <c:pt idx="390">
                  <c:v>1990년 1월</c:v>
                </c:pt>
                <c:pt idx="391">
                  <c:v>1989년 12월</c:v>
                </c:pt>
                <c:pt idx="392">
                  <c:v>1989년 11월</c:v>
                </c:pt>
                <c:pt idx="393">
                  <c:v>1989년 10월</c:v>
                </c:pt>
                <c:pt idx="394">
                  <c:v>1989년 9월</c:v>
                </c:pt>
                <c:pt idx="395">
                  <c:v>1989년 8월</c:v>
                </c:pt>
                <c:pt idx="396">
                  <c:v>1989년 7월</c:v>
                </c:pt>
                <c:pt idx="397">
                  <c:v>1989년 6월</c:v>
                </c:pt>
                <c:pt idx="398">
                  <c:v>1989년 5월</c:v>
                </c:pt>
                <c:pt idx="399">
                  <c:v>1989년 4월</c:v>
                </c:pt>
                <c:pt idx="400">
                  <c:v>1989년 3월</c:v>
                </c:pt>
                <c:pt idx="401">
                  <c:v>1989년 2월</c:v>
                </c:pt>
                <c:pt idx="402">
                  <c:v>1989년 1월</c:v>
                </c:pt>
                <c:pt idx="403">
                  <c:v>1988년 12월</c:v>
                </c:pt>
                <c:pt idx="404">
                  <c:v>1988년 11월</c:v>
                </c:pt>
                <c:pt idx="405">
                  <c:v>1988년 10월</c:v>
                </c:pt>
                <c:pt idx="406">
                  <c:v>1988년 9월</c:v>
                </c:pt>
                <c:pt idx="407">
                  <c:v>1988년 8월</c:v>
                </c:pt>
                <c:pt idx="408">
                  <c:v>1988년 7월</c:v>
                </c:pt>
                <c:pt idx="409">
                  <c:v>1988년 6월</c:v>
                </c:pt>
                <c:pt idx="410">
                  <c:v>1988년 5월</c:v>
                </c:pt>
                <c:pt idx="411">
                  <c:v>1988년 4월</c:v>
                </c:pt>
                <c:pt idx="412">
                  <c:v>1988년 3월</c:v>
                </c:pt>
                <c:pt idx="413">
                  <c:v>1988년 2월</c:v>
                </c:pt>
                <c:pt idx="414">
                  <c:v>1988년 1월</c:v>
                </c:pt>
                <c:pt idx="415">
                  <c:v>1987년 12월</c:v>
                </c:pt>
                <c:pt idx="416">
                  <c:v>1987년 11월</c:v>
                </c:pt>
                <c:pt idx="417">
                  <c:v>1987년 10월</c:v>
                </c:pt>
                <c:pt idx="418">
                  <c:v>1987년 9월</c:v>
                </c:pt>
                <c:pt idx="419">
                  <c:v>1987년 8월</c:v>
                </c:pt>
                <c:pt idx="420">
                  <c:v>1987년 7월</c:v>
                </c:pt>
                <c:pt idx="421">
                  <c:v>1987년 6월</c:v>
                </c:pt>
                <c:pt idx="422">
                  <c:v>1987년 5월</c:v>
                </c:pt>
                <c:pt idx="423">
                  <c:v>1987년 4월</c:v>
                </c:pt>
                <c:pt idx="424">
                  <c:v>1987년 3월</c:v>
                </c:pt>
                <c:pt idx="425">
                  <c:v>1987년 2월</c:v>
                </c:pt>
                <c:pt idx="426">
                  <c:v>1987년 1월</c:v>
                </c:pt>
                <c:pt idx="427">
                  <c:v>1986년 12월</c:v>
                </c:pt>
                <c:pt idx="428">
                  <c:v>1986년 11월</c:v>
                </c:pt>
                <c:pt idx="429">
                  <c:v>1986년 10월</c:v>
                </c:pt>
                <c:pt idx="430">
                  <c:v>1986년 9월</c:v>
                </c:pt>
                <c:pt idx="431">
                  <c:v>1986년 8월</c:v>
                </c:pt>
                <c:pt idx="432">
                  <c:v>1986년 7월</c:v>
                </c:pt>
                <c:pt idx="433">
                  <c:v>1986년 6월</c:v>
                </c:pt>
                <c:pt idx="434">
                  <c:v>1986년 5월</c:v>
                </c:pt>
                <c:pt idx="435">
                  <c:v>1986년 4월</c:v>
                </c:pt>
                <c:pt idx="436">
                  <c:v>1986년 3월</c:v>
                </c:pt>
                <c:pt idx="437">
                  <c:v>1986년 2월</c:v>
                </c:pt>
                <c:pt idx="438">
                  <c:v>1986년 1월</c:v>
                </c:pt>
                <c:pt idx="439">
                  <c:v>1985년 12월</c:v>
                </c:pt>
                <c:pt idx="440">
                  <c:v>1985년 11월</c:v>
                </c:pt>
                <c:pt idx="441">
                  <c:v>1985년 10월</c:v>
                </c:pt>
                <c:pt idx="442">
                  <c:v>1985년 9월</c:v>
                </c:pt>
                <c:pt idx="443">
                  <c:v>1985년 8월</c:v>
                </c:pt>
                <c:pt idx="444">
                  <c:v>1985년 7월</c:v>
                </c:pt>
                <c:pt idx="445">
                  <c:v>1985년 6월</c:v>
                </c:pt>
                <c:pt idx="446">
                  <c:v>1985년 5월</c:v>
                </c:pt>
                <c:pt idx="447">
                  <c:v>1985년 4월</c:v>
                </c:pt>
                <c:pt idx="448">
                  <c:v>1985년 3월</c:v>
                </c:pt>
                <c:pt idx="449">
                  <c:v>1985년 2월</c:v>
                </c:pt>
                <c:pt idx="450">
                  <c:v>1985년 1월</c:v>
                </c:pt>
                <c:pt idx="451">
                  <c:v>1984년 12월</c:v>
                </c:pt>
                <c:pt idx="452">
                  <c:v>1984년 11월</c:v>
                </c:pt>
                <c:pt idx="453">
                  <c:v>1984년 10월</c:v>
                </c:pt>
                <c:pt idx="454">
                  <c:v>1984년 9월</c:v>
                </c:pt>
                <c:pt idx="455">
                  <c:v>1984년 8월</c:v>
                </c:pt>
                <c:pt idx="456">
                  <c:v>1984년 7월</c:v>
                </c:pt>
                <c:pt idx="457">
                  <c:v>1984년 6월</c:v>
                </c:pt>
                <c:pt idx="458">
                  <c:v>1984년 5월</c:v>
                </c:pt>
                <c:pt idx="459">
                  <c:v>1984년 4월</c:v>
                </c:pt>
                <c:pt idx="460">
                  <c:v>1984년 3월</c:v>
                </c:pt>
                <c:pt idx="461">
                  <c:v>1984년 2월</c:v>
                </c:pt>
                <c:pt idx="462">
                  <c:v>1984년 1월</c:v>
                </c:pt>
                <c:pt idx="463">
                  <c:v>1983년 12월</c:v>
                </c:pt>
                <c:pt idx="464">
                  <c:v>1983년 11월</c:v>
                </c:pt>
                <c:pt idx="465">
                  <c:v>1983년 10월</c:v>
                </c:pt>
                <c:pt idx="466">
                  <c:v>1983년 9월</c:v>
                </c:pt>
                <c:pt idx="467">
                  <c:v>1983년 8월</c:v>
                </c:pt>
                <c:pt idx="468">
                  <c:v>1983년 7월</c:v>
                </c:pt>
                <c:pt idx="469">
                  <c:v>1983년 6월</c:v>
                </c:pt>
                <c:pt idx="470">
                  <c:v>1983년 5월</c:v>
                </c:pt>
                <c:pt idx="471">
                  <c:v>1983년 4월</c:v>
                </c:pt>
                <c:pt idx="472">
                  <c:v>1983년 3월</c:v>
                </c:pt>
                <c:pt idx="473">
                  <c:v>1983년 2월</c:v>
                </c:pt>
                <c:pt idx="474">
                  <c:v>1983년 1월</c:v>
                </c:pt>
                <c:pt idx="475">
                  <c:v>1982년 12월</c:v>
                </c:pt>
                <c:pt idx="476">
                  <c:v>1982년 11월</c:v>
                </c:pt>
                <c:pt idx="477">
                  <c:v>1982년 10월</c:v>
                </c:pt>
                <c:pt idx="478">
                  <c:v>1982년 9월</c:v>
                </c:pt>
                <c:pt idx="479">
                  <c:v>1982년 8월</c:v>
                </c:pt>
                <c:pt idx="480">
                  <c:v>1982년 7월</c:v>
                </c:pt>
                <c:pt idx="481">
                  <c:v>1982년 6월</c:v>
                </c:pt>
                <c:pt idx="482">
                  <c:v>1982년 5월</c:v>
                </c:pt>
                <c:pt idx="483">
                  <c:v>1982년 4월</c:v>
                </c:pt>
                <c:pt idx="484">
                  <c:v>1982년 3월</c:v>
                </c:pt>
                <c:pt idx="485">
                  <c:v>1982년 2월</c:v>
                </c:pt>
                <c:pt idx="486">
                  <c:v>1982년 1월</c:v>
                </c:pt>
                <c:pt idx="487">
                  <c:v>1981년 12월</c:v>
                </c:pt>
                <c:pt idx="488">
                  <c:v>1981년 11월</c:v>
                </c:pt>
                <c:pt idx="489">
                  <c:v>1981년 10월</c:v>
                </c:pt>
                <c:pt idx="490">
                  <c:v>1981년 9월</c:v>
                </c:pt>
                <c:pt idx="491">
                  <c:v>1981년 8월</c:v>
                </c:pt>
                <c:pt idx="492">
                  <c:v>1981년 7월</c:v>
                </c:pt>
                <c:pt idx="493">
                  <c:v>1981년 6월</c:v>
                </c:pt>
                <c:pt idx="494">
                  <c:v>1981년 5월</c:v>
                </c:pt>
                <c:pt idx="495">
                  <c:v>1981년 4월</c:v>
                </c:pt>
              </c:strCache>
            </c:strRef>
          </c:cat>
          <c:val>
            <c:numRef>
              <c:f>'4 fear plan'!$W$2:$W$497</c:f>
              <c:numCache>
                <c:formatCode>General</c:formatCode>
                <c:ptCount val="496"/>
                <c:pt idx="0">
                  <c:v>820.27</c:v>
                </c:pt>
                <c:pt idx="1">
                  <c:v>803.62</c:v>
                </c:pt>
                <c:pt idx="2">
                  <c:v>745.44</c:v>
                </c:pt>
                <c:pt idx="3">
                  <c:v>893.36</c:v>
                </c:pt>
                <c:pt idx="4">
                  <c:v>904.75</c:v>
                </c:pt>
                <c:pt idx="5">
                  <c:v>944.53</c:v>
                </c:pt>
                <c:pt idx="6">
                  <c:v>881.07</c:v>
                </c:pt>
                <c:pt idx="7">
                  <c:v>872.87</c:v>
                </c:pt>
                <c:pt idx="8" formatCode="#,##0.00">
                  <c:v>1033.98</c:v>
                </c:pt>
                <c:pt idx="9">
                  <c:v>965.63</c:v>
                </c:pt>
                <c:pt idx="10">
                  <c:v>992.33</c:v>
                </c:pt>
                <c:pt idx="11" formatCode="#,##0.00">
                  <c:v>1003.27</c:v>
                </c:pt>
                <c:pt idx="12" formatCode="#,##0.00">
                  <c:v>1038.33</c:v>
                </c:pt>
                <c:pt idx="13" formatCode="#,##0.00">
                  <c:v>1031.1400000000001</c:v>
                </c:pt>
                <c:pt idx="14" formatCode="#,##0.00">
                  <c:v>1029.96</c:v>
                </c:pt>
                <c:pt idx="15">
                  <c:v>981.78</c:v>
                </c:pt>
                <c:pt idx="16">
                  <c:v>983.45</c:v>
                </c:pt>
                <c:pt idx="17">
                  <c:v>956.17</c:v>
                </c:pt>
                <c:pt idx="18">
                  <c:v>913.94</c:v>
                </c:pt>
                <c:pt idx="19">
                  <c:v>928.73</c:v>
                </c:pt>
                <c:pt idx="20">
                  <c:v>968.42</c:v>
                </c:pt>
                <c:pt idx="21">
                  <c:v>886.11</c:v>
                </c:pt>
                <c:pt idx="22">
                  <c:v>792.65</c:v>
                </c:pt>
                <c:pt idx="23">
                  <c:v>848.15</c:v>
                </c:pt>
                <c:pt idx="24">
                  <c:v>848.24</c:v>
                </c:pt>
                <c:pt idx="25">
                  <c:v>815.3</c:v>
                </c:pt>
                <c:pt idx="26">
                  <c:v>737.97</c:v>
                </c:pt>
                <c:pt idx="27">
                  <c:v>713.68</c:v>
                </c:pt>
                <c:pt idx="28">
                  <c:v>645.17999999999995</c:v>
                </c:pt>
                <c:pt idx="29">
                  <c:v>569.07000000000005</c:v>
                </c:pt>
                <c:pt idx="30">
                  <c:v>610.73</c:v>
                </c:pt>
                <c:pt idx="31">
                  <c:v>642.48</c:v>
                </c:pt>
                <c:pt idx="32">
                  <c:v>669.83</c:v>
                </c:pt>
                <c:pt idx="33">
                  <c:v>632.99</c:v>
                </c:pt>
                <c:pt idx="34">
                  <c:v>658.52</c:v>
                </c:pt>
                <c:pt idx="35">
                  <c:v>621.76</c:v>
                </c:pt>
                <c:pt idx="36">
                  <c:v>610.54999999999995</c:v>
                </c:pt>
                <c:pt idx="37">
                  <c:v>630.17999999999995</c:v>
                </c:pt>
                <c:pt idx="38">
                  <c:v>690.53</c:v>
                </c:pt>
                <c:pt idx="39">
                  <c:v>696.47</c:v>
                </c:pt>
                <c:pt idx="40">
                  <c:v>754.74</c:v>
                </c:pt>
                <c:pt idx="41">
                  <c:v>729.31</c:v>
                </c:pt>
                <c:pt idx="42">
                  <c:v>731.25</c:v>
                </c:pt>
                <c:pt idx="43">
                  <c:v>716.86</c:v>
                </c:pt>
                <c:pt idx="44">
                  <c:v>675.65</c:v>
                </c:pt>
                <c:pt idx="45">
                  <c:v>695.76</c:v>
                </c:pt>
                <c:pt idx="46">
                  <c:v>648.66999999999996</c:v>
                </c:pt>
                <c:pt idx="47">
                  <c:v>822.27</c:v>
                </c:pt>
                <c:pt idx="48">
                  <c:v>816.97</c:v>
                </c:pt>
                <c:pt idx="49">
                  <c:v>775.52</c:v>
                </c:pt>
                <c:pt idx="50">
                  <c:v>818.22</c:v>
                </c:pt>
                <c:pt idx="51">
                  <c:v>879.66</c:v>
                </c:pt>
                <c:pt idx="52">
                  <c:v>875.95</c:v>
                </c:pt>
                <c:pt idx="53">
                  <c:v>871.09</c:v>
                </c:pt>
                <c:pt idx="54">
                  <c:v>857.06</c:v>
                </c:pt>
                <c:pt idx="55">
                  <c:v>913.57</c:v>
                </c:pt>
                <c:pt idx="56">
                  <c:v>798.42</c:v>
                </c:pt>
                <c:pt idx="57">
                  <c:v>771.42</c:v>
                </c:pt>
                <c:pt idx="58">
                  <c:v>694.2</c:v>
                </c:pt>
                <c:pt idx="59">
                  <c:v>652.82000000000005</c:v>
                </c:pt>
                <c:pt idx="60">
                  <c:v>657.83</c:v>
                </c:pt>
                <c:pt idx="61">
                  <c:v>650.47</c:v>
                </c:pt>
                <c:pt idx="62">
                  <c:v>669.04</c:v>
                </c:pt>
                <c:pt idx="63">
                  <c:v>652.04</c:v>
                </c:pt>
                <c:pt idx="64">
                  <c:v>628.24</c:v>
                </c:pt>
                <c:pt idx="65">
                  <c:v>619.28</c:v>
                </c:pt>
                <c:pt idx="66">
                  <c:v>612.20000000000005</c:v>
                </c:pt>
                <c:pt idx="67">
                  <c:v>616.13</c:v>
                </c:pt>
                <c:pt idx="68">
                  <c:v>631.44000000000005</c:v>
                </c:pt>
                <c:pt idx="69">
                  <c:v>596.11</c:v>
                </c:pt>
                <c:pt idx="70">
                  <c:v>624.67999999999995</c:v>
                </c:pt>
                <c:pt idx="71">
                  <c:v>681.21</c:v>
                </c:pt>
                <c:pt idx="72">
                  <c:v>663.69</c:v>
                </c:pt>
                <c:pt idx="73">
                  <c:v>706.24</c:v>
                </c:pt>
                <c:pt idx="74">
                  <c:v>675.09</c:v>
                </c:pt>
                <c:pt idx="75">
                  <c:v>698.45</c:v>
                </c:pt>
                <c:pt idx="76">
                  <c:v>699.77</c:v>
                </c:pt>
                <c:pt idx="77">
                  <c:v>688.38</c:v>
                </c:pt>
                <c:pt idx="78">
                  <c:v>651.62</c:v>
                </c:pt>
                <c:pt idx="79">
                  <c:v>682.8</c:v>
                </c:pt>
                <c:pt idx="80">
                  <c:v>682.35</c:v>
                </c:pt>
                <c:pt idx="81">
                  <c:v>688.38</c:v>
                </c:pt>
                <c:pt idx="82">
                  <c:v>683.63</c:v>
                </c:pt>
                <c:pt idx="83">
                  <c:v>678.48</c:v>
                </c:pt>
                <c:pt idx="84">
                  <c:v>687.11</c:v>
                </c:pt>
                <c:pt idx="85">
                  <c:v>725.06</c:v>
                </c:pt>
                <c:pt idx="86">
                  <c:v>742.27</c:v>
                </c:pt>
                <c:pt idx="87">
                  <c:v>711.39</c:v>
                </c:pt>
                <c:pt idx="88">
                  <c:v>689.01</c:v>
                </c:pt>
                <c:pt idx="89">
                  <c:v>650.49</c:v>
                </c:pt>
                <c:pt idx="90">
                  <c:v>624.55999999999995</c:v>
                </c:pt>
                <c:pt idx="91">
                  <c:v>591.58000000000004</c:v>
                </c:pt>
                <c:pt idx="92">
                  <c:v>542.97</c:v>
                </c:pt>
                <c:pt idx="93">
                  <c:v>545.08000000000004</c:v>
                </c:pt>
                <c:pt idx="94">
                  <c:v>558.70000000000005</c:v>
                </c:pt>
                <c:pt idx="95">
                  <c:v>573.22</c:v>
                </c:pt>
                <c:pt idx="96">
                  <c:v>570.20000000000005</c:v>
                </c:pt>
                <c:pt idx="97">
                  <c:v>536.32000000000005</c:v>
                </c:pt>
                <c:pt idx="98">
                  <c:v>537.05999999999995</c:v>
                </c:pt>
                <c:pt idx="99">
                  <c:v>546.53</c:v>
                </c:pt>
                <c:pt idx="100">
                  <c:v>559.34</c:v>
                </c:pt>
                <c:pt idx="101">
                  <c:v>541.58000000000004</c:v>
                </c:pt>
                <c:pt idx="102">
                  <c:v>528.96</c:v>
                </c:pt>
                <c:pt idx="103">
                  <c:v>515.20000000000005</c:v>
                </c:pt>
                <c:pt idx="104">
                  <c:v>499.99</c:v>
                </c:pt>
                <c:pt idx="105">
                  <c:v>517.05999999999995</c:v>
                </c:pt>
                <c:pt idx="106">
                  <c:v>532.44000000000005</c:v>
                </c:pt>
                <c:pt idx="107">
                  <c:v>534.89</c:v>
                </c:pt>
                <c:pt idx="108">
                  <c:v>516.74</c:v>
                </c:pt>
                <c:pt idx="109">
                  <c:v>554.30999999999995</c:v>
                </c:pt>
                <c:pt idx="110">
                  <c:v>519.05999999999995</c:v>
                </c:pt>
                <c:pt idx="111">
                  <c:v>577.87</c:v>
                </c:pt>
                <c:pt idx="112">
                  <c:v>563.87</c:v>
                </c:pt>
                <c:pt idx="113">
                  <c:v>555.02</c:v>
                </c:pt>
                <c:pt idx="114">
                  <c:v>535.87</c:v>
                </c:pt>
                <c:pt idx="115">
                  <c:v>503.67</c:v>
                </c:pt>
                <c:pt idx="116">
                  <c:v>496.32</c:v>
                </c:pt>
                <c:pt idx="117">
                  <c:v>499.37</c:v>
                </c:pt>
                <c:pt idx="118">
                  <c:v>508.31</c:v>
                </c:pt>
                <c:pt idx="119">
                  <c:v>523.78</c:v>
                </c:pt>
                <c:pt idx="120">
                  <c:v>508.35</c:v>
                </c:pt>
                <c:pt idx="121">
                  <c:v>467.61</c:v>
                </c:pt>
                <c:pt idx="122">
                  <c:v>489.16</c:v>
                </c:pt>
                <c:pt idx="123">
                  <c:v>471.94</c:v>
                </c:pt>
                <c:pt idx="124">
                  <c:v>478.89</c:v>
                </c:pt>
                <c:pt idx="125">
                  <c:v>519.55999999999995</c:v>
                </c:pt>
                <c:pt idx="126">
                  <c:v>542.29999999999995</c:v>
                </c:pt>
                <c:pt idx="127">
                  <c:v>513.99</c:v>
                </c:pt>
                <c:pt idx="128">
                  <c:v>500.18</c:v>
                </c:pt>
                <c:pt idx="129">
                  <c:v>492.81</c:v>
                </c:pt>
                <c:pt idx="130">
                  <c:v>490.69</c:v>
                </c:pt>
                <c:pt idx="131">
                  <c:v>449.66</c:v>
                </c:pt>
                <c:pt idx="132">
                  <c:v>493.44</c:v>
                </c:pt>
                <c:pt idx="133">
                  <c:v>536.04999999999995</c:v>
                </c:pt>
                <c:pt idx="134">
                  <c:v>479.55</c:v>
                </c:pt>
                <c:pt idx="135">
                  <c:v>484.54</c:v>
                </c:pt>
                <c:pt idx="136">
                  <c:v>511</c:v>
                </c:pt>
                <c:pt idx="137">
                  <c:v>525.41999999999996</c:v>
                </c:pt>
                <c:pt idx="138">
                  <c:v>504.46</c:v>
                </c:pt>
                <c:pt idx="139">
                  <c:v>521.38</c:v>
                </c:pt>
                <c:pt idx="140">
                  <c:v>510.69</c:v>
                </c:pt>
                <c:pt idx="141">
                  <c:v>498.39</c:v>
                </c:pt>
                <c:pt idx="142">
                  <c:v>526.45000000000005</c:v>
                </c:pt>
                <c:pt idx="143">
                  <c:v>492.75</c:v>
                </c:pt>
                <c:pt idx="144">
                  <c:v>464.71</c:v>
                </c:pt>
                <c:pt idx="145">
                  <c:v>481.45</c:v>
                </c:pt>
                <c:pt idx="146">
                  <c:v>489.98</c:v>
                </c:pt>
                <c:pt idx="147">
                  <c:v>489.42</c:v>
                </c:pt>
                <c:pt idx="148">
                  <c:v>523.75</c:v>
                </c:pt>
                <c:pt idx="149">
                  <c:v>515.74</c:v>
                </c:pt>
                <c:pt idx="150">
                  <c:v>507.03</c:v>
                </c:pt>
                <c:pt idx="151">
                  <c:v>496.57</c:v>
                </c:pt>
                <c:pt idx="152">
                  <c:v>513.57000000000005</c:v>
                </c:pt>
                <c:pt idx="153">
                  <c:v>464.32</c:v>
                </c:pt>
                <c:pt idx="154">
                  <c:v>486.46</c:v>
                </c:pt>
                <c:pt idx="155">
                  <c:v>505.94</c:v>
                </c:pt>
                <c:pt idx="156">
                  <c:v>514.70000000000005</c:v>
                </c:pt>
                <c:pt idx="157">
                  <c:v>504.35</c:v>
                </c:pt>
                <c:pt idx="158">
                  <c:v>485.15</c:v>
                </c:pt>
                <c:pt idx="159">
                  <c:v>528.79999999999995</c:v>
                </c:pt>
                <c:pt idx="160">
                  <c:v>500.98</c:v>
                </c:pt>
                <c:pt idx="161">
                  <c:v>421.44</c:v>
                </c:pt>
                <c:pt idx="162">
                  <c:v>363.21</c:v>
                </c:pt>
                <c:pt idx="163">
                  <c:v>364.9</c:v>
                </c:pt>
                <c:pt idx="164">
                  <c:v>332.05</c:v>
                </c:pt>
                <c:pt idx="165">
                  <c:v>307.48</c:v>
                </c:pt>
                <c:pt idx="166">
                  <c:v>308.02999999999997</c:v>
                </c:pt>
                <c:pt idx="167">
                  <c:v>440.77</c:v>
                </c:pt>
                <c:pt idx="168">
                  <c:v>470.28</c:v>
                </c:pt>
                <c:pt idx="169">
                  <c:v>539.44000000000005</c:v>
                </c:pt>
                <c:pt idx="170">
                  <c:v>590.19000000000005</c:v>
                </c:pt>
                <c:pt idx="171">
                  <c:v>652.15</c:v>
                </c:pt>
                <c:pt idx="172">
                  <c:v>647.02</c:v>
                </c:pt>
                <c:pt idx="173">
                  <c:v>644.45000000000005</c:v>
                </c:pt>
                <c:pt idx="174">
                  <c:v>655.94</c:v>
                </c:pt>
                <c:pt idx="175">
                  <c:v>608.84</c:v>
                </c:pt>
                <c:pt idx="176">
                  <c:v>704.23</c:v>
                </c:pt>
                <c:pt idx="177">
                  <c:v>741.84</c:v>
                </c:pt>
                <c:pt idx="178">
                  <c:v>810.07</c:v>
                </c:pt>
                <c:pt idx="179">
                  <c:v>794.56</c:v>
                </c:pt>
                <c:pt idx="180">
                  <c:v>775.13</c:v>
                </c:pt>
                <c:pt idx="181">
                  <c:v>811.52</c:v>
                </c:pt>
                <c:pt idx="182">
                  <c:v>778.69</c:v>
                </c:pt>
                <c:pt idx="183">
                  <c:v>747.87</c:v>
                </c:pt>
                <c:pt idx="184">
                  <c:v>675.88</c:v>
                </c:pt>
                <c:pt idx="185">
                  <c:v>648.99</c:v>
                </c:pt>
                <c:pt idx="186">
                  <c:v>600.92999999999995</c:v>
                </c:pt>
                <c:pt idx="187">
                  <c:v>576.37</c:v>
                </c:pt>
                <c:pt idx="188">
                  <c:v>606.15</c:v>
                </c:pt>
                <c:pt idx="189">
                  <c:v>622.16999999999996</c:v>
                </c:pt>
                <c:pt idx="190">
                  <c:v>586.1</c:v>
                </c:pt>
                <c:pt idx="191">
                  <c:v>600.41999999999996</c:v>
                </c:pt>
                <c:pt idx="192">
                  <c:v>572.83000000000004</c:v>
                </c:pt>
                <c:pt idx="193">
                  <c:v>557.66</c:v>
                </c:pt>
                <c:pt idx="194">
                  <c:v>590.67999999999995</c:v>
                </c:pt>
                <c:pt idx="195">
                  <c:v>630.5</c:v>
                </c:pt>
                <c:pt idx="196">
                  <c:v>685.44</c:v>
                </c:pt>
                <c:pt idx="197">
                  <c:v>665.21</c:v>
                </c:pt>
                <c:pt idx="198">
                  <c:v>682.36</c:v>
                </c:pt>
                <c:pt idx="199">
                  <c:v>690.24</c:v>
                </c:pt>
                <c:pt idx="200">
                  <c:v>701.79</c:v>
                </c:pt>
                <c:pt idx="201">
                  <c:v>712.39</c:v>
                </c:pt>
                <c:pt idx="202">
                  <c:v>587.46</c:v>
                </c:pt>
                <c:pt idx="203">
                  <c:v>571.95000000000005</c:v>
                </c:pt>
                <c:pt idx="204">
                  <c:v>503.95</c:v>
                </c:pt>
                <c:pt idx="205">
                  <c:v>546.67999999999995</c:v>
                </c:pt>
                <c:pt idx="206">
                  <c:v>503.21</c:v>
                </c:pt>
                <c:pt idx="207">
                  <c:v>471.48</c:v>
                </c:pt>
                <c:pt idx="208">
                  <c:v>424.4</c:v>
                </c:pt>
                <c:pt idx="209">
                  <c:v>455.03</c:v>
                </c:pt>
                <c:pt idx="210">
                  <c:v>498.38</c:v>
                </c:pt>
                <c:pt idx="211">
                  <c:v>472.95</c:v>
                </c:pt>
                <c:pt idx="212">
                  <c:v>380.33</c:v>
                </c:pt>
                <c:pt idx="213">
                  <c:v>373.43</c:v>
                </c:pt>
                <c:pt idx="214">
                  <c:v>357.04</c:v>
                </c:pt>
                <c:pt idx="215">
                  <c:v>362.08</c:v>
                </c:pt>
                <c:pt idx="216">
                  <c:v>355.66</c:v>
                </c:pt>
                <c:pt idx="217">
                  <c:v>331.21</c:v>
                </c:pt>
                <c:pt idx="218">
                  <c:v>385.18</c:v>
                </c:pt>
                <c:pt idx="219">
                  <c:v>400.92</c:v>
                </c:pt>
                <c:pt idx="220">
                  <c:v>453.47</c:v>
                </c:pt>
                <c:pt idx="221">
                  <c:v>434.16</c:v>
                </c:pt>
                <c:pt idx="222">
                  <c:v>428.68</c:v>
                </c:pt>
                <c:pt idx="223">
                  <c:v>441.45</c:v>
                </c:pt>
                <c:pt idx="224">
                  <c:v>448.7</c:v>
                </c:pt>
                <c:pt idx="225">
                  <c:v>458.4</c:v>
                </c:pt>
                <c:pt idx="226">
                  <c:v>463.8</c:v>
                </c:pt>
                <c:pt idx="227">
                  <c:v>448.6</c:v>
                </c:pt>
                <c:pt idx="228">
                  <c:v>495.4</c:v>
                </c:pt>
                <c:pt idx="229">
                  <c:v>493.3</c:v>
                </c:pt>
                <c:pt idx="230">
                  <c:v>497.5</c:v>
                </c:pt>
                <c:pt idx="231">
                  <c:v>471.8</c:v>
                </c:pt>
                <c:pt idx="232">
                  <c:v>428</c:v>
                </c:pt>
                <c:pt idx="233">
                  <c:v>377.7</c:v>
                </c:pt>
                <c:pt idx="234">
                  <c:v>417.8</c:v>
                </c:pt>
                <c:pt idx="235">
                  <c:v>433.9</c:v>
                </c:pt>
                <c:pt idx="236">
                  <c:v>443.6</c:v>
                </c:pt>
                <c:pt idx="237">
                  <c:v>519</c:v>
                </c:pt>
                <c:pt idx="238">
                  <c:v>480.5</c:v>
                </c:pt>
                <c:pt idx="239">
                  <c:v>467.1</c:v>
                </c:pt>
                <c:pt idx="240">
                  <c:v>591.1</c:v>
                </c:pt>
                <c:pt idx="241">
                  <c:v>586.20000000000005</c:v>
                </c:pt>
                <c:pt idx="242">
                  <c:v>608.5</c:v>
                </c:pt>
                <c:pt idx="243">
                  <c:v>697.8</c:v>
                </c:pt>
                <c:pt idx="244">
                  <c:v>733.4</c:v>
                </c:pt>
                <c:pt idx="245">
                  <c:v>927.3</c:v>
                </c:pt>
                <c:pt idx="246">
                  <c:v>787.1</c:v>
                </c:pt>
                <c:pt idx="247">
                  <c:v>773.6</c:v>
                </c:pt>
                <c:pt idx="248">
                  <c:v>722.1</c:v>
                </c:pt>
                <c:pt idx="249">
                  <c:v>705.2</c:v>
                </c:pt>
                <c:pt idx="250">
                  <c:v>625.5</c:v>
                </c:pt>
                <c:pt idx="251">
                  <c:v>516.4</c:v>
                </c:pt>
                <c:pt idx="252">
                  <c:v>618.4</c:v>
                </c:pt>
                <c:pt idx="253">
                  <c:v>680.9</c:v>
                </c:pt>
                <c:pt idx="254">
                  <c:v>768.7</c:v>
                </c:pt>
                <c:pt idx="255">
                  <c:v>813.5</c:v>
                </c:pt>
                <c:pt idx="256">
                  <c:v>789.7</c:v>
                </c:pt>
                <c:pt idx="257">
                  <c:v>684.3</c:v>
                </c:pt>
                <c:pt idx="258">
                  <c:v>767.6</c:v>
                </c:pt>
                <c:pt idx="259">
                  <c:v>843.6</c:v>
                </c:pt>
                <c:pt idx="260">
                  <c:v>525.79999999999995</c:v>
                </c:pt>
                <c:pt idx="261">
                  <c:v>672.6</c:v>
                </c:pt>
                <c:pt idx="262">
                  <c:v>746.8</c:v>
                </c:pt>
                <c:pt idx="263">
                  <c:v>901.7</c:v>
                </c:pt>
                <c:pt idx="264" formatCode="#,##0.00">
                  <c:v>1085.9000000000001</c:v>
                </c:pt>
                <c:pt idx="265" formatCode="#,##0.00">
                  <c:v>1158</c:v>
                </c:pt>
                <c:pt idx="266" formatCode="#,##0.00">
                  <c:v>1518.6</c:v>
                </c:pt>
                <c:pt idx="267" formatCode="#,##0.00">
                  <c:v>1441.5</c:v>
                </c:pt>
                <c:pt idx="268" formatCode="#,##0.00">
                  <c:v>1581.8</c:v>
                </c:pt>
                <c:pt idx="269" formatCode="#,##0.00">
                  <c:v>2212.6999999999998</c:v>
                </c:pt>
                <c:pt idx="270" formatCode="#,##0.00">
                  <c:v>2663.7</c:v>
                </c:pt>
                <c:pt idx="271" formatCode="#,##0.00">
                  <c:v>1903.7</c:v>
                </c:pt>
                <c:pt idx="272" formatCode="#,##0.00">
                  <c:v>2561.4</c:v>
                </c:pt>
                <c:pt idx="273" formatCode="#,##0.00">
                  <c:v>2292</c:v>
                </c:pt>
                <c:pt idx="274" formatCode="#,##0.00">
                  <c:v>1793.8</c:v>
                </c:pt>
                <c:pt idx="275" formatCode="#,##0.00">
                  <c:v>1571.2</c:v>
                </c:pt>
                <c:pt idx="276" formatCode="#,##0.00">
                  <c:v>2009.6</c:v>
                </c:pt>
                <c:pt idx="277" formatCode="#,##0.00">
                  <c:v>1929.7</c:v>
                </c:pt>
                <c:pt idx="278" formatCode="#,##0.00">
                  <c:v>1795.5</c:v>
                </c:pt>
                <c:pt idx="279" formatCode="#,##0.00">
                  <c:v>1454.8</c:v>
                </c:pt>
                <c:pt idx="280" formatCode="#,##0.00">
                  <c:v>1191</c:v>
                </c:pt>
                <c:pt idx="281">
                  <c:v>797.9</c:v>
                </c:pt>
                <c:pt idx="282">
                  <c:v>723</c:v>
                </c:pt>
                <c:pt idx="283">
                  <c:v>761.6</c:v>
                </c:pt>
                <c:pt idx="284">
                  <c:v>751.8</c:v>
                </c:pt>
                <c:pt idx="285">
                  <c:v>641.29999999999995</c:v>
                </c:pt>
                <c:pt idx="286">
                  <c:v>639.4</c:v>
                </c:pt>
                <c:pt idx="287">
                  <c:v>610.29999999999995</c:v>
                </c:pt>
                <c:pt idx="288">
                  <c:v>637.6</c:v>
                </c:pt>
                <c:pt idx="289">
                  <c:v>698.1</c:v>
                </c:pt>
                <c:pt idx="290">
                  <c:v>746.7</c:v>
                </c:pt>
                <c:pt idx="291">
                  <c:v>782.9</c:v>
                </c:pt>
                <c:pt idx="292">
                  <c:v>906</c:v>
                </c:pt>
                <c:pt idx="293" formatCode="#,##0.00">
                  <c:v>1030.5999999999999</c:v>
                </c:pt>
                <c:pt idx="294" formatCode="#,##0.00">
                  <c:v>1032.7</c:v>
                </c:pt>
                <c:pt idx="295" formatCode="#,##0.00">
                  <c:v>1031.2</c:v>
                </c:pt>
                <c:pt idx="296">
                  <c:v>972.5</c:v>
                </c:pt>
                <c:pt idx="297" formatCode="#,##0.00">
                  <c:v>1098.0999999999999</c:v>
                </c:pt>
                <c:pt idx="298" formatCode="#,##0.00">
                  <c:v>1204.3</c:v>
                </c:pt>
                <c:pt idx="299" formatCode="#,##0.00">
                  <c:v>1327.4</c:v>
                </c:pt>
                <c:pt idx="300" formatCode="#,##0.00">
                  <c:v>1340.1</c:v>
                </c:pt>
                <c:pt idx="301" formatCode="#,##0.00">
                  <c:v>1331.3</c:v>
                </c:pt>
                <c:pt idx="302" formatCode="#,##0.00">
                  <c:v>1331.1</c:v>
                </c:pt>
                <c:pt idx="303" formatCode="#,##0.00">
                  <c:v>1308.0999999999999</c:v>
                </c:pt>
                <c:pt idx="304" formatCode="#,##0.00">
                  <c:v>1252.9000000000001</c:v>
                </c:pt>
                <c:pt idx="305" formatCode="#,##0.00">
                  <c:v>1204.7</c:v>
                </c:pt>
                <c:pt idx="306" formatCode="#,##0.00">
                  <c:v>1183.5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A-9846-884D-72EB5C3DD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519"/>
        <c:axId val="34301807"/>
      </c:lineChart>
      <c:catAx>
        <c:axId val="19925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18783"/>
        <c:crosses val="autoZero"/>
        <c:auto val="1"/>
        <c:lblAlgn val="ctr"/>
        <c:lblOffset val="100"/>
        <c:noMultiLvlLbl val="0"/>
      </c:catAx>
      <c:valAx>
        <c:axId val="951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88111"/>
        <c:crosses val="autoZero"/>
        <c:crossBetween val="between"/>
      </c:valAx>
      <c:valAx>
        <c:axId val="34301807"/>
        <c:scaling>
          <c:orientation val="minMax"/>
          <c:max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159519"/>
        <c:crosses val="max"/>
        <c:crossBetween val="between"/>
      </c:valAx>
      <c:catAx>
        <c:axId val="34159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1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'20'!$B$2:$B$40</c:f>
              <c:numCache>
                <c:formatCode>General</c:formatCode>
                <c:ptCount val="39"/>
                <c:pt idx="0">
                  <c:v>61.6</c:v>
                </c:pt>
                <c:pt idx="1">
                  <c:v>63.57</c:v>
                </c:pt>
                <c:pt idx="2">
                  <c:v>63.18</c:v>
                </c:pt>
                <c:pt idx="3">
                  <c:v>66.709999999999994</c:v>
                </c:pt>
                <c:pt idx="4">
                  <c:v>67.209999999999994</c:v>
                </c:pt>
                <c:pt idx="5">
                  <c:v>61.25</c:v>
                </c:pt>
                <c:pt idx="6">
                  <c:v>69.36</c:v>
                </c:pt>
                <c:pt idx="7">
                  <c:v>67.89</c:v>
                </c:pt>
                <c:pt idx="8">
                  <c:v>77.06</c:v>
                </c:pt>
                <c:pt idx="9">
                  <c:v>76.989999999999995</c:v>
                </c:pt>
                <c:pt idx="10">
                  <c:v>75.59</c:v>
                </c:pt>
                <c:pt idx="11">
                  <c:v>81.41</c:v>
                </c:pt>
                <c:pt idx="12">
                  <c:v>80.599999999999994</c:v>
                </c:pt>
                <c:pt idx="13">
                  <c:v>78.59</c:v>
                </c:pt>
                <c:pt idx="14">
                  <c:v>83.74</c:v>
                </c:pt>
                <c:pt idx="15">
                  <c:v>91.09</c:v>
                </c:pt>
                <c:pt idx="16">
                  <c:v>81.94</c:v>
                </c:pt>
                <c:pt idx="17">
                  <c:v>78.239999999999995</c:v>
                </c:pt>
                <c:pt idx="18">
                  <c:v>71.94</c:v>
                </c:pt>
                <c:pt idx="19">
                  <c:v>79.41</c:v>
                </c:pt>
                <c:pt idx="20">
                  <c:v>82.31</c:v>
                </c:pt>
                <c:pt idx="21">
                  <c:v>84.67</c:v>
                </c:pt>
                <c:pt idx="22">
                  <c:v>89.75</c:v>
                </c:pt>
                <c:pt idx="23">
                  <c:v>84.08</c:v>
                </c:pt>
                <c:pt idx="24">
                  <c:v>89.85</c:v>
                </c:pt>
                <c:pt idx="25">
                  <c:v>87.15</c:v>
                </c:pt>
                <c:pt idx="26">
                  <c:v>90.98</c:v>
                </c:pt>
                <c:pt idx="27">
                  <c:v>91.88</c:v>
                </c:pt>
                <c:pt idx="28">
                  <c:v>79.28</c:v>
                </c:pt>
                <c:pt idx="29">
                  <c:v>78.06</c:v>
                </c:pt>
                <c:pt idx="30">
                  <c:v>83.23</c:v>
                </c:pt>
                <c:pt idx="31">
                  <c:v>91.92</c:v>
                </c:pt>
                <c:pt idx="32">
                  <c:v>104.05</c:v>
                </c:pt>
                <c:pt idx="33">
                  <c:v>109.65</c:v>
                </c:pt>
                <c:pt idx="34">
                  <c:v>124.38</c:v>
                </c:pt>
                <c:pt idx="35">
                  <c:v>124.9</c:v>
                </c:pt>
                <c:pt idx="36">
                  <c:v>110</c:v>
                </c:pt>
                <c:pt idx="37">
                  <c:v>119.57</c:v>
                </c:pt>
                <c:pt idx="38">
                  <c:v>138.99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4-DE49-BE44-FAEBA0427455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'20'!$C$2:$C$40</c:f>
              <c:numCache>
                <c:formatCode>General</c:formatCode>
                <c:ptCount val="39"/>
                <c:pt idx="0">
                  <c:v>0.48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0.69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0.79</c:v>
                </c:pt>
                <c:pt idx="3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4-DE49-BE44-FAEBA0427455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'20'!$D$2:$D$40</c:f>
              <c:numCache>
                <c:formatCode>General</c:formatCode>
                <c:ptCount val="39"/>
                <c:pt idx="0">
                  <c:v>20230</c:v>
                </c:pt>
                <c:pt idx="1">
                  <c:v>20860</c:v>
                </c:pt>
                <c:pt idx="2">
                  <c:v>21917</c:v>
                </c:pt>
                <c:pt idx="3">
                  <c:v>22135</c:v>
                </c:pt>
                <c:pt idx="4">
                  <c:v>20194</c:v>
                </c:pt>
                <c:pt idx="5">
                  <c:v>20212</c:v>
                </c:pt>
                <c:pt idx="6">
                  <c:v>20739</c:v>
                </c:pt>
                <c:pt idx="7">
                  <c:v>22175</c:v>
                </c:pt>
                <c:pt idx="8">
                  <c:v>20598</c:v>
                </c:pt>
                <c:pt idx="9">
                  <c:v>20655</c:v>
                </c:pt>
                <c:pt idx="10">
                  <c:v>21205</c:v>
                </c:pt>
                <c:pt idx="11">
                  <c:v>22280</c:v>
                </c:pt>
                <c:pt idx="12">
                  <c:v>20559</c:v>
                </c:pt>
                <c:pt idx="13">
                  <c:v>19018</c:v>
                </c:pt>
                <c:pt idx="14">
                  <c:v>20792</c:v>
                </c:pt>
                <c:pt idx="15">
                  <c:v>20161</c:v>
                </c:pt>
                <c:pt idx="16">
                  <c:v>18142</c:v>
                </c:pt>
                <c:pt idx="17">
                  <c:v>17790</c:v>
                </c:pt>
                <c:pt idx="18">
                  <c:v>16527</c:v>
                </c:pt>
                <c:pt idx="19">
                  <c:v>16915</c:v>
                </c:pt>
                <c:pt idx="20">
                  <c:v>15755</c:v>
                </c:pt>
                <c:pt idx="21">
                  <c:v>16102</c:v>
                </c:pt>
                <c:pt idx="22">
                  <c:v>16518</c:v>
                </c:pt>
                <c:pt idx="23">
                  <c:v>16856</c:v>
                </c:pt>
                <c:pt idx="24">
                  <c:v>15605</c:v>
                </c:pt>
                <c:pt idx="25">
                  <c:v>16079</c:v>
                </c:pt>
                <c:pt idx="26">
                  <c:v>16653</c:v>
                </c:pt>
                <c:pt idx="27">
                  <c:v>17395</c:v>
                </c:pt>
                <c:pt idx="28">
                  <c:v>16281</c:v>
                </c:pt>
                <c:pt idx="29">
                  <c:v>16503</c:v>
                </c:pt>
                <c:pt idx="30">
                  <c:v>16690</c:v>
                </c:pt>
                <c:pt idx="31">
                  <c:v>17438</c:v>
                </c:pt>
                <c:pt idx="32">
                  <c:v>16462</c:v>
                </c:pt>
                <c:pt idx="33">
                  <c:v>17094</c:v>
                </c:pt>
                <c:pt idx="34">
                  <c:v>17798</c:v>
                </c:pt>
                <c:pt idx="35">
                  <c:v>18240</c:v>
                </c:pt>
                <c:pt idx="36">
                  <c:v>17214</c:v>
                </c:pt>
                <c:pt idx="37">
                  <c:v>17698</c:v>
                </c:pt>
                <c:pt idx="38">
                  <c:v>19318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4-DE49-BE44-FAEBA0427455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'20'!$E$2:$E$40</c:f>
              <c:numCache>
                <c:formatCode>General</c:formatCode>
                <c:ptCount val="39"/>
                <c:pt idx="0">
                  <c:v>3772</c:v>
                </c:pt>
                <c:pt idx="1">
                  <c:v>3285</c:v>
                </c:pt>
                <c:pt idx="2">
                  <c:v>4334</c:v>
                </c:pt>
                <c:pt idx="3">
                  <c:v>4293</c:v>
                </c:pt>
                <c:pt idx="4">
                  <c:v>3321</c:v>
                </c:pt>
                <c:pt idx="5">
                  <c:v>3063</c:v>
                </c:pt>
                <c:pt idx="6">
                  <c:v>3951</c:v>
                </c:pt>
                <c:pt idx="7">
                  <c:v>4492</c:v>
                </c:pt>
                <c:pt idx="8">
                  <c:v>3405</c:v>
                </c:pt>
                <c:pt idx="9">
                  <c:v>2941</c:v>
                </c:pt>
                <c:pt idx="10">
                  <c:v>4151</c:v>
                </c:pt>
                <c:pt idx="11">
                  <c:v>4552</c:v>
                </c:pt>
                <c:pt idx="12">
                  <c:v>3458</c:v>
                </c:pt>
                <c:pt idx="13">
                  <c:v>3127</c:v>
                </c:pt>
                <c:pt idx="14">
                  <c:v>3913</c:v>
                </c:pt>
                <c:pt idx="15">
                  <c:v>3947</c:v>
                </c:pt>
                <c:pt idx="16">
                  <c:v>3135</c:v>
                </c:pt>
                <c:pt idx="17">
                  <c:v>2958</c:v>
                </c:pt>
                <c:pt idx="18">
                  <c:v>3768</c:v>
                </c:pt>
                <c:pt idx="19">
                  <c:v>3853</c:v>
                </c:pt>
                <c:pt idx="20">
                  <c:v>3318</c:v>
                </c:pt>
                <c:pt idx="21">
                  <c:v>2502</c:v>
                </c:pt>
                <c:pt idx="22">
                  <c:v>3771</c:v>
                </c:pt>
                <c:pt idx="23">
                  <c:v>3875</c:v>
                </c:pt>
                <c:pt idx="24">
                  <c:v>3360</c:v>
                </c:pt>
                <c:pt idx="25">
                  <c:v>2949</c:v>
                </c:pt>
                <c:pt idx="26">
                  <c:v>3735</c:v>
                </c:pt>
                <c:pt idx="27">
                  <c:v>4003</c:v>
                </c:pt>
                <c:pt idx="28">
                  <c:v>3296</c:v>
                </c:pt>
                <c:pt idx="29">
                  <c:v>2677</c:v>
                </c:pt>
                <c:pt idx="30">
                  <c:v>3554</c:v>
                </c:pt>
                <c:pt idx="31">
                  <c:v>3896</c:v>
                </c:pt>
                <c:pt idx="32">
                  <c:v>3229</c:v>
                </c:pt>
                <c:pt idx="33">
                  <c:v>3153</c:v>
                </c:pt>
                <c:pt idx="34">
                  <c:v>4290</c:v>
                </c:pt>
                <c:pt idx="35">
                  <c:v>4482</c:v>
                </c:pt>
                <c:pt idx="36">
                  <c:v>3453</c:v>
                </c:pt>
                <c:pt idx="37">
                  <c:v>3481</c:v>
                </c:pt>
                <c:pt idx="38">
                  <c:v>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4-DE49-BE44-FAEBA0427455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'20'!$F$2:$F$40</c:f>
              <c:numCache>
                <c:formatCode>General</c:formatCode>
                <c:ptCount val="39"/>
                <c:pt idx="0">
                  <c:v>2873</c:v>
                </c:pt>
                <c:pt idx="1">
                  <c:v>2510</c:v>
                </c:pt>
                <c:pt idx="2">
                  <c:v>3024</c:v>
                </c:pt>
                <c:pt idx="3">
                  <c:v>1690</c:v>
                </c:pt>
                <c:pt idx="4">
                  <c:v>2411</c:v>
                </c:pt>
                <c:pt idx="5">
                  <c:v>3631</c:v>
                </c:pt>
                <c:pt idx="6">
                  <c:v>2814</c:v>
                </c:pt>
                <c:pt idx="7">
                  <c:v>4057</c:v>
                </c:pt>
                <c:pt idx="8">
                  <c:v>2566</c:v>
                </c:pt>
                <c:pt idx="9">
                  <c:v>1875</c:v>
                </c:pt>
                <c:pt idx="10">
                  <c:v>3027</c:v>
                </c:pt>
                <c:pt idx="11">
                  <c:v>3428</c:v>
                </c:pt>
                <c:pt idx="12">
                  <c:v>2609</c:v>
                </c:pt>
                <c:pt idx="13">
                  <c:v>2579</c:v>
                </c:pt>
                <c:pt idx="14">
                  <c:v>1990</c:v>
                </c:pt>
                <c:pt idx="15">
                  <c:v>2372</c:v>
                </c:pt>
                <c:pt idx="16">
                  <c:v>2153</c:v>
                </c:pt>
                <c:pt idx="17">
                  <c:v>521</c:v>
                </c:pt>
                <c:pt idx="18">
                  <c:v>2601</c:v>
                </c:pt>
                <c:pt idx="19">
                  <c:v>3206</c:v>
                </c:pt>
                <c:pt idx="20">
                  <c:v>2750</c:v>
                </c:pt>
                <c:pt idx="21">
                  <c:v>1951</c:v>
                </c:pt>
                <c:pt idx="22">
                  <c:v>2714</c:v>
                </c:pt>
                <c:pt idx="23">
                  <c:v>7875</c:v>
                </c:pt>
                <c:pt idx="24">
                  <c:v>2522</c:v>
                </c:pt>
                <c:pt idx="25">
                  <c:v>2215</c:v>
                </c:pt>
                <c:pt idx="26">
                  <c:v>2853</c:v>
                </c:pt>
                <c:pt idx="27">
                  <c:v>2495</c:v>
                </c:pt>
                <c:pt idx="28">
                  <c:v>2511</c:v>
                </c:pt>
                <c:pt idx="29">
                  <c:v>1891</c:v>
                </c:pt>
                <c:pt idx="30">
                  <c:v>3199</c:v>
                </c:pt>
                <c:pt idx="31">
                  <c:v>3194</c:v>
                </c:pt>
                <c:pt idx="32">
                  <c:v>2745</c:v>
                </c:pt>
                <c:pt idx="33">
                  <c:v>-5241</c:v>
                </c:pt>
                <c:pt idx="34">
                  <c:v>3593</c:v>
                </c:pt>
                <c:pt idx="35">
                  <c:v>3717</c:v>
                </c:pt>
                <c:pt idx="36">
                  <c:v>2917</c:v>
                </c:pt>
                <c:pt idx="37">
                  <c:v>2800</c:v>
                </c:pt>
                <c:pt idx="38">
                  <c:v>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F4-DE49-BE44-FAEBA0427455}"/>
            </c:ext>
          </c:extLst>
        </c:ser>
        <c:ser>
          <c:idx val="7"/>
          <c:order val="7"/>
          <c:tx>
            <c:strRef>
              <c:f>'20'!$I$1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'20'!$I$2:$I$40</c:f>
              <c:numCache>
                <c:formatCode>General</c:formatCode>
                <c:ptCount val="39"/>
                <c:pt idx="0">
                  <c:v>50.72</c:v>
                </c:pt>
                <c:pt idx="1">
                  <c:v>50.14</c:v>
                </c:pt>
                <c:pt idx="2">
                  <c:v>51.11</c:v>
                </c:pt>
                <c:pt idx="3">
                  <c:v>51.11</c:v>
                </c:pt>
                <c:pt idx="4">
                  <c:v>60.49</c:v>
                </c:pt>
                <c:pt idx="5">
                  <c:v>64.42</c:v>
                </c:pt>
                <c:pt idx="6">
                  <c:v>68.489999999999995</c:v>
                </c:pt>
                <c:pt idx="7">
                  <c:v>56.69</c:v>
                </c:pt>
                <c:pt idx="8">
                  <c:v>56.69</c:v>
                </c:pt>
                <c:pt idx="9">
                  <c:v>56.62</c:v>
                </c:pt>
                <c:pt idx="10">
                  <c:v>59.26</c:v>
                </c:pt>
                <c:pt idx="11">
                  <c:v>59.06</c:v>
                </c:pt>
                <c:pt idx="12">
                  <c:v>63.62</c:v>
                </c:pt>
                <c:pt idx="13">
                  <c:v>63.99</c:v>
                </c:pt>
                <c:pt idx="14">
                  <c:v>61.51</c:v>
                </c:pt>
                <c:pt idx="15">
                  <c:v>68.599999999999994</c:v>
                </c:pt>
                <c:pt idx="16">
                  <c:v>65.430000000000007</c:v>
                </c:pt>
                <c:pt idx="17">
                  <c:v>67.22</c:v>
                </c:pt>
                <c:pt idx="18">
                  <c:v>84.76</c:v>
                </c:pt>
                <c:pt idx="19">
                  <c:v>84.56</c:v>
                </c:pt>
                <c:pt idx="20">
                  <c:v>82.78</c:v>
                </c:pt>
                <c:pt idx="21">
                  <c:v>83.65</c:v>
                </c:pt>
                <c:pt idx="22">
                  <c:v>76.17</c:v>
                </c:pt>
                <c:pt idx="23">
                  <c:v>75.489999999999995</c:v>
                </c:pt>
                <c:pt idx="24">
                  <c:v>77.430000000000007</c:v>
                </c:pt>
                <c:pt idx="25">
                  <c:v>74.8</c:v>
                </c:pt>
                <c:pt idx="26">
                  <c:v>73.12</c:v>
                </c:pt>
                <c:pt idx="27">
                  <c:v>72.489999999999995</c:v>
                </c:pt>
                <c:pt idx="28">
                  <c:v>72.83</c:v>
                </c:pt>
                <c:pt idx="29">
                  <c:v>73.36</c:v>
                </c:pt>
                <c:pt idx="30">
                  <c:v>75.91</c:v>
                </c:pt>
                <c:pt idx="31">
                  <c:v>73.459999999999994</c:v>
                </c:pt>
                <c:pt idx="32">
                  <c:v>69.13</c:v>
                </c:pt>
                <c:pt idx="33">
                  <c:v>68.14</c:v>
                </c:pt>
                <c:pt idx="34">
                  <c:v>202.62</c:v>
                </c:pt>
                <c:pt idx="35">
                  <c:v>186.38</c:v>
                </c:pt>
                <c:pt idx="36">
                  <c:v>167.89</c:v>
                </c:pt>
                <c:pt idx="37">
                  <c:v>162.15</c:v>
                </c:pt>
                <c:pt idx="38">
                  <c:v>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F4-DE49-BE44-FAEBA0427455}"/>
            </c:ext>
          </c:extLst>
        </c:ser>
        <c:ser>
          <c:idx val="8"/>
          <c:order val="8"/>
          <c:tx>
            <c:strRef>
              <c:f>'20'!$J$1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'20'!$J$2:$J$40</c:f>
              <c:numCache>
                <c:formatCode>General</c:formatCode>
                <c:ptCount val="39"/>
                <c:pt idx="0">
                  <c:v>4056</c:v>
                </c:pt>
                <c:pt idx="1">
                  <c:v>3846</c:v>
                </c:pt>
                <c:pt idx="2">
                  <c:v>2167</c:v>
                </c:pt>
                <c:pt idx="3">
                  <c:v>3328</c:v>
                </c:pt>
                <c:pt idx="4">
                  <c:v>3816</c:v>
                </c:pt>
                <c:pt idx="5">
                  <c:v>3973</c:v>
                </c:pt>
                <c:pt idx="6">
                  <c:v>2770</c:v>
                </c:pt>
                <c:pt idx="7">
                  <c:v>3849</c:v>
                </c:pt>
                <c:pt idx="8">
                  <c:v>3862</c:v>
                </c:pt>
                <c:pt idx="9">
                  <c:v>4392</c:v>
                </c:pt>
                <c:pt idx="10">
                  <c:v>2044</c:v>
                </c:pt>
                <c:pt idx="11">
                  <c:v>3299</c:v>
                </c:pt>
                <c:pt idx="12">
                  <c:v>4109</c:v>
                </c:pt>
                <c:pt idx="13">
                  <c:v>4506</c:v>
                </c:pt>
                <c:pt idx="14">
                  <c:v>3633</c:v>
                </c:pt>
                <c:pt idx="15">
                  <c:v>3435</c:v>
                </c:pt>
                <c:pt idx="16">
                  <c:v>3552</c:v>
                </c:pt>
                <c:pt idx="17">
                  <c:v>3988</c:v>
                </c:pt>
                <c:pt idx="18">
                  <c:v>3538</c:v>
                </c:pt>
                <c:pt idx="19">
                  <c:v>4480</c:v>
                </c:pt>
                <c:pt idx="20">
                  <c:v>3278</c:v>
                </c:pt>
                <c:pt idx="21">
                  <c:v>4139</c:v>
                </c:pt>
                <c:pt idx="22">
                  <c:v>3025</c:v>
                </c:pt>
                <c:pt idx="23">
                  <c:v>3000</c:v>
                </c:pt>
                <c:pt idx="24">
                  <c:v>3040</c:v>
                </c:pt>
                <c:pt idx="25">
                  <c:v>3688</c:v>
                </c:pt>
                <c:pt idx="26">
                  <c:v>3631</c:v>
                </c:pt>
                <c:pt idx="27">
                  <c:v>3684</c:v>
                </c:pt>
                <c:pt idx="28">
                  <c:v>3353</c:v>
                </c:pt>
                <c:pt idx="29">
                  <c:v>4199</c:v>
                </c:pt>
                <c:pt idx="30">
                  <c:v>3567</c:v>
                </c:pt>
                <c:pt idx="31">
                  <c:v>4007</c:v>
                </c:pt>
                <c:pt idx="32">
                  <c:v>3517</c:v>
                </c:pt>
                <c:pt idx="33">
                  <c:v>4151</c:v>
                </c:pt>
                <c:pt idx="34">
                  <c:v>4169</c:v>
                </c:pt>
                <c:pt idx="35">
                  <c:v>4364</c:v>
                </c:pt>
                <c:pt idx="36">
                  <c:v>4064</c:v>
                </c:pt>
                <c:pt idx="37">
                  <c:v>4806</c:v>
                </c:pt>
                <c:pt idx="38">
                  <c:v>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6224"/>
        <c:axId val="81077760"/>
      </c:lineChart>
      <c:lineChart>
        <c:grouping val="standard"/>
        <c:varyColors val="0"/>
        <c:ser>
          <c:idx val="5"/>
          <c:order val="5"/>
          <c:tx>
            <c:strRef>
              <c:f>'20'!$G$1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'20'!$G$2:$G$40</c:f>
              <c:numCache>
                <c:formatCode>General</c:formatCode>
                <c:ptCount val="39"/>
                <c:pt idx="0">
                  <c:v>18.649999999999999</c:v>
                </c:pt>
                <c:pt idx="1">
                  <c:v>15.75</c:v>
                </c:pt>
                <c:pt idx="2">
                  <c:v>19.77</c:v>
                </c:pt>
                <c:pt idx="3">
                  <c:v>19.39</c:v>
                </c:pt>
                <c:pt idx="4">
                  <c:v>16.45</c:v>
                </c:pt>
                <c:pt idx="5">
                  <c:v>15.15</c:v>
                </c:pt>
                <c:pt idx="6">
                  <c:v>19.05</c:v>
                </c:pt>
                <c:pt idx="7">
                  <c:v>20.260000000000002</c:v>
                </c:pt>
                <c:pt idx="8">
                  <c:v>16.53</c:v>
                </c:pt>
                <c:pt idx="9">
                  <c:v>14.24</c:v>
                </c:pt>
                <c:pt idx="10">
                  <c:v>19.579999999999998</c:v>
                </c:pt>
                <c:pt idx="11">
                  <c:v>20.43</c:v>
                </c:pt>
                <c:pt idx="12">
                  <c:v>16.82</c:v>
                </c:pt>
                <c:pt idx="13">
                  <c:v>16.440000000000001</c:v>
                </c:pt>
                <c:pt idx="14">
                  <c:v>18.82</c:v>
                </c:pt>
                <c:pt idx="15">
                  <c:v>19.579999999999998</c:v>
                </c:pt>
                <c:pt idx="16">
                  <c:v>17.28</c:v>
                </c:pt>
                <c:pt idx="17">
                  <c:v>16.63</c:v>
                </c:pt>
                <c:pt idx="18">
                  <c:v>22.8</c:v>
                </c:pt>
                <c:pt idx="19">
                  <c:v>22.78</c:v>
                </c:pt>
                <c:pt idx="20">
                  <c:v>21.06</c:v>
                </c:pt>
                <c:pt idx="21">
                  <c:v>15.54</c:v>
                </c:pt>
                <c:pt idx="22">
                  <c:v>22.83</c:v>
                </c:pt>
                <c:pt idx="23">
                  <c:v>22.99</c:v>
                </c:pt>
                <c:pt idx="24">
                  <c:v>21.53</c:v>
                </c:pt>
                <c:pt idx="25">
                  <c:v>18.34</c:v>
                </c:pt>
                <c:pt idx="26">
                  <c:v>22.43</c:v>
                </c:pt>
                <c:pt idx="27">
                  <c:v>23.01</c:v>
                </c:pt>
                <c:pt idx="28">
                  <c:v>20.239999999999998</c:v>
                </c:pt>
                <c:pt idx="29">
                  <c:v>16.22</c:v>
                </c:pt>
                <c:pt idx="30">
                  <c:v>21.29</c:v>
                </c:pt>
                <c:pt idx="31">
                  <c:v>22.34</c:v>
                </c:pt>
                <c:pt idx="32">
                  <c:v>19.61</c:v>
                </c:pt>
                <c:pt idx="33">
                  <c:v>18.45</c:v>
                </c:pt>
                <c:pt idx="34">
                  <c:v>24.1</c:v>
                </c:pt>
                <c:pt idx="35">
                  <c:v>24.57</c:v>
                </c:pt>
                <c:pt idx="36">
                  <c:v>20.059999999999999</c:v>
                </c:pt>
                <c:pt idx="37">
                  <c:v>19.670000000000002</c:v>
                </c:pt>
                <c:pt idx="38">
                  <c:v>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F4-DE49-BE44-FAEBA0427455}"/>
            </c:ext>
          </c:extLst>
        </c:ser>
        <c:ser>
          <c:idx val="6"/>
          <c:order val="6"/>
          <c:tx>
            <c:strRef>
              <c:f>'20'!$H$1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'20'!$A$2:$A$40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'20'!$H$2:$H$40</c:f>
              <c:numCache>
                <c:formatCode>General</c:formatCode>
                <c:ptCount val="39"/>
                <c:pt idx="0">
                  <c:v>13.95</c:v>
                </c:pt>
                <c:pt idx="1">
                  <c:v>11.72</c:v>
                </c:pt>
                <c:pt idx="2">
                  <c:v>13.55</c:v>
                </c:pt>
                <c:pt idx="3">
                  <c:v>7.1</c:v>
                </c:pt>
                <c:pt idx="4">
                  <c:v>11.63</c:v>
                </c:pt>
                <c:pt idx="5">
                  <c:v>17.59</c:v>
                </c:pt>
                <c:pt idx="6">
                  <c:v>13.29</c:v>
                </c:pt>
                <c:pt idx="7">
                  <c:v>18</c:v>
                </c:pt>
                <c:pt idx="8">
                  <c:v>12.2</c:v>
                </c:pt>
                <c:pt idx="9">
                  <c:v>8.75</c:v>
                </c:pt>
                <c:pt idx="10">
                  <c:v>14</c:v>
                </c:pt>
                <c:pt idx="11">
                  <c:v>15.09</c:v>
                </c:pt>
                <c:pt idx="12">
                  <c:v>12.41</c:v>
                </c:pt>
                <c:pt idx="13">
                  <c:v>13.19</c:v>
                </c:pt>
                <c:pt idx="14">
                  <c:v>9.2799999999999994</c:v>
                </c:pt>
                <c:pt idx="15">
                  <c:v>11.42</c:v>
                </c:pt>
                <c:pt idx="16">
                  <c:v>11.54</c:v>
                </c:pt>
                <c:pt idx="17">
                  <c:v>2.54</c:v>
                </c:pt>
                <c:pt idx="18">
                  <c:v>15.34</c:v>
                </c:pt>
                <c:pt idx="19">
                  <c:v>18.579999999999998</c:v>
                </c:pt>
                <c:pt idx="20">
                  <c:v>17.05</c:v>
                </c:pt>
                <c:pt idx="21">
                  <c:v>11.73</c:v>
                </c:pt>
                <c:pt idx="22">
                  <c:v>16.05</c:v>
                </c:pt>
                <c:pt idx="23">
                  <c:v>46.36</c:v>
                </c:pt>
                <c:pt idx="24">
                  <c:v>15.78</c:v>
                </c:pt>
                <c:pt idx="25">
                  <c:v>13.38</c:v>
                </c:pt>
                <c:pt idx="26">
                  <c:v>16.760000000000002</c:v>
                </c:pt>
                <c:pt idx="27">
                  <c:v>13.99</c:v>
                </c:pt>
                <c:pt idx="28">
                  <c:v>14.97</c:v>
                </c:pt>
                <c:pt idx="29">
                  <c:v>11.05</c:v>
                </c:pt>
                <c:pt idx="30">
                  <c:v>18.77</c:v>
                </c:pt>
                <c:pt idx="31">
                  <c:v>17.940000000000001</c:v>
                </c:pt>
                <c:pt idx="32">
                  <c:v>16.29</c:v>
                </c:pt>
                <c:pt idx="33">
                  <c:v>-31.06</c:v>
                </c:pt>
                <c:pt idx="34">
                  <c:v>19.82</c:v>
                </c:pt>
                <c:pt idx="35">
                  <c:v>20.03</c:v>
                </c:pt>
                <c:pt idx="36">
                  <c:v>16.57</c:v>
                </c:pt>
                <c:pt idx="37">
                  <c:v>15.43</c:v>
                </c:pt>
                <c:pt idx="38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F4-DE49-BE44-FAEBA042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93376"/>
        <c:axId val="81079296"/>
      </c:line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7760"/>
        <c:crosses val="autoZero"/>
        <c:auto val="1"/>
        <c:lblAlgn val="ctr"/>
        <c:lblOffset val="100"/>
        <c:tickMarkSkip val="1"/>
        <c:noMultiLvlLbl val="0"/>
      </c:catAx>
      <c:valAx>
        <c:axId val="810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76224"/>
        <c:crosses val="autoZero"/>
        <c:crossBetween val="between"/>
      </c:valAx>
      <c:valAx>
        <c:axId val="8107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093376"/>
        <c:crosses val="max"/>
        <c:crossBetween val="between"/>
      </c:valAx>
      <c:catAx>
        <c:axId val="8109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079296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3405511677265167E-2"/>
          <c:y val="5.3206108510494045E-2"/>
          <c:w val="0.88389128446579246"/>
          <c:h val="0.68792468309402699"/>
        </c:manualLayout>
      </c:layout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'20'!$K$2:$K$39</c:f>
              <c:numCache>
                <c:formatCode>General</c:formatCode>
                <c:ptCount val="38"/>
                <c:pt idx="0">
                  <c:v>0.10416666666666677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5.660377358490571E-2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7.1428571428571286E-2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6.6666666666666735E-2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3.1250000000000028E-2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1.5151515151515164E-2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2.9850746268656577E-2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4.3478260869565258E-2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4.1666666666666706E-2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5.3333333333333378E-2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3344-9C8A-9723682C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912"/>
        <c:axId val="81128448"/>
      </c:lineChart>
      <c:catAx>
        <c:axId val="8112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8448"/>
        <c:crosses val="autoZero"/>
        <c:auto val="1"/>
        <c:lblAlgn val="ctr"/>
        <c:lblOffset val="100"/>
        <c:tickMarkSkip val="1"/>
        <c:noMultiLvlLbl val="0"/>
      </c:catAx>
      <c:valAx>
        <c:axId val="811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126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'21'!$B$2:$B$40</c:f>
              <c:numCache>
                <c:formatCode>General</c:formatCode>
                <c:ptCount val="39"/>
                <c:pt idx="0">
                  <c:v>49.164999999999999</c:v>
                </c:pt>
                <c:pt idx="1">
                  <c:v>52.2</c:v>
                </c:pt>
                <c:pt idx="2">
                  <c:v>40.835000000000001</c:v>
                </c:pt>
                <c:pt idx="3">
                  <c:v>52.97</c:v>
                </c:pt>
                <c:pt idx="4">
                  <c:v>53.74</c:v>
                </c:pt>
                <c:pt idx="5">
                  <c:v>59.655000000000001</c:v>
                </c:pt>
                <c:pt idx="6">
                  <c:v>59.35</c:v>
                </c:pt>
                <c:pt idx="7">
                  <c:v>62.86</c:v>
                </c:pt>
                <c:pt idx="8">
                  <c:v>71.204999999999998</c:v>
                </c:pt>
                <c:pt idx="9">
                  <c:v>77.14</c:v>
                </c:pt>
                <c:pt idx="10">
                  <c:v>77.67</c:v>
                </c:pt>
                <c:pt idx="11">
                  <c:v>84</c:v>
                </c:pt>
                <c:pt idx="12">
                  <c:v>93.83</c:v>
                </c:pt>
                <c:pt idx="13">
                  <c:v>99.75</c:v>
                </c:pt>
                <c:pt idx="14">
                  <c:v>108.42</c:v>
                </c:pt>
                <c:pt idx="15">
                  <c:v>119.13</c:v>
                </c:pt>
                <c:pt idx="16">
                  <c:v>108.31</c:v>
                </c:pt>
                <c:pt idx="17">
                  <c:v>95.37</c:v>
                </c:pt>
                <c:pt idx="18">
                  <c:v>88.41</c:v>
                </c:pt>
                <c:pt idx="19">
                  <c:v>78.2</c:v>
                </c:pt>
                <c:pt idx="20">
                  <c:v>79.55</c:v>
                </c:pt>
                <c:pt idx="21">
                  <c:v>87.25</c:v>
                </c:pt>
                <c:pt idx="22">
                  <c:v>97.53</c:v>
                </c:pt>
                <c:pt idx="23">
                  <c:v>103.68</c:v>
                </c:pt>
                <c:pt idx="24">
                  <c:v>105.92</c:v>
                </c:pt>
                <c:pt idx="25">
                  <c:v>108.91</c:v>
                </c:pt>
                <c:pt idx="26">
                  <c:v>115.97</c:v>
                </c:pt>
                <c:pt idx="27">
                  <c:v>134.1</c:v>
                </c:pt>
                <c:pt idx="28">
                  <c:v>134.43</c:v>
                </c:pt>
                <c:pt idx="29">
                  <c:v>141.68</c:v>
                </c:pt>
                <c:pt idx="30">
                  <c:v>162.83000000000001</c:v>
                </c:pt>
                <c:pt idx="31">
                  <c:v>138.22999999999999</c:v>
                </c:pt>
                <c:pt idx="32">
                  <c:v>167.2</c:v>
                </c:pt>
                <c:pt idx="33">
                  <c:v>169.11</c:v>
                </c:pt>
                <c:pt idx="34">
                  <c:v>161.97999999999999</c:v>
                </c:pt>
                <c:pt idx="35">
                  <c:v>180.79</c:v>
                </c:pt>
                <c:pt idx="36">
                  <c:v>141.04</c:v>
                </c:pt>
                <c:pt idx="37">
                  <c:v>169.07</c:v>
                </c:pt>
                <c:pt idx="38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F-AE47-A514-27D28F767F0A}"/>
            </c:ext>
          </c:extLst>
        </c:ser>
        <c:ser>
          <c:idx val="1"/>
          <c:order val="1"/>
          <c:tx>
            <c:strRef>
              <c:f>'21'!$C$1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'21'!$C$2:$C$40</c:f>
              <c:numCache>
                <c:formatCode>General</c:formatCode>
                <c:ptCount val="39"/>
                <c:pt idx="0">
                  <c:v>0.19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0.4</c:v>
                </c:pt>
                <c:pt idx="11">
                  <c:v>0.4</c:v>
                </c:pt>
                <c:pt idx="12">
                  <c:v>0.46</c:v>
                </c:pt>
                <c:pt idx="13">
                  <c:v>0.46</c:v>
                </c:pt>
                <c:pt idx="14">
                  <c:v>0.5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0.67</c:v>
                </c:pt>
                <c:pt idx="28">
                  <c:v>0.73</c:v>
                </c:pt>
                <c:pt idx="29">
                  <c:v>0.73</c:v>
                </c:pt>
                <c:pt idx="30">
                  <c:v>0.8</c:v>
                </c:pt>
                <c:pt idx="31">
                  <c:v>0.8</c:v>
                </c:pt>
                <c:pt idx="32">
                  <c:v>0.88</c:v>
                </c:pt>
                <c:pt idx="33">
                  <c:v>0.88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F-AE47-A514-27D28F767F0A}"/>
            </c:ext>
          </c:extLst>
        </c:ser>
        <c:ser>
          <c:idx val="2"/>
          <c:order val="2"/>
          <c:tx>
            <c:strRef>
              <c:f>'21'!$D$1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'21'!$D$2:$D$40</c:f>
              <c:numCache>
                <c:formatCode>General</c:formatCode>
                <c:ptCount val="39"/>
                <c:pt idx="0">
                  <c:v>4490</c:v>
                </c:pt>
                <c:pt idx="1">
                  <c:v>4858</c:v>
                </c:pt>
                <c:pt idx="2">
                  <c:v>5101</c:v>
                </c:pt>
                <c:pt idx="3">
                  <c:v>5108</c:v>
                </c:pt>
                <c:pt idx="4">
                  <c:v>5112</c:v>
                </c:pt>
                <c:pt idx="5">
                  <c:v>5221</c:v>
                </c:pt>
                <c:pt idx="6">
                  <c:v>5343</c:v>
                </c:pt>
                <c:pt idx="7">
                  <c:v>5250</c:v>
                </c:pt>
                <c:pt idx="8">
                  <c:v>5290</c:v>
                </c:pt>
                <c:pt idx="9">
                  <c:v>5470</c:v>
                </c:pt>
                <c:pt idx="10">
                  <c:v>5573</c:v>
                </c:pt>
                <c:pt idx="11">
                  <c:v>5630</c:v>
                </c:pt>
                <c:pt idx="12">
                  <c:v>5638</c:v>
                </c:pt>
                <c:pt idx="13">
                  <c:v>6015</c:v>
                </c:pt>
                <c:pt idx="14">
                  <c:v>6182</c:v>
                </c:pt>
                <c:pt idx="15">
                  <c:v>6153</c:v>
                </c:pt>
                <c:pt idx="16">
                  <c:v>5614</c:v>
                </c:pt>
                <c:pt idx="17">
                  <c:v>5429</c:v>
                </c:pt>
                <c:pt idx="18">
                  <c:v>5562</c:v>
                </c:pt>
                <c:pt idx="19">
                  <c:v>5208</c:v>
                </c:pt>
                <c:pt idx="20">
                  <c:v>4829</c:v>
                </c:pt>
                <c:pt idx="21">
                  <c:v>4770</c:v>
                </c:pt>
                <c:pt idx="22">
                  <c:v>5174</c:v>
                </c:pt>
                <c:pt idx="23">
                  <c:v>5168</c:v>
                </c:pt>
                <c:pt idx="24">
                  <c:v>5132</c:v>
                </c:pt>
                <c:pt idx="25">
                  <c:v>5250</c:v>
                </c:pt>
                <c:pt idx="26">
                  <c:v>5408</c:v>
                </c:pt>
                <c:pt idx="27">
                  <c:v>5450</c:v>
                </c:pt>
                <c:pt idx="28">
                  <c:v>5475</c:v>
                </c:pt>
                <c:pt idx="29">
                  <c:v>5672</c:v>
                </c:pt>
                <c:pt idx="30">
                  <c:v>5928</c:v>
                </c:pt>
                <c:pt idx="31">
                  <c:v>5757</c:v>
                </c:pt>
                <c:pt idx="32">
                  <c:v>5384</c:v>
                </c:pt>
                <c:pt idx="33">
                  <c:v>5596</c:v>
                </c:pt>
                <c:pt idx="34">
                  <c:v>5516</c:v>
                </c:pt>
                <c:pt idx="35">
                  <c:v>5212</c:v>
                </c:pt>
                <c:pt idx="36">
                  <c:v>5229</c:v>
                </c:pt>
                <c:pt idx="37">
                  <c:v>4244</c:v>
                </c:pt>
                <c:pt idx="38">
                  <c:v>4919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F-AE47-A514-27D28F767F0A}"/>
            </c:ext>
          </c:extLst>
        </c:ser>
        <c:ser>
          <c:idx val="3"/>
          <c:order val="3"/>
          <c:tx>
            <c:strRef>
              <c:f>'21'!$E$1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'21'!$E$2:$E$40</c:f>
              <c:numCache>
                <c:formatCode>General</c:formatCode>
                <c:ptCount val="39"/>
                <c:pt idx="0">
                  <c:v>1325</c:v>
                </c:pt>
                <c:pt idx="1">
                  <c:v>1588</c:v>
                </c:pt>
                <c:pt idx="2">
                  <c:v>1785</c:v>
                </c:pt>
                <c:pt idx="3">
                  <c:v>1026</c:v>
                </c:pt>
                <c:pt idx="4">
                  <c:v>1510</c:v>
                </c:pt>
                <c:pt idx="5">
                  <c:v>1724</c:v>
                </c:pt>
                <c:pt idx="6">
                  <c:v>1786</c:v>
                </c:pt>
                <c:pt idx="7">
                  <c:v>1725</c:v>
                </c:pt>
                <c:pt idx="8">
                  <c:v>1633</c:v>
                </c:pt>
                <c:pt idx="9">
                  <c:v>1878</c:v>
                </c:pt>
                <c:pt idx="10">
                  <c:v>1962</c:v>
                </c:pt>
                <c:pt idx="11">
                  <c:v>1973</c:v>
                </c:pt>
                <c:pt idx="12">
                  <c:v>1854</c:v>
                </c:pt>
                <c:pt idx="13">
                  <c:v>2196</c:v>
                </c:pt>
                <c:pt idx="14">
                  <c:v>2330</c:v>
                </c:pt>
                <c:pt idx="15">
                  <c:v>2373</c:v>
                </c:pt>
                <c:pt idx="16">
                  <c:v>1977</c:v>
                </c:pt>
                <c:pt idx="17">
                  <c:v>1949</c:v>
                </c:pt>
                <c:pt idx="18">
                  <c:v>2208</c:v>
                </c:pt>
                <c:pt idx="19">
                  <c:v>1918</c:v>
                </c:pt>
                <c:pt idx="20">
                  <c:v>1687</c:v>
                </c:pt>
                <c:pt idx="21">
                  <c:v>1660</c:v>
                </c:pt>
                <c:pt idx="22">
                  <c:v>1960</c:v>
                </c:pt>
                <c:pt idx="23">
                  <c:v>1965</c:v>
                </c:pt>
                <c:pt idx="24">
                  <c:v>1793</c:v>
                </c:pt>
                <c:pt idx="25">
                  <c:v>2005</c:v>
                </c:pt>
                <c:pt idx="26">
                  <c:v>2012</c:v>
                </c:pt>
                <c:pt idx="27">
                  <c:v>2251</c:v>
                </c:pt>
                <c:pt idx="28">
                  <c:v>1939</c:v>
                </c:pt>
                <c:pt idx="29">
                  <c:v>2099</c:v>
                </c:pt>
                <c:pt idx="30">
                  <c:v>2269</c:v>
                </c:pt>
                <c:pt idx="31">
                  <c:v>2210</c:v>
                </c:pt>
                <c:pt idx="32">
                  <c:v>1960</c:v>
                </c:pt>
                <c:pt idx="33">
                  <c:v>2260</c:v>
                </c:pt>
                <c:pt idx="34">
                  <c:v>2234</c:v>
                </c:pt>
                <c:pt idx="35">
                  <c:v>2100</c:v>
                </c:pt>
                <c:pt idx="36">
                  <c:v>2143</c:v>
                </c:pt>
                <c:pt idx="37">
                  <c:v>1654</c:v>
                </c:pt>
                <c:pt idx="38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F-AE47-A514-27D28F767F0A}"/>
            </c:ext>
          </c:extLst>
        </c:ser>
        <c:ser>
          <c:idx val="4"/>
          <c:order val="4"/>
          <c:tx>
            <c:strRef>
              <c:f>'21'!$F$1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'21'!$F$2:$F$40</c:f>
              <c:numCache>
                <c:formatCode>General</c:formatCode>
                <c:ptCount val="39"/>
                <c:pt idx="0">
                  <c:v>639</c:v>
                </c:pt>
                <c:pt idx="1">
                  <c:v>785</c:v>
                </c:pt>
                <c:pt idx="2">
                  <c:v>904</c:v>
                </c:pt>
                <c:pt idx="3">
                  <c:v>964</c:v>
                </c:pt>
                <c:pt idx="4">
                  <c:v>863</c:v>
                </c:pt>
                <c:pt idx="5">
                  <c:v>1002</c:v>
                </c:pt>
                <c:pt idx="6">
                  <c:v>1042</c:v>
                </c:pt>
                <c:pt idx="7">
                  <c:v>1036</c:v>
                </c:pt>
                <c:pt idx="8">
                  <c:v>957</c:v>
                </c:pt>
                <c:pt idx="9">
                  <c:v>1106</c:v>
                </c:pt>
                <c:pt idx="10">
                  <c:v>1151</c:v>
                </c:pt>
                <c:pt idx="11">
                  <c:v>1174</c:v>
                </c:pt>
                <c:pt idx="12">
                  <c:v>1088</c:v>
                </c:pt>
                <c:pt idx="13">
                  <c:v>1291</c:v>
                </c:pt>
                <c:pt idx="14">
                  <c:v>1370</c:v>
                </c:pt>
                <c:pt idx="15">
                  <c:v>1431</c:v>
                </c:pt>
                <c:pt idx="16">
                  <c:v>1151</c:v>
                </c:pt>
                <c:pt idx="17">
                  <c:v>1204</c:v>
                </c:pt>
                <c:pt idx="18">
                  <c:v>1300</c:v>
                </c:pt>
                <c:pt idx="19">
                  <c:v>1117</c:v>
                </c:pt>
                <c:pt idx="20">
                  <c:v>979</c:v>
                </c:pt>
                <c:pt idx="21">
                  <c:v>979</c:v>
                </c:pt>
                <c:pt idx="22">
                  <c:v>1131</c:v>
                </c:pt>
                <c:pt idx="23">
                  <c:v>1144</c:v>
                </c:pt>
                <c:pt idx="24">
                  <c:v>1072</c:v>
                </c:pt>
                <c:pt idx="25">
                  <c:v>1168</c:v>
                </c:pt>
                <c:pt idx="26">
                  <c:v>1194</c:v>
                </c:pt>
                <c:pt idx="27">
                  <c:v>7278</c:v>
                </c:pt>
                <c:pt idx="28">
                  <c:v>1310</c:v>
                </c:pt>
                <c:pt idx="29">
                  <c:v>1509</c:v>
                </c:pt>
                <c:pt idx="30">
                  <c:v>1593</c:v>
                </c:pt>
                <c:pt idx="31">
                  <c:v>1554</c:v>
                </c:pt>
                <c:pt idx="32">
                  <c:v>1391</c:v>
                </c:pt>
                <c:pt idx="33">
                  <c:v>1570</c:v>
                </c:pt>
                <c:pt idx="34">
                  <c:v>1555</c:v>
                </c:pt>
                <c:pt idx="35">
                  <c:v>1403</c:v>
                </c:pt>
                <c:pt idx="36">
                  <c:v>1474</c:v>
                </c:pt>
                <c:pt idx="37">
                  <c:v>1132</c:v>
                </c:pt>
                <c:pt idx="38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F-AE47-A514-27D28F767F0A}"/>
            </c:ext>
          </c:extLst>
        </c:ser>
        <c:ser>
          <c:idx val="7"/>
          <c:order val="7"/>
          <c:tx>
            <c:strRef>
              <c:f>'21'!$I$1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'21'!$I$2:$I$40</c:f>
              <c:numCache>
                <c:formatCode>General</c:formatCode>
                <c:ptCount val="39"/>
                <c:pt idx="0">
                  <c:v>24.44</c:v>
                </c:pt>
                <c:pt idx="1">
                  <c:v>26.08</c:v>
                </c:pt>
                <c:pt idx="2">
                  <c:v>27.19</c:v>
                </c:pt>
                <c:pt idx="3">
                  <c:v>27.19</c:v>
                </c:pt>
                <c:pt idx="4">
                  <c:v>28.72</c:v>
                </c:pt>
                <c:pt idx="5">
                  <c:v>29.78</c:v>
                </c:pt>
                <c:pt idx="6">
                  <c:v>29.47</c:v>
                </c:pt>
                <c:pt idx="7">
                  <c:v>30.11</c:v>
                </c:pt>
                <c:pt idx="8">
                  <c:v>30.11</c:v>
                </c:pt>
                <c:pt idx="9">
                  <c:v>30.32</c:v>
                </c:pt>
                <c:pt idx="10">
                  <c:v>30.41</c:v>
                </c:pt>
                <c:pt idx="11">
                  <c:v>31.53</c:v>
                </c:pt>
                <c:pt idx="12">
                  <c:v>31.42</c:v>
                </c:pt>
                <c:pt idx="13">
                  <c:v>32.549999999999997</c:v>
                </c:pt>
                <c:pt idx="14">
                  <c:v>33.14</c:v>
                </c:pt>
                <c:pt idx="15">
                  <c:v>33.36</c:v>
                </c:pt>
                <c:pt idx="16">
                  <c:v>33.22</c:v>
                </c:pt>
                <c:pt idx="17">
                  <c:v>34.22</c:v>
                </c:pt>
                <c:pt idx="18">
                  <c:v>36.14</c:v>
                </c:pt>
                <c:pt idx="19">
                  <c:v>37.130000000000003</c:v>
                </c:pt>
                <c:pt idx="20">
                  <c:v>40.07</c:v>
                </c:pt>
                <c:pt idx="21">
                  <c:v>41.12</c:v>
                </c:pt>
                <c:pt idx="22">
                  <c:v>42.88</c:v>
                </c:pt>
                <c:pt idx="23">
                  <c:v>44.09</c:v>
                </c:pt>
                <c:pt idx="24">
                  <c:v>44.48</c:v>
                </c:pt>
                <c:pt idx="25">
                  <c:v>44.17</c:v>
                </c:pt>
                <c:pt idx="26">
                  <c:v>42.92</c:v>
                </c:pt>
                <c:pt idx="27">
                  <c:v>42.83</c:v>
                </c:pt>
                <c:pt idx="28">
                  <c:v>18.559999999999999</c:v>
                </c:pt>
                <c:pt idx="29">
                  <c:v>18.989999999999998</c:v>
                </c:pt>
                <c:pt idx="30">
                  <c:v>19.16</c:v>
                </c:pt>
                <c:pt idx="31">
                  <c:v>19.64</c:v>
                </c:pt>
                <c:pt idx="32">
                  <c:v>38.69</c:v>
                </c:pt>
                <c:pt idx="33">
                  <c:v>39.340000000000003</c:v>
                </c:pt>
                <c:pt idx="34">
                  <c:v>39.950000000000003</c:v>
                </c:pt>
                <c:pt idx="35">
                  <c:v>41.63</c:v>
                </c:pt>
                <c:pt idx="36">
                  <c:v>44.15</c:v>
                </c:pt>
                <c:pt idx="37">
                  <c:v>44.07</c:v>
                </c:pt>
                <c:pt idx="38">
                  <c:v>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DF-AE47-A514-27D28F767F0A}"/>
            </c:ext>
          </c:extLst>
        </c:ser>
        <c:ser>
          <c:idx val="8"/>
          <c:order val="8"/>
          <c:tx>
            <c:strRef>
              <c:f>'21'!$J$1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'21'!$J$2:$J$40</c:f>
              <c:numCache>
                <c:formatCode>General</c:formatCode>
                <c:ptCount val="39"/>
                <c:pt idx="0">
                  <c:v>1294</c:v>
                </c:pt>
                <c:pt idx="1">
                  <c:v>1346</c:v>
                </c:pt>
                <c:pt idx="2">
                  <c:v>1694</c:v>
                </c:pt>
                <c:pt idx="3">
                  <c:v>1539</c:v>
                </c:pt>
                <c:pt idx="4">
                  <c:v>1404</c:v>
                </c:pt>
                <c:pt idx="5">
                  <c:v>1372</c:v>
                </c:pt>
                <c:pt idx="6">
                  <c:v>1590</c:v>
                </c:pt>
                <c:pt idx="7">
                  <c:v>1795</c:v>
                </c:pt>
                <c:pt idx="8">
                  <c:v>1524</c:v>
                </c:pt>
                <c:pt idx="9">
                  <c:v>1694</c:v>
                </c:pt>
                <c:pt idx="10">
                  <c:v>1663</c:v>
                </c:pt>
                <c:pt idx="11">
                  <c:v>1942</c:v>
                </c:pt>
                <c:pt idx="12">
                  <c:v>1767</c:v>
                </c:pt>
                <c:pt idx="13">
                  <c:v>1454</c:v>
                </c:pt>
                <c:pt idx="14">
                  <c:v>2137</c:v>
                </c:pt>
                <c:pt idx="15">
                  <c:v>2027</c:v>
                </c:pt>
                <c:pt idx="16">
                  <c:v>2064</c:v>
                </c:pt>
                <c:pt idx="17">
                  <c:v>1709</c:v>
                </c:pt>
                <c:pt idx="18">
                  <c:v>1852</c:v>
                </c:pt>
                <c:pt idx="19">
                  <c:v>1719</c:v>
                </c:pt>
                <c:pt idx="20">
                  <c:v>2173</c:v>
                </c:pt>
                <c:pt idx="21">
                  <c:v>1352</c:v>
                </c:pt>
                <c:pt idx="22">
                  <c:v>1942</c:v>
                </c:pt>
                <c:pt idx="23">
                  <c:v>2058</c:v>
                </c:pt>
                <c:pt idx="24">
                  <c:v>1883</c:v>
                </c:pt>
                <c:pt idx="25">
                  <c:v>1576</c:v>
                </c:pt>
                <c:pt idx="26">
                  <c:v>1939</c:v>
                </c:pt>
                <c:pt idx="27">
                  <c:v>1832</c:v>
                </c:pt>
                <c:pt idx="28">
                  <c:v>1901</c:v>
                </c:pt>
                <c:pt idx="29">
                  <c:v>2132</c:v>
                </c:pt>
                <c:pt idx="30">
                  <c:v>2341</c:v>
                </c:pt>
                <c:pt idx="31">
                  <c:v>2312</c:v>
                </c:pt>
                <c:pt idx="32">
                  <c:v>1959</c:v>
                </c:pt>
                <c:pt idx="33">
                  <c:v>1941</c:v>
                </c:pt>
                <c:pt idx="34">
                  <c:v>2364</c:v>
                </c:pt>
                <c:pt idx="35">
                  <c:v>2345</c:v>
                </c:pt>
                <c:pt idx="36">
                  <c:v>2155</c:v>
                </c:pt>
                <c:pt idx="37">
                  <c:v>2237</c:v>
                </c:pt>
                <c:pt idx="38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26368"/>
        <c:axId val="81244544"/>
      </c:lineChart>
      <c:lineChart>
        <c:grouping val="standard"/>
        <c:varyColors val="0"/>
        <c:ser>
          <c:idx val="5"/>
          <c:order val="5"/>
          <c:tx>
            <c:strRef>
              <c:f>'21'!$G$1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'21'!$G$2:$G$40</c:f>
              <c:numCache>
                <c:formatCode>General</c:formatCode>
                <c:ptCount val="39"/>
                <c:pt idx="0">
                  <c:v>29.51</c:v>
                </c:pt>
                <c:pt idx="1">
                  <c:v>32.69</c:v>
                </c:pt>
                <c:pt idx="2">
                  <c:v>34.99</c:v>
                </c:pt>
                <c:pt idx="3">
                  <c:v>20.09</c:v>
                </c:pt>
                <c:pt idx="4">
                  <c:v>29.54</c:v>
                </c:pt>
                <c:pt idx="5">
                  <c:v>33.020000000000003</c:v>
                </c:pt>
                <c:pt idx="6">
                  <c:v>33.43</c:v>
                </c:pt>
                <c:pt idx="7">
                  <c:v>32.86</c:v>
                </c:pt>
                <c:pt idx="8">
                  <c:v>30.87</c:v>
                </c:pt>
                <c:pt idx="9">
                  <c:v>34.33</c:v>
                </c:pt>
                <c:pt idx="10">
                  <c:v>35.21</c:v>
                </c:pt>
                <c:pt idx="11">
                  <c:v>35.04</c:v>
                </c:pt>
                <c:pt idx="12">
                  <c:v>32.880000000000003</c:v>
                </c:pt>
                <c:pt idx="13">
                  <c:v>36.51</c:v>
                </c:pt>
                <c:pt idx="14">
                  <c:v>37.69</c:v>
                </c:pt>
                <c:pt idx="15">
                  <c:v>38.57</c:v>
                </c:pt>
                <c:pt idx="16">
                  <c:v>35.22</c:v>
                </c:pt>
                <c:pt idx="17">
                  <c:v>35.9</c:v>
                </c:pt>
                <c:pt idx="18">
                  <c:v>39.700000000000003</c:v>
                </c:pt>
                <c:pt idx="19">
                  <c:v>36.83</c:v>
                </c:pt>
                <c:pt idx="20">
                  <c:v>34.93</c:v>
                </c:pt>
                <c:pt idx="21">
                  <c:v>34.799999999999997</c:v>
                </c:pt>
                <c:pt idx="22">
                  <c:v>37.880000000000003</c:v>
                </c:pt>
                <c:pt idx="23">
                  <c:v>38.020000000000003</c:v>
                </c:pt>
                <c:pt idx="24">
                  <c:v>34.94</c:v>
                </c:pt>
                <c:pt idx="25">
                  <c:v>38.19</c:v>
                </c:pt>
                <c:pt idx="26">
                  <c:v>37.200000000000003</c:v>
                </c:pt>
                <c:pt idx="27">
                  <c:v>41.3</c:v>
                </c:pt>
                <c:pt idx="28">
                  <c:v>35.42</c:v>
                </c:pt>
                <c:pt idx="29">
                  <c:v>37.01</c:v>
                </c:pt>
                <c:pt idx="30">
                  <c:v>38.28</c:v>
                </c:pt>
                <c:pt idx="31">
                  <c:v>38.39</c:v>
                </c:pt>
                <c:pt idx="32">
                  <c:v>36.4</c:v>
                </c:pt>
                <c:pt idx="33">
                  <c:v>40.39</c:v>
                </c:pt>
                <c:pt idx="34">
                  <c:v>40.5</c:v>
                </c:pt>
                <c:pt idx="35">
                  <c:v>40.29</c:v>
                </c:pt>
                <c:pt idx="36">
                  <c:v>40.98</c:v>
                </c:pt>
                <c:pt idx="37">
                  <c:v>38.97</c:v>
                </c:pt>
                <c:pt idx="38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DF-AE47-A514-27D28F767F0A}"/>
            </c:ext>
          </c:extLst>
        </c:ser>
        <c:ser>
          <c:idx val="6"/>
          <c:order val="6"/>
          <c:tx>
            <c:strRef>
              <c:f>'21'!$H$1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'21'!$H$2:$H$40</c:f>
              <c:numCache>
                <c:formatCode>General</c:formatCode>
                <c:ptCount val="39"/>
                <c:pt idx="0">
                  <c:v>14.23</c:v>
                </c:pt>
                <c:pt idx="1">
                  <c:v>16.16</c:v>
                </c:pt>
                <c:pt idx="2">
                  <c:v>17.72</c:v>
                </c:pt>
                <c:pt idx="3">
                  <c:v>18.87</c:v>
                </c:pt>
                <c:pt idx="4">
                  <c:v>16.88</c:v>
                </c:pt>
                <c:pt idx="5">
                  <c:v>19.190000000000001</c:v>
                </c:pt>
                <c:pt idx="6">
                  <c:v>19.5</c:v>
                </c:pt>
                <c:pt idx="7">
                  <c:v>19.73</c:v>
                </c:pt>
                <c:pt idx="8">
                  <c:v>18.09</c:v>
                </c:pt>
                <c:pt idx="9">
                  <c:v>20.22</c:v>
                </c:pt>
                <c:pt idx="10">
                  <c:v>20.65</c:v>
                </c:pt>
                <c:pt idx="11">
                  <c:v>20.85</c:v>
                </c:pt>
                <c:pt idx="12">
                  <c:v>19.3</c:v>
                </c:pt>
                <c:pt idx="13">
                  <c:v>21.46</c:v>
                </c:pt>
                <c:pt idx="14">
                  <c:v>22.16</c:v>
                </c:pt>
                <c:pt idx="15">
                  <c:v>23.26</c:v>
                </c:pt>
                <c:pt idx="16">
                  <c:v>20.5</c:v>
                </c:pt>
                <c:pt idx="17">
                  <c:v>22.18</c:v>
                </c:pt>
                <c:pt idx="18">
                  <c:v>23.37</c:v>
                </c:pt>
                <c:pt idx="19">
                  <c:v>21.45</c:v>
                </c:pt>
                <c:pt idx="20">
                  <c:v>20.27</c:v>
                </c:pt>
                <c:pt idx="21">
                  <c:v>20.52</c:v>
                </c:pt>
                <c:pt idx="22">
                  <c:v>21.86</c:v>
                </c:pt>
                <c:pt idx="23">
                  <c:v>22.14</c:v>
                </c:pt>
                <c:pt idx="24">
                  <c:v>20.89</c:v>
                </c:pt>
                <c:pt idx="25">
                  <c:v>22.25</c:v>
                </c:pt>
                <c:pt idx="26">
                  <c:v>22.08</c:v>
                </c:pt>
                <c:pt idx="27">
                  <c:v>133.54</c:v>
                </c:pt>
                <c:pt idx="28">
                  <c:v>23.93</c:v>
                </c:pt>
                <c:pt idx="29">
                  <c:v>26.6</c:v>
                </c:pt>
                <c:pt idx="30">
                  <c:v>26.87</c:v>
                </c:pt>
                <c:pt idx="31">
                  <c:v>26.99</c:v>
                </c:pt>
                <c:pt idx="32">
                  <c:v>25.84</c:v>
                </c:pt>
                <c:pt idx="33">
                  <c:v>28.06</c:v>
                </c:pt>
                <c:pt idx="34">
                  <c:v>28.19</c:v>
                </c:pt>
                <c:pt idx="35">
                  <c:v>26.92</c:v>
                </c:pt>
                <c:pt idx="36">
                  <c:v>28.19</c:v>
                </c:pt>
                <c:pt idx="37">
                  <c:v>26.67</c:v>
                </c:pt>
                <c:pt idx="38">
                  <c:v>27.71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DF-AE47-A514-27D28F76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47616"/>
        <c:axId val="81246080"/>
      </c:lineChart>
      <c:catAx>
        <c:axId val="812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4544"/>
        <c:crosses val="autoZero"/>
        <c:auto val="1"/>
        <c:lblAlgn val="ctr"/>
        <c:lblOffset val="100"/>
        <c:tickMarkSkip val="1"/>
        <c:noMultiLvlLbl val="0"/>
      </c:catAx>
      <c:valAx>
        <c:axId val="812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26368"/>
        <c:crosses val="autoZero"/>
        <c:crossBetween val="between"/>
      </c:valAx>
      <c:valAx>
        <c:axId val="8124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247616"/>
        <c:crosses val="max"/>
        <c:crossBetween val="between"/>
      </c:valAx>
      <c:catAx>
        <c:axId val="812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460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'21'!$K$2:$K$39</c:f>
              <c:numCache>
                <c:formatCode>General</c:formatCode>
                <c:ptCount val="38"/>
                <c:pt idx="0">
                  <c:v>0.20833333333333329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0.14285714285714282</c:v>
                </c:pt>
                <c:pt idx="7">
                  <c:v>0</c:v>
                </c:pt>
                <c:pt idx="8">
                  <c:v>0</c:v>
                </c:pt>
                <c:pt idx="9">
                  <c:v>0.12500000000000011</c:v>
                </c:pt>
                <c:pt idx="10">
                  <c:v>0</c:v>
                </c:pt>
                <c:pt idx="11">
                  <c:v>0.13043478260869565</c:v>
                </c:pt>
                <c:pt idx="12">
                  <c:v>0</c:v>
                </c:pt>
                <c:pt idx="13">
                  <c:v>7.999999999999996E-2</c:v>
                </c:pt>
                <c:pt idx="14">
                  <c:v>0</c:v>
                </c:pt>
                <c:pt idx="15">
                  <c:v>9.0909090909090981E-2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9.8360655737704819E-2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8.9552238805970227E-2</c:v>
                </c:pt>
                <c:pt idx="27">
                  <c:v>8.2191780821917734E-2</c:v>
                </c:pt>
                <c:pt idx="28">
                  <c:v>0</c:v>
                </c:pt>
                <c:pt idx="29">
                  <c:v>8.7500000000000078E-2</c:v>
                </c:pt>
                <c:pt idx="30">
                  <c:v>0</c:v>
                </c:pt>
                <c:pt idx="31">
                  <c:v>9.090909090909087E-2</c:v>
                </c:pt>
                <c:pt idx="32">
                  <c:v>0</c:v>
                </c:pt>
                <c:pt idx="33">
                  <c:v>9.2783505154639151E-2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8A40-9EBE-332E6628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9232"/>
        <c:axId val="81360768"/>
      </c:lineChart>
      <c:catAx>
        <c:axId val="813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60768"/>
        <c:crosses val="autoZero"/>
        <c:auto val="1"/>
        <c:lblAlgn val="ctr"/>
        <c:lblOffset val="100"/>
        <c:tickMarkSkip val="1"/>
        <c:noMultiLvlLbl val="0"/>
      </c:catAx>
      <c:valAx>
        <c:axId val="813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359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'22'!$B$1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'22'!$B$2:$B$40</c:f>
              <c:numCache>
                <c:formatCode>General</c:formatCode>
                <c:ptCount val="39"/>
                <c:pt idx="0">
                  <c:v>18.405000000000001</c:v>
                </c:pt>
                <c:pt idx="1">
                  <c:v>21.065000000000001</c:v>
                </c:pt>
                <c:pt idx="2">
                  <c:v>21.43</c:v>
                </c:pt>
                <c:pt idx="3">
                  <c:v>25.3825</c:v>
                </c:pt>
                <c:pt idx="4">
                  <c:v>29.5</c:v>
                </c:pt>
                <c:pt idx="5">
                  <c:v>30.907499999999999</c:v>
                </c:pt>
                <c:pt idx="6">
                  <c:v>33.57</c:v>
                </c:pt>
                <c:pt idx="7">
                  <c:v>37.895000000000003</c:v>
                </c:pt>
                <c:pt idx="8">
                  <c:v>42.46</c:v>
                </c:pt>
                <c:pt idx="9">
                  <c:v>45.6875</c:v>
                </c:pt>
                <c:pt idx="10">
                  <c:v>47.774999999999999</c:v>
                </c:pt>
                <c:pt idx="11">
                  <c:v>55.67</c:v>
                </c:pt>
                <c:pt idx="12">
                  <c:v>53.965000000000003</c:v>
                </c:pt>
                <c:pt idx="13">
                  <c:v>52.677500000000002</c:v>
                </c:pt>
                <c:pt idx="14">
                  <c:v>53.342500000000001</c:v>
                </c:pt>
                <c:pt idx="15">
                  <c:v>65.55</c:v>
                </c:pt>
                <c:pt idx="16">
                  <c:v>65.41</c:v>
                </c:pt>
                <c:pt idx="17">
                  <c:v>67.150000000000006</c:v>
                </c:pt>
                <c:pt idx="18">
                  <c:v>69.66</c:v>
                </c:pt>
                <c:pt idx="19">
                  <c:v>77.55</c:v>
                </c:pt>
                <c:pt idx="20">
                  <c:v>76.48</c:v>
                </c:pt>
                <c:pt idx="21">
                  <c:v>74.17</c:v>
                </c:pt>
                <c:pt idx="22">
                  <c:v>82.7</c:v>
                </c:pt>
                <c:pt idx="23">
                  <c:v>78.02</c:v>
                </c:pt>
                <c:pt idx="24">
                  <c:v>88.87</c:v>
                </c:pt>
                <c:pt idx="25">
                  <c:v>93.78</c:v>
                </c:pt>
                <c:pt idx="26">
                  <c:v>105.24</c:v>
                </c:pt>
                <c:pt idx="27">
                  <c:v>114.02</c:v>
                </c:pt>
                <c:pt idx="28">
                  <c:v>119.62</c:v>
                </c:pt>
                <c:pt idx="29">
                  <c:v>132.44999999999999</c:v>
                </c:pt>
                <c:pt idx="30">
                  <c:v>150.09</c:v>
                </c:pt>
                <c:pt idx="31">
                  <c:v>131.94</c:v>
                </c:pt>
                <c:pt idx="32">
                  <c:v>156.19</c:v>
                </c:pt>
                <c:pt idx="33">
                  <c:v>173.55</c:v>
                </c:pt>
                <c:pt idx="34">
                  <c:v>172.01</c:v>
                </c:pt>
                <c:pt idx="35">
                  <c:v>187.9</c:v>
                </c:pt>
                <c:pt idx="36">
                  <c:v>161.12</c:v>
                </c:pt>
                <c:pt idx="37">
                  <c:v>193.17</c:v>
                </c:pt>
                <c:pt idx="38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E-CA4F-8111-310DB81FE35D}"/>
            </c:ext>
          </c:extLst>
        </c:ser>
        <c:ser>
          <c:idx val="1"/>
          <c:order val="1"/>
          <c:tx>
            <c:strRef>
              <c:f>'22'!$C$1</c:f>
              <c:strCache>
                <c:ptCount val="1"/>
                <c:pt idx="0">
                  <c:v>주당배당금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'22'!$C$2:$C$40</c:f>
              <c:numCache>
                <c:formatCode>General</c:formatCode>
                <c:ptCount val="39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E-CA4F-8111-310DB81FE35D}"/>
            </c:ext>
          </c:extLst>
        </c:ser>
        <c:ser>
          <c:idx val="2"/>
          <c:order val="2"/>
          <c:tx>
            <c:strRef>
              <c:f>'22'!$D$1</c:f>
              <c:strCache>
                <c:ptCount val="1"/>
                <c:pt idx="0">
                  <c:v>총매출(총수익)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'22'!$D$2:$D$40</c:f>
              <c:numCache>
                <c:formatCode>General</c:formatCode>
                <c:ptCount val="39"/>
                <c:pt idx="0">
                  <c:v>2245</c:v>
                </c:pt>
                <c:pt idx="1">
                  <c:v>2322</c:v>
                </c:pt>
                <c:pt idx="2">
                  <c:v>2383</c:v>
                </c:pt>
                <c:pt idx="3">
                  <c:v>2547</c:v>
                </c:pt>
                <c:pt idx="4">
                  <c:v>2578</c:v>
                </c:pt>
                <c:pt idx="5">
                  <c:v>2565</c:v>
                </c:pt>
                <c:pt idx="6">
                  <c:v>2731</c:v>
                </c:pt>
                <c:pt idx="7">
                  <c:v>2846</c:v>
                </c:pt>
                <c:pt idx="8">
                  <c:v>2958</c:v>
                </c:pt>
                <c:pt idx="9">
                  <c:v>3001</c:v>
                </c:pt>
                <c:pt idx="10">
                  <c:v>2973</c:v>
                </c:pt>
                <c:pt idx="11">
                  <c:v>3155</c:v>
                </c:pt>
                <c:pt idx="12">
                  <c:v>3163</c:v>
                </c:pt>
                <c:pt idx="13">
                  <c:v>3155</c:v>
                </c:pt>
                <c:pt idx="14">
                  <c:v>3229</c:v>
                </c:pt>
                <c:pt idx="15">
                  <c:v>3382</c:v>
                </c:pt>
                <c:pt idx="16">
                  <c:v>3409</c:v>
                </c:pt>
                <c:pt idx="17">
                  <c:v>3518</c:v>
                </c:pt>
                <c:pt idx="18">
                  <c:v>3571</c:v>
                </c:pt>
                <c:pt idx="19">
                  <c:v>3565</c:v>
                </c:pt>
                <c:pt idx="20">
                  <c:v>3626</c:v>
                </c:pt>
                <c:pt idx="21">
                  <c:v>3630</c:v>
                </c:pt>
                <c:pt idx="22">
                  <c:v>4261</c:v>
                </c:pt>
                <c:pt idx="23">
                  <c:v>4461</c:v>
                </c:pt>
                <c:pt idx="24">
                  <c:v>4477</c:v>
                </c:pt>
                <c:pt idx="25">
                  <c:v>4565</c:v>
                </c:pt>
                <c:pt idx="26">
                  <c:v>4855</c:v>
                </c:pt>
                <c:pt idx="27">
                  <c:v>4862</c:v>
                </c:pt>
                <c:pt idx="28">
                  <c:v>5073</c:v>
                </c:pt>
                <c:pt idx="29">
                  <c:v>5240</c:v>
                </c:pt>
                <c:pt idx="30">
                  <c:v>5434</c:v>
                </c:pt>
                <c:pt idx="31">
                  <c:v>5506</c:v>
                </c:pt>
                <c:pt idx="32">
                  <c:v>5494</c:v>
                </c:pt>
                <c:pt idx="33">
                  <c:v>5840</c:v>
                </c:pt>
                <c:pt idx="34">
                  <c:v>6137</c:v>
                </c:pt>
                <c:pt idx="35">
                  <c:v>6054</c:v>
                </c:pt>
                <c:pt idx="36">
                  <c:v>5854</c:v>
                </c:pt>
                <c:pt idx="37">
                  <c:v>4837</c:v>
                </c:pt>
                <c:pt idx="3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E-CA4F-8111-310DB81FE35D}"/>
            </c:ext>
          </c:extLst>
        </c:ser>
        <c:ser>
          <c:idx val="3"/>
          <c:order val="3"/>
          <c:tx>
            <c:strRef>
              <c:f>'22'!$E$1</c:f>
              <c:strCache>
                <c:ptCount val="1"/>
                <c:pt idx="0">
                  <c:v>영업이익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'22'!$E$2:$E$40</c:f>
              <c:numCache>
                <c:formatCode>General</c:formatCode>
                <c:ptCount val="39"/>
                <c:pt idx="0">
                  <c:v>1383</c:v>
                </c:pt>
                <c:pt idx="1">
                  <c:v>1345</c:v>
                </c:pt>
                <c:pt idx="2">
                  <c:v>1369</c:v>
                </c:pt>
                <c:pt idx="3">
                  <c:v>1618</c:v>
                </c:pt>
                <c:pt idx="4">
                  <c:v>1606</c:v>
                </c:pt>
                <c:pt idx="5">
                  <c:v>1491</c:v>
                </c:pt>
                <c:pt idx="6">
                  <c:v>1524</c:v>
                </c:pt>
                <c:pt idx="7">
                  <c:v>1803</c:v>
                </c:pt>
                <c:pt idx="8">
                  <c:v>1861</c:v>
                </c:pt>
                <c:pt idx="9">
                  <c:v>1827</c:v>
                </c:pt>
                <c:pt idx="10">
                  <c:v>1751</c:v>
                </c:pt>
                <c:pt idx="11">
                  <c:v>2077</c:v>
                </c:pt>
                <c:pt idx="12">
                  <c:v>2048</c:v>
                </c:pt>
                <c:pt idx="13">
                  <c:v>2020</c:v>
                </c:pt>
                <c:pt idx="14">
                  <c:v>2005</c:v>
                </c:pt>
                <c:pt idx="15">
                  <c:v>2238</c:v>
                </c:pt>
                <c:pt idx="16">
                  <c:v>2284</c:v>
                </c:pt>
                <c:pt idx="17">
                  <c:v>2262</c:v>
                </c:pt>
                <c:pt idx="18">
                  <c:v>2294</c:v>
                </c:pt>
                <c:pt idx="19">
                  <c:v>2396</c:v>
                </c:pt>
                <c:pt idx="20">
                  <c:v>2435</c:v>
                </c:pt>
                <c:pt idx="21">
                  <c:v>2305</c:v>
                </c:pt>
                <c:pt idx="22">
                  <c:v>2626</c:v>
                </c:pt>
                <c:pt idx="23">
                  <c:v>3115</c:v>
                </c:pt>
                <c:pt idx="24">
                  <c:v>2810</c:v>
                </c:pt>
                <c:pt idx="25">
                  <c:v>3024</c:v>
                </c:pt>
                <c:pt idx="26">
                  <c:v>3214</c:v>
                </c:pt>
                <c:pt idx="27">
                  <c:v>3327</c:v>
                </c:pt>
                <c:pt idx="28">
                  <c:v>3336</c:v>
                </c:pt>
                <c:pt idx="29">
                  <c:v>3485</c:v>
                </c:pt>
                <c:pt idx="30">
                  <c:v>3413</c:v>
                </c:pt>
                <c:pt idx="31">
                  <c:v>3724</c:v>
                </c:pt>
                <c:pt idx="32">
                  <c:v>3663</c:v>
                </c:pt>
                <c:pt idx="33">
                  <c:v>3909</c:v>
                </c:pt>
                <c:pt idx="34">
                  <c:v>4105</c:v>
                </c:pt>
                <c:pt idx="35">
                  <c:v>4016</c:v>
                </c:pt>
                <c:pt idx="36">
                  <c:v>3932</c:v>
                </c:pt>
                <c:pt idx="37">
                  <c:v>3000</c:v>
                </c:pt>
                <c:pt idx="38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E-CA4F-8111-310DB81FE35D}"/>
            </c:ext>
          </c:extLst>
        </c:ser>
        <c:ser>
          <c:idx val="4"/>
          <c:order val="4"/>
          <c:tx>
            <c:strRef>
              <c:f>'22'!$F$1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'22'!$F$2:$F$40</c:f>
              <c:numCache>
                <c:formatCode>General</c:formatCode>
                <c:ptCount val="39"/>
                <c:pt idx="0">
                  <c:v>881</c:v>
                </c:pt>
                <c:pt idx="1">
                  <c:v>1005</c:v>
                </c:pt>
                <c:pt idx="2">
                  <c:v>880</c:v>
                </c:pt>
                <c:pt idx="3">
                  <c:v>1029</c:v>
                </c:pt>
                <c:pt idx="4">
                  <c:v>1292</c:v>
                </c:pt>
                <c:pt idx="5">
                  <c:v>-1839</c:v>
                </c:pt>
                <c:pt idx="6">
                  <c:v>1662</c:v>
                </c:pt>
                <c:pt idx="7">
                  <c:v>1293</c:v>
                </c:pt>
                <c:pt idx="8">
                  <c:v>1270</c:v>
                </c:pt>
                <c:pt idx="9">
                  <c:v>1225</c:v>
                </c:pt>
                <c:pt idx="10">
                  <c:v>1192</c:v>
                </c:pt>
                <c:pt idx="11">
                  <c:v>1407</c:v>
                </c:pt>
                <c:pt idx="12">
                  <c:v>1598</c:v>
                </c:pt>
                <c:pt idx="13">
                  <c:v>1360</c:v>
                </c:pt>
                <c:pt idx="14">
                  <c:v>1073</c:v>
                </c:pt>
                <c:pt idx="15">
                  <c:v>1569</c:v>
                </c:pt>
                <c:pt idx="16">
                  <c:v>1550</c:v>
                </c:pt>
                <c:pt idx="17">
                  <c:v>1697</c:v>
                </c:pt>
                <c:pt idx="18">
                  <c:v>1512</c:v>
                </c:pt>
                <c:pt idx="19">
                  <c:v>1941</c:v>
                </c:pt>
                <c:pt idx="20">
                  <c:v>1707</c:v>
                </c:pt>
                <c:pt idx="21">
                  <c:v>412</c:v>
                </c:pt>
                <c:pt idx="22">
                  <c:v>1931</c:v>
                </c:pt>
                <c:pt idx="23">
                  <c:v>2070</c:v>
                </c:pt>
                <c:pt idx="24">
                  <c:v>430</c:v>
                </c:pt>
                <c:pt idx="25">
                  <c:v>2059</c:v>
                </c:pt>
                <c:pt idx="26">
                  <c:v>2140</c:v>
                </c:pt>
                <c:pt idx="27">
                  <c:v>2522</c:v>
                </c:pt>
                <c:pt idx="28">
                  <c:v>2605</c:v>
                </c:pt>
                <c:pt idx="29">
                  <c:v>2329</c:v>
                </c:pt>
                <c:pt idx="30">
                  <c:v>2845</c:v>
                </c:pt>
                <c:pt idx="31">
                  <c:v>2977</c:v>
                </c:pt>
                <c:pt idx="32">
                  <c:v>2977</c:v>
                </c:pt>
                <c:pt idx="33">
                  <c:v>3101</c:v>
                </c:pt>
                <c:pt idx="34">
                  <c:v>3025</c:v>
                </c:pt>
                <c:pt idx="35">
                  <c:v>3272</c:v>
                </c:pt>
                <c:pt idx="36">
                  <c:v>3084</c:v>
                </c:pt>
                <c:pt idx="37">
                  <c:v>2373</c:v>
                </c:pt>
                <c:pt idx="38">
                  <c:v>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E-CA4F-8111-310DB81FE35D}"/>
            </c:ext>
          </c:extLst>
        </c:ser>
        <c:ser>
          <c:idx val="7"/>
          <c:order val="7"/>
          <c:tx>
            <c:strRef>
              <c:f>'22'!$I$1</c:f>
              <c:strCache>
                <c:ptCount val="1"/>
                <c:pt idx="0">
                  <c:v>배당성향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'22'!$I$2:$I$40</c:f>
              <c:numCache>
                <c:formatCode>General</c:formatCode>
                <c:ptCount val="39"/>
                <c:pt idx="0">
                  <c:v>12.28</c:v>
                </c:pt>
                <c:pt idx="1">
                  <c:v>11.64</c:v>
                </c:pt>
                <c:pt idx="2">
                  <c:v>11.63</c:v>
                </c:pt>
                <c:pt idx="3">
                  <c:v>11.63</c:v>
                </c:pt>
                <c:pt idx="4">
                  <c:v>12.36</c:v>
                </c:pt>
                <c:pt idx="5">
                  <c:v>12.13</c:v>
                </c:pt>
                <c:pt idx="6">
                  <c:v>40.909999999999997</c:v>
                </c:pt>
                <c:pt idx="7">
                  <c:v>27.5</c:v>
                </c:pt>
                <c:pt idx="8">
                  <c:v>27.5</c:v>
                </c:pt>
                <c:pt idx="9">
                  <c:v>30.39</c:v>
                </c:pt>
                <c:pt idx="10">
                  <c:v>14.77</c:v>
                </c:pt>
                <c:pt idx="11">
                  <c:v>17.39</c:v>
                </c:pt>
                <c:pt idx="12">
                  <c:v>17.68</c:v>
                </c:pt>
                <c:pt idx="13">
                  <c:v>17.28</c:v>
                </c:pt>
                <c:pt idx="14">
                  <c:v>17.510000000000002</c:v>
                </c:pt>
                <c:pt idx="15">
                  <c:v>18.559999999999999</c:v>
                </c:pt>
                <c:pt idx="16">
                  <c:v>18.77</c:v>
                </c:pt>
                <c:pt idx="17">
                  <c:v>19.690000000000001</c:v>
                </c:pt>
                <c:pt idx="18">
                  <c:v>19.23</c:v>
                </c:pt>
                <c:pt idx="19">
                  <c:v>18.600000000000001</c:v>
                </c:pt>
                <c:pt idx="20">
                  <c:v>18.18</c:v>
                </c:pt>
                <c:pt idx="21">
                  <c:v>18.440000000000001</c:v>
                </c:pt>
                <c:pt idx="22">
                  <c:v>23.38</c:v>
                </c:pt>
                <c:pt idx="23">
                  <c:v>22.58</c:v>
                </c:pt>
                <c:pt idx="24">
                  <c:v>23.03</c:v>
                </c:pt>
                <c:pt idx="25">
                  <c:v>30.35</c:v>
                </c:pt>
                <c:pt idx="26">
                  <c:v>23.61</c:v>
                </c:pt>
                <c:pt idx="27">
                  <c:v>23.57</c:v>
                </c:pt>
                <c:pt idx="28">
                  <c:v>22.92</c:v>
                </c:pt>
                <c:pt idx="29">
                  <c:v>18.61</c:v>
                </c:pt>
                <c:pt idx="30">
                  <c:v>19.07</c:v>
                </c:pt>
                <c:pt idx="31">
                  <c:v>18.670000000000002</c:v>
                </c:pt>
                <c:pt idx="32">
                  <c:v>18.920000000000002</c:v>
                </c:pt>
                <c:pt idx="33">
                  <c:v>19.010000000000002</c:v>
                </c:pt>
                <c:pt idx="34">
                  <c:v>18.46</c:v>
                </c:pt>
                <c:pt idx="35">
                  <c:v>18.8</c:v>
                </c:pt>
                <c:pt idx="36">
                  <c:v>19.16</c:v>
                </c:pt>
                <c:pt idx="37">
                  <c:v>19.78</c:v>
                </c:pt>
                <c:pt idx="38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6E-CA4F-8111-310DB81FE35D}"/>
            </c:ext>
          </c:extLst>
        </c:ser>
        <c:ser>
          <c:idx val="8"/>
          <c:order val="8"/>
          <c:tx>
            <c:strRef>
              <c:f>'22'!$J$1</c:f>
              <c:strCache>
                <c:ptCount val="1"/>
                <c:pt idx="0">
                  <c:v>영업활동순현금흐름</c:v>
                </c:pt>
              </c:strCache>
            </c:strRef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'22'!$J$2:$J$40</c:f>
              <c:numCache>
                <c:formatCode>General</c:formatCode>
                <c:ptCount val="39"/>
                <c:pt idx="0">
                  <c:v>603</c:v>
                </c:pt>
                <c:pt idx="1">
                  <c:v>1395</c:v>
                </c:pt>
                <c:pt idx="2">
                  <c:v>868</c:v>
                </c:pt>
                <c:pt idx="3">
                  <c:v>1286</c:v>
                </c:pt>
                <c:pt idx="4">
                  <c:v>1097</c:v>
                </c:pt>
                <c:pt idx="5">
                  <c:v>1257</c:v>
                </c:pt>
                <c:pt idx="6">
                  <c:v>1369</c:v>
                </c:pt>
                <c:pt idx="7">
                  <c:v>-2824</c:v>
                </c:pt>
                <c:pt idx="8">
                  <c:v>1644</c:v>
                </c:pt>
                <c:pt idx="9">
                  <c:v>2157</c:v>
                </c:pt>
                <c:pt idx="10">
                  <c:v>2045</c:v>
                </c:pt>
                <c:pt idx="11">
                  <c:v>1541</c:v>
                </c:pt>
                <c:pt idx="12">
                  <c:v>1929</c:v>
                </c:pt>
                <c:pt idx="13">
                  <c:v>1942</c:v>
                </c:pt>
                <c:pt idx="14">
                  <c:v>1793</c:v>
                </c:pt>
                <c:pt idx="15">
                  <c:v>1761</c:v>
                </c:pt>
                <c:pt idx="16">
                  <c:v>978</c:v>
                </c:pt>
                <c:pt idx="17">
                  <c:v>2111</c:v>
                </c:pt>
                <c:pt idx="18">
                  <c:v>1734</c:v>
                </c:pt>
                <c:pt idx="19">
                  <c:v>1979</c:v>
                </c:pt>
                <c:pt idx="20">
                  <c:v>840</c:v>
                </c:pt>
                <c:pt idx="21">
                  <c:v>303</c:v>
                </c:pt>
                <c:pt idx="22">
                  <c:v>2452</c:v>
                </c:pt>
                <c:pt idx="23">
                  <c:v>2508</c:v>
                </c:pt>
                <c:pt idx="24">
                  <c:v>396</c:v>
                </c:pt>
                <c:pt idx="25">
                  <c:v>3537</c:v>
                </c:pt>
                <c:pt idx="26">
                  <c:v>2767</c:v>
                </c:pt>
                <c:pt idx="27">
                  <c:v>2762</c:v>
                </c:pt>
                <c:pt idx="28">
                  <c:v>2820</c:v>
                </c:pt>
                <c:pt idx="29">
                  <c:v>3637</c:v>
                </c:pt>
                <c:pt idx="30">
                  <c:v>3494</c:v>
                </c:pt>
                <c:pt idx="31">
                  <c:v>3294</c:v>
                </c:pt>
                <c:pt idx="32">
                  <c:v>2064</c:v>
                </c:pt>
                <c:pt idx="33">
                  <c:v>3384</c:v>
                </c:pt>
                <c:pt idx="34">
                  <c:v>4042</c:v>
                </c:pt>
                <c:pt idx="35">
                  <c:v>3875</c:v>
                </c:pt>
                <c:pt idx="36">
                  <c:v>1467</c:v>
                </c:pt>
                <c:pt idx="37">
                  <c:v>3002</c:v>
                </c:pt>
                <c:pt idx="38">
                  <c:v>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13568"/>
        <c:axId val="81615104"/>
      </c:lineChart>
      <c:lineChart>
        <c:grouping val="standard"/>
        <c:varyColors val="0"/>
        <c:ser>
          <c:idx val="5"/>
          <c:order val="5"/>
          <c:tx>
            <c:strRef>
              <c:f>'22'!$G$1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'22'!$G$2:$G$40</c:f>
              <c:numCache>
                <c:formatCode>General</c:formatCode>
                <c:ptCount val="39"/>
                <c:pt idx="0">
                  <c:v>61.6</c:v>
                </c:pt>
                <c:pt idx="1">
                  <c:v>57.92</c:v>
                </c:pt>
                <c:pt idx="2">
                  <c:v>57.45</c:v>
                </c:pt>
                <c:pt idx="3">
                  <c:v>63.53</c:v>
                </c:pt>
                <c:pt idx="4">
                  <c:v>62.3</c:v>
                </c:pt>
                <c:pt idx="5">
                  <c:v>58.13</c:v>
                </c:pt>
                <c:pt idx="6">
                  <c:v>55.8</c:v>
                </c:pt>
                <c:pt idx="7">
                  <c:v>63.35</c:v>
                </c:pt>
                <c:pt idx="8">
                  <c:v>62.91</c:v>
                </c:pt>
                <c:pt idx="9">
                  <c:v>60.88</c:v>
                </c:pt>
                <c:pt idx="10">
                  <c:v>58.9</c:v>
                </c:pt>
                <c:pt idx="11">
                  <c:v>65.83</c:v>
                </c:pt>
                <c:pt idx="12">
                  <c:v>64.75</c:v>
                </c:pt>
                <c:pt idx="13">
                  <c:v>64.03</c:v>
                </c:pt>
                <c:pt idx="14">
                  <c:v>62.09</c:v>
                </c:pt>
                <c:pt idx="15">
                  <c:v>66.17</c:v>
                </c:pt>
                <c:pt idx="16">
                  <c:v>67</c:v>
                </c:pt>
                <c:pt idx="17">
                  <c:v>64.3</c:v>
                </c:pt>
                <c:pt idx="18">
                  <c:v>64.239999999999995</c:v>
                </c:pt>
                <c:pt idx="19">
                  <c:v>67.209999999999994</c:v>
                </c:pt>
                <c:pt idx="20">
                  <c:v>67.150000000000006</c:v>
                </c:pt>
                <c:pt idx="21">
                  <c:v>63.5</c:v>
                </c:pt>
                <c:pt idx="22">
                  <c:v>61.63</c:v>
                </c:pt>
                <c:pt idx="23">
                  <c:v>69.83</c:v>
                </c:pt>
                <c:pt idx="24">
                  <c:v>62.77</c:v>
                </c:pt>
                <c:pt idx="25">
                  <c:v>66.239999999999995</c:v>
                </c:pt>
                <c:pt idx="26">
                  <c:v>66.2</c:v>
                </c:pt>
                <c:pt idx="27">
                  <c:v>68.430000000000007</c:v>
                </c:pt>
                <c:pt idx="28">
                  <c:v>65.760000000000005</c:v>
                </c:pt>
                <c:pt idx="29">
                  <c:v>66.510000000000005</c:v>
                </c:pt>
                <c:pt idx="30">
                  <c:v>62.81</c:v>
                </c:pt>
                <c:pt idx="31">
                  <c:v>67.64</c:v>
                </c:pt>
                <c:pt idx="32">
                  <c:v>66.67</c:v>
                </c:pt>
                <c:pt idx="33">
                  <c:v>66.930000000000007</c:v>
                </c:pt>
                <c:pt idx="34">
                  <c:v>66.89</c:v>
                </c:pt>
                <c:pt idx="35">
                  <c:v>66.34</c:v>
                </c:pt>
                <c:pt idx="36">
                  <c:v>67.17</c:v>
                </c:pt>
                <c:pt idx="37">
                  <c:v>62.02</c:v>
                </c:pt>
                <c:pt idx="38">
                  <c:v>61.63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6E-CA4F-8111-310DB81FE35D}"/>
            </c:ext>
          </c:extLst>
        </c:ser>
        <c:ser>
          <c:idx val="6"/>
          <c:order val="6"/>
          <c:tx>
            <c:strRef>
              <c:f>'22'!$H$1</c:f>
              <c:strCache>
                <c:ptCount val="1"/>
                <c:pt idx="0">
                  <c:v>순이익률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'22'!$A$2:$A$40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'22'!$H$2:$H$40</c:f>
              <c:numCache>
                <c:formatCode>General</c:formatCode>
                <c:ptCount val="39"/>
                <c:pt idx="0">
                  <c:v>39.24</c:v>
                </c:pt>
                <c:pt idx="1">
                  <c:v>43.28</c:v>
                </c:pt>
                <c:pt idx="2">
                  <c:v>36.93</c:v>
                </c:pt>
                <c:pt idx="3">
                  <c:v>40.4</c:v>
                </c:pt>
                <c:pt idx="4">
                  <c:v>50.12</c:v>
                </c:pt>
                <c:pt idx="5">
                  <c:v>-71.7</c:v>
                </c:pt>
                <c:pt idx="6">
                  <c:v>60.6</c:v>
                </c:pt>
                <c:pt idx="7">
                  <c:v>45.26</c:v>
                </c:pt>
                <c:pt idx="8">
                  <c:v>42.77</c:v>
                </c:pt>
                <c:pt idx="9">
                  <c:v>40.65</c:v>
                </c:pt>
                <c:pt idx="10">
                  <c:v>39.93</c:v>
                </c:pt>
                <c:pt idx="11">
                  <c:v>44.44</c:v>
                </c:pt>
                <c:pt idx="12">
                  <c:v>50.36</c:v>
                </c:pt>
                <c:pt idx="13">
                  <c:v>42.98</c:v>
                </c:pt>
                <c:pt idx="14">
                  <c:v>33.11</c:v>
                </c:pt>
                <c:pt idx="15">
                  <c:v>46.27</c:v>
                </c:pt>
                <c:pt idx="16">
                  <c:v>45.35</c:v>
                </c:pt>
                <c:pt idx="17">
                  <c:v>48.12</c:v>
                </c:pt>
                <c:pt idx="18">
                  <c:v>42.26</c:v>
                </c:pt>
                <c:pt idx="19">
                  <c:v>54.33</c:v>
                </c:pt>
                <c:pt idx="20">
                  <c:v>46.97</c:v>
                </c:pt>
                <c:pt idx="21">
                  <c:v>11.32</c:v>
                </c:pt>
                <c:pt idx="22">
                  <c:v>44.07</c:v>
                </c:pt>
                <c:pt idx="23">
                  <c:v>44.79</c:v>
                </c:pt>
                <c:pt idx="24">
                  <c:v>9.27</c:v>
                </c:pt>
                <c:pt idx="25">
                  <c:v>43.55</c:v>
                </c:pt>
                <c:pt idx="26">
                  <c:v>42.53</c:v>
                </c:pt>
                <c:pt idx="27">
                  <c:v>50.06</c:v>
                </c:pt>
                <c:pt idx="28">
                  <c:v>49.56</c:v>
                </c:pt>
                <c:pt idx="29">
                  <c:v>42.9</c:v>
                </c:pt>
                <c:pt idx="30">
                  <c:v>50.5</c:v>
                </c:pt>
                <c:pt idx="31">
                  <c:v>52.16</c:v>
                </c:pt>
                <c:pt idx="32">
                  <c:v>54.19</c:v>
                </c:pt>
                <c:pt idx="33">
                  <c:v>53.1</c:v>
                </c:pt>
                <c:pt idx="34">
                  <c:v>49.29</c:v>
                </c:pt>
                <c:pt idx="35">
                  <c:v>54.05</c:v>
                </c:pt>
                <c:pt idx="36">
                  <c:v>52.68</c:v>
                </c:pt>
                <c:pt idx="37">
                  <c:v>49.06</c:v>
                </c:pt>
                <c:pt idx="38">
                  <c:v>41.89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6E-CA4F-8111-310DB81FE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4816"/>
        <c:axId val="81633280"/>
      </c:lineChart>
      <c:catAx>
        <c:axId val="816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5104"/>
        <c:crosses val="autoZero"/>
        <c:auto val="1"/>
        <c:lblAlgn val="ctr"/>
        <c:lblOffset val="100"/>
        <c:tickMarkSkip val="1"/>
        <c:noMultiLvlLbl val="0"/>
      </c:catAx>
      <c:valAx>
        <c:axId val="816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13568"/>
        <c:crosses val="autoZero"/>
        <c:crossBetween val="between"/>
      </c:valAx>
      <c:valAx>
        <c:axId val="8163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34816"/>
        <c:crosses val="max"/>
        <c:crossBetween val="between"/>
      </c:valAx>
      <c:catAx>
        <c:axId val="8163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33280"/>
        <c:crosses val="autoZero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14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'22'!$K$2:$K$39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0.25000000000000006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0.1999999999999999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0.16666666666666682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0.21428571428571425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0.1764705882352941</c:v>
                </c:pt>
                <c:pt idx="27">
                  <c:v>4.9999999999999906E-2</c:v>
                </c:pt>
                <c:pt idx="28">
                  <c:v>0</c:v>
                </c:pt>
                <c:pt idx="29">
                  <c:v>0</c:v>
                </c:pt>
                <c:pt idx="30">
                  <c:v>0.19047619047619052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0.19999999999999996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344D-B26B-8C2CA5E4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1968"/>
        <c:axId val="81670144"/>
      </c:lineChart>
      <c:catAx>
        <c:axId val="8165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70144"/>
        <c:crosses val="autoZero"/>
        <c:auto val="1"/>
        <c:lblAlgn val="ctr"/>
        <c:lblOffset val="100"/>
        <c:tickMarkSkip val="1"/>
        <c:noMultiLvlLbl val="0"/>
      </c:catAx>
      <c:valAx>
        <c:axId val="81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816519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'23'!$B$2:$B$40</c:f>
              <c:numCache>
                <c:formatCode>General</c:formatCode>
                <c:ptCount val="39"/>
                <c:pt idx="0">
                  <c:v>15.61</c:v>
                </c:pt>
                <c:pt idx="1">
                  <c:v>15.5</c:v>
                </c:pt>
                <c:pt idx="2">
                  <c:v>18.079999999999998</c:v>
                </c:pt>
                <c:pt idx="3">
                  <c:v>21.15</c:v>
                </c:pt>
                <c:pt idx="4">
                  <c:v>17.170000000000002</c:v>
                </c:pt>
                <c:pt idx="5">
                  <c:v>19.094999999999999</c:v>
                </c:pt>
                <c:pt idx="6">
                  <c:v>19.6494</c:v>
                </c:pt>
                <c:pt idx="7">
                  <c:v>20.895</c:v>
                </c:pt>
                <c:pt idx="8">
                  <c:v>24.335000000000001</c:v>
                </c:pt>
                <c:pt idx="9">
                  <c:v>23.431000000000001</c:v>
                </c:pt>
                <c:pt idx="10">
                  <c:v>22.43</c:v>
                </c:pt>
                <c:pt idx="11">
                  <c:v>22.414999999999999</c:v>
                </c:pt>
                <c:pt idx="12">
                  <c:v>24.85</c:v>
                </c:pt>
                <c:pt idx="13">
                  <c:v>25.17</c:v>
                </c:pt>
                <c:pt idx="14">
                  <c:v>27.815000000000001</c:v>
                </c:pt>
                <c:pt idx="15">
                  <c:v>27.524999999999999</c:v>
                </c:pt>
                <c:pt idx="16">
                  <c:v>27.46</c:v>
                </c:pt>
                <c:pt idx="17">
                  <c:v>26.25</c:v>
                </c:pt>
                <c:pt idx="18">
                  <c:v>27.155000000000001</c:v>
                </c:pt>
                <c:pt idx="19">
                  <c:v>28.47</c:v>
                </c:pt>
                <c:pt idx="20">
                  <c:v>28.69</c:v>
                </c:pt>
                <c:pt idx="21">
                  <c:v>31.72</c:v>
                </c:pt>
                <c:pt idx="22">
                  <c:v>30.22</c:v>
                </c:pt>
                <c:pt idx="23">
                  <c:v>33.799999999999997</c:v>
                </c:pt>
                <c:pt idx="24">
                  <c:v>31.3</c:v>
                </c:pt>
                <c:pt idx="25">
                  <c:v>33.630000000000003</c:v>
                </c:pt>
                <c:pt idx="26">
                  <c:v>38.299999999999997</c:v>
                </c:pt>
                <c:pt idx="27">
                  <c:v>42.89</c:v>
                </c:pt>
                <c:pt idx="28">
                  <c:v>43.03</c:v>
                </c:pt>
                <c:pt idx="29">
                  <c:v>48.65</c:v>
                </c:pt>
                <c:pt idx="30">
                  <c:v>43.33</c:v>
                </c:pt>
                <c:pt idx="31">
                  <c:v>53.99</c:v>
                </c:pt>
                <c:pt idx="32">
                  <c:v>54.73</c:v>
                </c:pt>
                <c:pt idx="33">
                  <c:v>49.41</c:v>
                </c:pt>
                <c:pt idx="34">
                  <c:v>47.96</c:v>
                </c:pt>
                <c:pt idx="35">
                  <c:v>39.31</c:v>
                </c:pt>
                <c:pt idx="36">
                  <c:v>46.64</c:v>
                </c:pt>
                <c:pt idx="37">
                  <c:v>39.39</c:v>
                </c:pt>
                <c:pt idx="38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C-4143-B0BC-A1D343DF4A92}"/>
            </c:ext>
          </c:extLst>
        </c:ser>
        <c:ser>
          <c:idx val="1"/>
          <c:order val="1"/>
          <c:tx>
            <c:strRef>
              <c:f>'23'!$C$1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'23'!$C$2:$C$40</c:f>
              <c:numCache>
                <c:formatCode>General</c:formatCode>
                <c:ptCount val="39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C-4143-B0BC-A1D343DF4A92}"/>
            </c:ext>
          </c:extLst>
        </c:ser>
        <c:ser>
          <c:idx val="2"/>
          <c:order val="2"/>
          <c:tx>
            <c:strRef>
              <c:f>'23'!$D$1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'23'!$D$2:$D$40</c:f>
              <c:numCache>
                <c:formatCode>General</c:formatCode>
                <c:ptCount val="39"/>
                <c:pt idx="0">
                  <c:v>10866</c:v>
                </c:pt>
                <c:pt idx="1">
                  <c:v>11195</c:v>
                </c:pt>
                <c:pt idx="2">
                  <c:v>11256</c:v>
                </c:pt>
                <c:pt idx="3">
                  <c:v>11527</c:v>
                </c:pt>
                <c:pt idx="4">
                  <c:v>11588</c:v>
                </c:pt>
                <c:pt idx="5">
                  <c:v>11690</c:v>
                </c:pt>
                <c:pt idx="6">
                  <c:v>11876</c:v>
                </c:pt>
                <c:pt idx="7">
                  <c:v>12098</c:v>
                </c:pt>
                <c:pt idx="8">
                  <c:v>12216</c:v>
                </c:pt>
                <c:pt idx="9">
                  <c:v>12417</c:v>
                </c:pt>
                <c:pt idx="10">
                  <c:v>12085</c:v>
                </c:pt>
                <c:pt idx="11">
                  <c:v>11155</c:v>
                </c:pt>
                <c:pt idx="12">
                  <c:v>11545</c:v>
                </c:pt>
                <c:pt idx="13">
                  <c:v>12357</c:v>
                </c:pt>
                <c:pt idx="14">
                  <c:v>12245</c:v>
                </c:pt>
                <c:pt idx="15">
                  <c:v>11936</c:v>
                </c:pt>
                <c:pt idx="16">
                  <c:v>12137</c:v>
                </c:pt>
                <c:pt idx="17">
                  <c:v>12843</c:v>
                </c:pt>
                <c:pt idx="18">
                  <c:v>12682</c:v>
                </c:pt>
                <c:pt idx="19">
                  <c:v>11927</c:v>
                </c:pt>
                <c:pt idx="20">
                  <c:v>12000</c:v>
                </c:pt>
                <c:pt idx="21">
                  <c:v>12638</c:v>
                </c:pt>
                <c:pt idx="22">
                  <c:v>12352</c:v>
                </c:pt>
                <c:pt idx="23">
                  <c:v>11580</c:v>
                </c:pt>
                <c:pt idx="24">
                  <c:v>11940</c:v>
                </c:pt>
                <c:pt idx="25">
                  <c:v>12133</c:v>
                </c:pt>
                <c:pt idx="26">
                  <c:v>12136</c:v>
                </c:pt>
                <c:pt idx="27">
                  <c:v>11887</c:v>
                </c:pt>
                <c:pt idx="28">
                  <c:v>12463</c:v>
                </c:pt>
                <c:pt idx="29">
                  <c:v>12844</c:v>
                </c:pt>
                <c:pt idx="30">
                  <c:v>13072</c:v>
                </c:pt>
                <c:pt idx="31">
                  <c:v>12446</c:v>
                </c:pt>
                <c:pt idx="32">
                  <c:v>12958</c:v>
                </c:pt>
                <c:pt idx="33">
                  <c:v>13428</c:v>
                </c:pt>
                <c:pt idx="34">
                  <c:v>13159</c:v>
                </c:pt>
                <c:pt idx="35">
                  <c:v>12005</c:v>
                </c:pt>
                <c:pt idx="36">
                  <c:v>11983</c:v>
                </c:pt>
                <c:pt idx="37">
                  <c:v>12154</c:v>
                </c:pt>
                <c:pt idx="38">
                  <c:v>11929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C-4143-B0BC-A1D343DF4A92}"/>
            </c:ext>
          </c:extLst>
        </c:ser>
        <c:ser>
          <c:idx val="3"/>
          <c:order val="3"/>
          <c:tx>
            <c:strRef>
              <c:f>'23'!$E$1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'23'!$E$2:$E$40</c:f>
              <c:numCache>
                <c:formatCode>General</c:formatCode>
                <c:ptCount val="39"/>
                <c:pt idx="0">
                  <c:v>2214</c:v>
                </c:pt>
                <c:pt idx="1">
                  <c:v>2224</c:v>
                </c:pt>
                <c:pt idx="2">
                  <c:v>2412</c:v>
                </c:pt>
                <c:pt idx="3">
                  <c:v>2737</c:v>
                </c:pt>
                <c:pt idx="4">
                  <c:v>2770</c:v>
                </c:pt>
                <c:pt idx="5">
                  <c:v>2450</c:v>
                </c:pt>
                <c:pt idx="6">
                  <c:v>2710</c:v>
                </c:pt>
                <c:pt idx="7">
                  <c:v>2802</c:v>
                </c:pt>
                <c:pt idx="8">
                  <c:v>2975</c:v>
                </c:pt>
                <c:pt idx="9">
                  <c:v>2814</c:v>
                </c:pt>
                <c:pt idx="10">
                  <c:v>2692</c:v>
                </c:pt>
                <c:pt idx="11">
                  <c:v>1740</c:v>
                </c:pt>
                <c:pt idx="12">
                  <c:v>2568</c:v>
                </c:pt>
                <c:pt idx="13">
                  <c:v>2763</c:v>
                </c:pt>
                <c:pt idx="14">
                  <c:v>2660</c:v>
                </c:pt>
                <c:pt idx="15">
                  <c:v>2691</c:v>
                </c:pt>
                <c:pt idx="16">
                  <c:v>2949</c:v>
                </c:pt>
                <c:pt idx="17">
                  <c:v>2954</c:v>
                </c:pt>
                <c:pt idx="18">
                  <c:v>3221</c:v>
                </c:pt>
                <c:pt idx="19">
                  <c:v>3390</c:v>
                </c:pt>
                <c:pt idx="20">
                  <c:v>3001</c:v>
                </c:pt>
                <c:pt idx="21">
                  <c:v>3316</c:v>
                </c:pt>
                <c:pt idx="22">
                  <c:v>3288</c:v>
                </c:pt>
                <c:pt idx="23">
                  <c:v>3026</c:v>
                </c:pt>
                <c:pt idx="24">
                  <c:v>3239</c:v>
                </c:pt>
                <c:pt idx="25">
                  <c:v>3176</c:v>
                </c:pt>
                <c:pt idx="26">
                  <c:v>2908</c:v>
                </c:pt>
                <c:pt idx="27">
                  <c:v>3171</c:v>
                </c:pt>
                <c:pt idx="28">
                  <c:v>3216</c:v>
                </c:pt>
                <c:pt idx="29">
                  <c:v>3372</c:v>
                </c:pt>
                <c:pt idx="30">
                  <c:v>3883</c:v>
                </c:pt>
                <c:pt idx="31">
                  <c:v>3397</c:v>
                </c:pt>
                <c:pt idx="32">
                  <c:v>3531</c:v>
                </c:pt>
                <c:pt idx="33">
                  <c:v>3730</c:v>
                </c:pt>
                <c:pt idx="34">
                  <c:v>3763</c:v>
                </c:pt>
                <c:pt idx="35">
                  <c:v>3422</c:v>
                </c:pt>
                <c:pt idx="36">
                  <c:v>3542</c:v>
                </c:pt>
                <c:pt idx="37">
                  <c:v>3374</c:v>
                </c:pt>
                <c:pt idx="38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3C-4143-B0BC-A1D343DF4A92}"/>
            </c:ext>
          </c:extLst>
        </c:ser>
        <c:ser>
          <c:idx val="4"/>
          <c:order val="4"/>
          <c:tx>
            <c:strRef>
              <c:f>'23'!$F$1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'23'!$F$2:$F$40</c:f>
              <c:numCache>
                <c:formatCode>General</c:formatCode>
                <c:ptCount val="39"/>
                <c:pt idx="0">
                  <c:v>1807</c:v>
                </c:pt>
                <c:pt idx="1">
                  <c:v>1232</c:v>
                </c:pt>
                <c:pt idx="2">
                  <c:v>1777</c:v>
                </c:pt>
                <c:pt idx="3">
                  <c:v>2182</c:v>
                </c:pt>
                <c:pt idx="4">
                  <c:v>2165</c:v>
                </c:pt>
                <c:pt idx="5">
                  <c:v>1917</c:v>
                </c:pt>
                <c:pt idx="6">
                  <c:v>2092</c:v>
                </c:pt>
                <c:pt idx="7">
                  <c:v>3143</c:v>
                </c:pt>
                <c:pt idx="8">
                  <c:v>2478</c:v>
                </c:pt>
                <c:pt idx="9">
                  <c:v>2270</c:v>
                </c:pt>
                <c:pt idx="10">
                  <c:v>1996</c:v>
                </c:pt>
                <c:pt idx="11">
                  <c:v>1429</c:v>
                </c:pt>
                <c:pt idx="12">
                  <c:v>2181</c:v>
                </c:pt>
                <c:pt idx="13">
                  <c:v>2247</c:v>
                </c:pt>
                <c:pt idx="14">
                  <c:v>1828</c:v>
                </c:pt>
                <c:pt idx="15">
                  <c:v>2397</c:v>
                </c:pt>
                <c:pt idx="16">
                  <c:v>2437</c:v>
                </c:pt>
                <c:pt idx="17">
                  <c:v>2319</c:v>
                </c:pt>
                <c:pt idx="18">
                  <c:v>2430</c:v>
                </c:pt>
                <c:pt idx="19">
                  <c:v>3147</c:v>
                </c:pt>
                <c:pt idx="20">
                  <c:v>2349</c:v>
                </c:pt>
                <c:pt idx="21">
                  <c:v>2813</c:v>
                </c:pt>
                <c:pt idx="22">
                  <c:v>2322</c:v>
                </c:pt>
                <c:pt idx="23">
                  <c:v>2348</c:v>
                </c:pt>
                <c:pt idx="24">
                  <c:v>2515</c:v>
                </c:pt>
                <c:pt idx="25">
                  <c:v>2424</c:v>
                </c:pt>
                <c:pt idx="26">
                  <c:v>2394</c:v>
                </c:pt>
                <c:pt idx="27">
                  <c:v>-8778</c:v>
                </c:pt>
                <c:pt idx="28">
                  <c:v>2691</c:v>
                </c:pt>
                <c:pt idx="29">
                  <c:v>3803</c:v>
                </c:pt>
                <c:pt idx="30">
                  <c:v>3549</c:v>
                </c:pt>
                <c:pt idx="31">
                  <c:v>2822</c:v>
                </c:pt>
                <c:pt idx="32">
                  <c:v>3044</c:v>
                </c:pt>
                <c:pt idx="33">
                  <c:v>2206</c:v>
                </c:pt>
                <c:pt idx="34">
                  <c:v>2926</c:v>
                </c:pt>
                <c:pt idx="35">
                  <c:v>2878</c:v>
                </c:pt>
                <c:pt idx="36">
                  <c:v>2774</c:v>
                </c:pt>
                <c:pt idx="37">
                  <c:v>2636</c:v>
                </c:pt>
                <c:pt idx="38">
                  <c:v>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3C-4143-B0BC-A1D343DF4A92}"/>
            </c:ext>
          </c:extLst>
        </c:ser>
        <c:ser>
          <c:idx val="7"/>
          <c:order val="7"/>
          <c:tx>
            <c:strRef>
              <c:f>'23'!$I$1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'23'!$I$2:$I$40</c:f>
              <c:numCache>
                <c:formatCode>General</c:formatCode>
                <c:ptCount val="39"/>
                <c:pt idx="0">
                  <c:v>0</c:v>
                </c:pt>
                <c:pt idx="1">
                  <c:v>4.6900000000000004</c:v>
                </c:pt>
                <c:pt idx="2">
                  <c:v>15.52</c:v>
                </c:pt>
                <c:pt idx="3">
                  <c:v>18.600000000000001</c:v>
                </c:pt>
                <c:pt idx="4">
                  <c:v>19.12</c:v>
                </c:pt>
                <c:pt idx="5">
                  <c:v>18.79</c:v>
                </c:pt>
                <c:pt idx="6">
                  <c:v>23.23</c:v>
                </c:pt>
                <c:pt idx="7">
                  <c:v>23.23</c:v>
                </c:pt>
                <c:pt idx="8">
                  <c:v>25.29</c:v>
                </c:pt>
                <c:pt idx="9">
                  <c:v>29.44</c:v>
                </c:pt>
                <c:pt idx="10">
                  <c:v>33.33</c:v>
                </c:pt>
                <c:pt idx="11">
                  <c:v>35.33</c:v>
                </c:pt>
                <c:pt idx="12">
                  <c:v>44.74</c:v>
                </c:pt>
                <c:pt idx="13">
                  <c:v>47.3</c:v>
                </c:pt>
                <c:pt idx="14">
                  <c:v>48.32</c:v>
                </c:pt>
                <c:pt idx="15">
                  <c:v>50.34</c:v>
                </c:pt>
                <c:pt idx="16">
                  <c:v>45.51</c:v>
                </c:pt>
                <c:pt idx="17">
                  <c:v>45.35</c:v>
                </c:pt>
                <c:pt idx="18">
                  <c:v>45.71</c:v>
                </c:pt>
                <c:pt idx="19">
                  <c:v>43.62</c:v>
                </c:pt>
                <c:pt idx="20">
                  <c:v>41.58</c:v>
                </c:pt>
                <c:pt idx="21">
                  <c:v>44.06</c:v>
                </c:pt>
                <c:pt idx="22">
                  <c:v>44.55</c:v>
                </c:pt>
                <c:pt idx="23">
                  <c:v>47.37</c:v>
                </c:pt>
                <c:pt idx="24">
                  <c:v>53.61</c:v>
                </c:pt>
                <c:pt idx="25">
                  <c:v>54.31</c:v>
                </c:pt>
                <c:pt idx="26">
                  <c:v>57.89</c:v>
                </c:pt>
                <c:pt idx="27">
                  <c:v>58.85</c:v>
                </c:pt>
                <c:pt idx="28">
                  <c:v>0</c:v>
                </c:pt>
                <c:pt idx="29">
                  <c:v>0</c:v>
                </c:pt>
                <c:pt idx="30">
                  <c:v>6200</c:v>
                </c:pt>
                <c:pt idx="31">
                  <c:v>412.9</c:v>
                </c:pt>
                <c:pt idx="32">
                  <c:v>48.71</c:v>
                </c:pt>
                <c:pt idx="33">
                  <c:v>46.69</c:v>
                </c:pt>
                <c:pt idx="34">
                  <c:v>52.11</c:v>
                </c:pt>
                <c:pt idx="35">
                  <c:v>54.76</c:v>
                </c:pt>
                <c:pt idx="36">
                  <c:v>54.47</c:v>
                </c:pt>
                <c:pt idx="37">
                  <c:v>55.73</c:v>
                </c:pt>
                <c:pt idx="38">
                  <c:v>53.79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3C-4143-B0BC-A1D343DF4A92}"/>
            </c:ext>
          </c:extLst>
        </c:ser>
        <c:ser>
          <c:idx val="8"/>
          <c:order val="8"/>
          <c:tx>
            <c:strRef>
              <c:f>'23'!$J$1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'23'!$J$2:$J$40</c:f>
              <c:numCache>
                <c:formatCode>General</c:formatCode>
                <c:ptCount val="39"/>
                <c:pt idx="0">
                  <c:v>2979</c:v>
                </c:pt>
                <c:pt idx="1">
                  <c:v>2824</c:v>
                </c:pt>
                <c:pt idx="2">
                  <c:v>2333</c:v>
                </c:pt>
                <c:pt idx="3">
                  <c:v>3101</c:v>
                </c:pt>
                <c:pt idx="4">
                  <c:v>2969</c:v>
                </c:pt>
                <c:pt idx="5">
                  <c:v>3088</c:v>
                </c:pt>
                <c:pt idx="6">
                  <c:v>2465</c:v>
                </c:pt>
                <c:pt idx="7">
                  <c:v>3349</c:v>
                </c:pt>
                <c:pt idx="8">
                  <c:v>3094</c:v>
                </c:pt>
                <c:pt idx="9">
                  <c:v>3986</c:v>
                </c:pt>
                <c:pt idx="10">
                  <c:v>2649</c:v>
                </c:pt>
                <c:pt idx="11">
                  <c:v>2873</c:v>
                </c:pt>
                <c:pt idx="12">
                  <c:v>3198</c:v>
                </c:pt>
                <c:pt idx="13">
                  <c:v>3612</c:v>
                </c:pt>
                <c:pt idx="14">
                  <c:v>2491</c:v>
                </c:pt>
                <c:pt idx="15">
                  <c:v>2883</c:v>
                </c:pt>
                <c:pt idx="16">
                  <c:v>3040</c:v>
                </c:pt>
                <c:pt idx="17">
                  <c:v>4138</c:v>
                </c:pt>
                <c:pt idx="18">
                  <c:v>2766</c:v>
                </c:pt>
                <c:pt idx="19">
                  <c:v>3922</c:v>
                </c:pt>
                <c:pt idx="20">
                  <c:v>3064</c:v>
                </c:pt>
                <c:pt idx="21">
                  <c:v>3818</c:v>
                </c:pt>
                <c:pt idx="22">
                  <c:v>2730</c:v>
                </c:pt>
                <c:pt idx="23">
                  <c:v>3772</c:v>
                </c:pt>
                <c:pt idx="24">
                  <c:v>3373</c:v>
                </c:pt>
                <c:pt idx="25">
                  <c:v>4001</c:v>
                </c:pt>
                <c:pt idx="26">
                  <c:v>3080</c:v>
                </c:pt>
                <c:pt idx="27">
                  <c:v>4070</c:v>
                </c:pt>
                <c:pt idx="28">
                  <c:v>2416</c:v>
                </c:pt>
                <c:pt idx="29">
                  <c:v>4100</c:v>
                </c:pt>
                <c:pt idx="30">
                  <c:v>3763</c:v>
                </c:pt>
                <c:pt idx="31">
                  <c:v>3797</c:v>
                </c:pt>
                <c:pt idx="32">
                  <c:v>4329</c:v>
                </c:pt>
                <c:pt idx="33">
                  <c:v>3942</c:v>
                </c:pt>
                <c:pt idx="34">
                  <c:v>3587</c:v>
                </c:pt>
                <c:pt idx="35">
                  <c:v>3800</c:v>
                </c:pt>
                <c:pt idx="36">
                  <c:v>4237</c:v>
                </c:pt>
                <c:pt idx="37">
                  <c:v>3802</c:v>
                </c:pt>
                <c:pt idx="38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42080"/>
        <c:axId val="81756160"/>
      </c:lineChart>
      <c:lineChart>
        <c:grouping val="standard"/>
        <c:varyColors val="0"/>
        <c:ser>
          <c:idx val="5"/>
          <c:order val="5"/>
          <c:tx>
            <c:strRef>
              <c:f>'23'!$G$1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'23'!$G$2:$G$40</c:f>
              <c:numCache>
                <c:formatCode>General</c:formatCode>
                <c:ptCount val="39"/>
                <c:pt idx="0">
                  <c:v>20.38</c:v>
                </c:pt>
                <c:pt idx="1">
                  <c:v>19.87</c:v>
                </c:pt>
                <c:pt idx="2">
                  <c:v>21.43</c:v>
                </c:pt>
                <c:pt idx="3">
                  <c:v>23.74</c:v>
                </c:pt>
                <c:pt idx="4">
                  <c:v>23.9</c:v>
                </c:pt>
                <c:pt idx="5">
                  <c:v>20.96</c:v>
                </c:pt>
                <c:pt idx="6">
                  <c:v>22.82</c:v>
                </c:pt>
                <c:pt idx="7">
                  <c:v>23.16</c:v>
                </c:pt>
                <c:pt idx="8">
                  <c:v>24.35</c:v>
                </c:pt>
                <c:pt idx="9">
                  <c:v>22.66</c:v>
                </c:pt>
                <c:pt idx="10">
                  <c:v>22.28</c:v>
                </c:pt>
                <c:pt idx="11">
                  <c:v>15.6</c:v>
                </c:pt>
                <c:pt idx="12">
                  <c:v>22.24</c:v>
                </c:pt>
                <c:pt idx="13">
                  <c:v>22.36</c:v>
                </c:pt>
                <c:pt idx="14">
                  <c:v>21.72</c:v>
                </c:pt>
                <c:pt idx="15">
                  <c:v>22.55</c:v>
                </c:pt>
                <c:pt idx="16">
                  <c:v>24.3</c:v>
                </c:pt>
                <c:pt idx="17">
                  <c:v>23</c:v>
                </c:pt>
                <c:pt idx="18">
                  <c:v>25.4</c:v>
                </c:pt>
                <c:pt idx="19">
                  <c:v>28.42</c:v>
                </c:pt>
                <c:pt idx="20">
                  <c:v>25.01</c:v>
                </c:pt>
                <c:pt idx="21">
                  <c:v>26.24</c:v>
                </c:pt>
                <c:pt idx="22">
                  <c:v>26.62</c:v>
                </c:pt>
                <c:pt idx="23">
                  <c:v>26.13</c:v>
                </c:pt>
                <c:pt idx="24">
                  <c:v>27.13</c:v>
                </c:pt>
                <c:pt idx="25">
                  <c:v>26.18</c:v>
                </c:pt>
                <c:pt idx="26">
                  <c:v>23.96</c:v>
                </c:pt>
                <c:pt idx="27">
                  <c:v>26.68</c:v>
                </c:pt>
                <c:pt idx="28">
                  <c:v>25.8</c:v>
                </c:pt>
                <c:pt idx="29">
                  <c:v>26.25</c:v>
                </c:pt>
                <c:pt idx="30">
                  <c:v>29.7</c:v>
                </c:pt>
                <c:pt idx="31">
                  <c:v>27.29</c:v>
                </c:pt>
                <c:pt idx="32">
                  <c:v>27.25</c:v>
                </c:pt>
                <c:pt idx="33">
                  <c:v>27.78</c:v>
                </c:pt>
                <c:pt idx="34">
                  <c:v>28.6</c:v>
                </c:pt>
                <c:pt idx="35">
                  <c:v>28.5</c:v>
                </c:pt>
                <c:pt idx="36">
                  <c:v>29.56</c:v>
                </c:pt>
                <c:pt idx="37">
                  <c:v>27.76</c:v>
                </c:pt>
                <c:pt idx="38">
                  <c:v>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3C-4143-B0BC-A1D343DF4A92}"/>
            </c:ext>
          </c:extLst>
        </c:ser>
        <c:ser>
          <c:idx val="6"/>
          <c:order val="6"/>
          <c:tx>
            <c:strRef>
              <c:f>'23'!$H$1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'23'!$A$2:$A$40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'23'!$H$2:$H$40</c:f>
              <c:numCache>
                <c:formatCode>General</c:formatCode>
                <c:ptCount val="39"/>
                <c:pt idx="0">
                  <c:v>16.63</c:v>
                </c:pt>
                <c:pt idx="1">
                  <c:v>11</c:v>
                </c:pt>
                <c:pt idx="2">
                  <c:v>15.79</c:v>
                </c:pt>
                <c:pt idx="3">
                  <c:v>18.93</c:v>
                </c:pt>
                <c:pt idx="4">
                  <c:v>18.68</c:v>
                </c:pt>
                <c:pt idx="5">
                  <c:v>16.399999999999999</c:v>
                </c:pt>
                <c:pt idx="6">
                  <c:v>17.62</c:v>
                </c:pt>
                <c:pt idx="7">
                  <c:v>25.98</c:v>
                </c:pt>
                <c:pt idx="8">
                  <c:v>20.28</c:v>
                </c:pt>
                <c:pt idx="9">
                  <c:v>18.28</c:v>
                </c:pt>
                <c:pt idx="10">
                  <c:v>16.52</c:v>
                </c:pt>
                <c:pt idx="11">
                  <c:v>12.81</c:v>
                </c:pt>
                <c:pt idx="12">
                  <c:v>18.89</c:v>
                </c:pt>
                <c:pt idx="13">
                  <c:v>18.18</c:v>
                </c:pt>
                <c:pt idx="14">
                  <c:v>14.93</c:v>
                </c:pt>
                <c:pt idx="15">
                  <c:v>20.079999999999998</c:v>
                </c:pt>
                <c:pt idx="16">
                  <c:v>20.079999999999998</c:v>
                </c:pt>
                <c:pt idx="17">
                  <c:v>18.059999999999999</c:v>
                </c:pt>
                <c:pt idx="18">
                  <c:v>19.16</c:v>
                </c:pt>
                <c:pt idx="19">
                  <c:v>26.39</c:v>
                </c:pt>
                <c:pt idx="20">
                  <c:v>19.57</c:v>
                </c:pt>
                <c:pt idx="21">
                  <c:v>22.26</c:v>
                </c:pt>
                <c:pt idx="22">
                  <c:v>18.8</c:v>
                </c:pt>
                <c:pt idx="23">
                  <c:v>20.28</c:v>
                </c:pt>
                <c:pt idx="24">
                  <c:v>21.06</c:v>
                </c:pt>
                <c:pt idx="25">
                  <c:v>19.98</c:v>
                </c:pt>
                <c:pt idx="26">
                  <c:v>19.73</c:v>
                </c:pt>
                <c:pt idx="27">
                  <c:v>-73.849999999999994</c:v>
                </c:pt>
                <c:pt idx="28">
                  <c:v>21.59</c:v>
                </c:pt>
                <c:pt idx="29">
                  <c:v>29.61</c:v>
                </c:pt>
                <c:pt idx="30">
                  <c:v>27.15</c:v>
                </c:pt>
                <c:pt idx="31">
                  <c:v>22.67</c:v>
                </c:pt>
                <c:pt idx="32">
                  <c:v>23.49</c:v>
                </c:pt>
                <c:pt idx="33">
                  <c:v>16.43</c:v>
                </c:pt>
                <c:pt idx="34">
                  <c:v>22.24</c:v>
                </c:pt>
                <c:pt idx="35">
                  <c:v>23.97</c:v>
                </c:pt>
                <c:pt idx="36">
                  <c:v>23.15</c:v>
                </c:pt>
                <c:pt idx="37">
                  <c:v>21.69</c:v>
                </c:pt>
                <c:pt idx="38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3C-4143-B0BC-A1D343DF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59232"/>
        <c:axId val="81757696"/>
      </c:lineChart>
      <c:catAx>
        <c:axId val="8174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56160"/>
        <c:crosses val="autoZero"/>
        <c:auto val="1"/>
        <c:lblAlgn val="ctr"/>
        <c:lblOffset val="100"/>
        <c:tickMarkSkip val="1"/>
        <c:noMultiLvlLbl val="0"/>
      </c:catAx>
      <c:valAx>
        <c:axId val="8175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42080"/>
        <c:crosses val="autoZero"/>
        <c:crossBetween val="between"/>
      </c:valAx>
      <c:valAx>
        <c:axId val="81757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1759232"/>
        <c:crosses val="max"/>
        <c:crossBetween val="between"/>
      </c:valAx>
      <c:catAx>
        <c:axId val="817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5769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'23'!$K$2:$K$39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0.33333333333333343</c:v>
                </c:pt>
                <c:pt idx="4">
                  <c:v>0</c:v>
                </c:pt>
                <c:pt idx="5">
                  <c:v>0.75000000000000011</c:v>
                </c:pt>
                <c:pt idx="6">
                  <c:v>0</c:v>
                </c:pt>
                <c:pt idx="7">
                  <c:v>0.21428571428571425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0.11764705882352934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0.10526315789473679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0.23809523809523819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0.11538461538461527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0.13793103448275876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6.060606060606049E-2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2.8571428571428598E-2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4-7C4B-A15A-964E501E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88288"/>
        <c:axId val="81855616"/>
      </c:lineChart>
      <c:catAx>
        <c:axId val="817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81855616"/>
        <c:crosses val="autoZero"/>
        <c:auto val="1"/>
        <c:lblAlgn val="ctr"/>
        <c:lblOffset val="100"/>
        <c:tickMarkSkip val="1"/>
        <c:noMultiLvlLbl val="0"/>
      </c:catAx>
      <c:valAx>
        <c:axId val="8185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8828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'24'!$B$2:$B$40</c:f>
              <c:numCache>
                <c:formatCode>General</c:formatCode>
                <c:ptCount val="39"/>
                <c:pt idx="0">
                  <c:v>34.950000000000003</c:v>
                </c:pt>
                <c:pt idx="1">
                  <c:v>33.49</c:v>
                </c:pt>
                <c:pt idx="2">
                  <c:v>32.24</c:v>
                </c:pt>
                <c:pt idx="3">
                  <c:v>34.96</c:v>
                </c:pt>
                <c:pt idx="4">
                  <c:v>38.729999999999997</c:v>
                </c:pt>
                <c:pt idx="5">
                  <c:v>41.77</c:v>
                </c:pt>
                <c:pt idx="6">
                  <c:v>40.89</c:v>
                </c:pt>
                <c:pt idx="7">
                  <c:v>40.21</c:v>
                </c:pt>
                <c:pt idx="8">
                  <c:v>45.35</c:v>
                </c:pt>
                <c:pt idx="9">
                  <c:v>41.92</c:v>
                </c:pt>
                <c:pt idx="10">
                  <c:v>39.75</c:v>
                </c:pt>
                <c:pt idx="11">
                  <c:v>37.33</c:v>
                </c:pt>
                <c:pt idx="12">
                  <c:v>40.86</c:v>
                </c:pt>
                <c:pt idx="13">
                  <c:v>44.42</c:v>
                </c:pt>
                <c:pt idx="14">
                  <c:v>40.79</c:v>
                </c:pt>
                <c:pt idx="15">
                  <c:v>47.71</c:v>
                </c:pt>
                <c:pt idx="16">
                  <c:v>51.6</c:v>
                </c:pt>
                <c:pt idx="17">
                  <c:v>44.39</c:v>
                </c:pt>
                <c:pt idx="18">
                  <c:v>47.39</c:v>
                </c:pt>
                <c:pt idx="19">
                  <c:v>51.63</c:v>
                </c:pt>
                <c:pt idx="20">
                  <c:v>62.51</c:v>
                </c:pt>
                <c:pt idx="21">
                  <c:v>69.36</c:v>
                </c:pt>
                <c:pt idx="22">
                  <c:v>66.930000000000007</c:v>
                </c:pt>
                <c:pt idx="23">
                  <c:v>57.48</c:v>
                </c:pt>
                <c:pt idx="24">
                  <c:v>59.53</c:v>
                </c:pt>
                <c:pt idx="25">
                  <c:v>55.18</c:v>
                </c:pt>
                <c:pt idx="26">
                  <c:v>57.19</c:v>
                </c:pt>
                <c:pt idx="27">
                  <c:v>57.02</c:v>
                </c:pt>
                <c:pt idx="28">
                  <c:v>51.73</c:v>
                </c:pt>
                <c:pt idx="29">
                  <c:v>53.79</c:v>
                </c:pt>
                <c:pt idx="30">
                  <c:v>56.89</c:v>
                </c:pt>
                <c:pt idx="31">
                  <c:v>63.04</c:v>
                </c:pt>
                <c:pt idx="32">
                  <c:v>73.56</c:v>
                </c:pt>
                <c:pt idx="33">
                  <c:v>68.97</c:v>
                </c:pt>
                <c:pt idx="34">
                  <c:v>76.680000000000007</c:v>
                </c:pt>
                <c:pt idx="35">
                  <c:v>73.63</c:v>
                </c:pt>
                <c:pt idx="36">
                  <c:v>49.86</c:v>
                </c:pt>
                <c:pt idx="37">
                  <c:v>59.5</c:v>
                </c:pt>
                <c:pt idx="38">
                  <c:v>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4-0444-82C2-991AB348C9AA}"/>
            </c:ext>
          </c:extLst>
        </c:ser>
        <c:ser>
          <c:idx val="1"/>
          <c:order val="1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'24'!$C$2:$C$40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0.45</c:v>
                </c:pt>
                <c:pt idx="7">
                  <c:v>0.45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0.61</c:v>
                </c:pt>
                <c:pt idx="24">
                  <c:v>0.63</c:v>
                </c:pt>
                <c:pt idx="25">
                  <c:v>0.63</c:v>
                </c:pt>
                <c:pt idx="26">
                  <c:v>0.64</c:v>
                </c:pt>
                <c:pt idx="27">
                  <c:v>0.64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4-0444-82C2-991AB348C9AA}"/>
            </c:ext>
          </c:extLst>
        </c:ser>
        <c:ser>
          <c:idx val="2"/>
          <c:order val="2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'24'!$D$2:$D$40</c:f>
              <c:numCache>
                <c:formatCode>General</c:formatCode>
                <c:ptCount val="39"/>
                <c:pt idx="0">
                  <c:v>98</c:v>
                </c:pt>
                <c:pt idx="1">
                  <c:v>103</c:v>
                </c:pt>
                <c:pt idx="2">
                  <c:v>107</c:v>
                </c:pt>
                <c:pt idx="3">
                  <c:v>113</c:v>
                </c:pt>
                <c:pt idx="4">
                  <c:v>115</c:v>
                </c:pt>
                <c:pt idx="5">
                  <c:v>116</c:v>
                </c:pt>
                <c:pt idx="6">
                  <c:v>120</c:v>
                </c:pt>
                <c:pt idx="7">
                  <c:v>126</c:v>
                </c:pt>
                <c:pt idx="8">
                  <c:v>172</c:v>
                </c:pt>
                <c:pt idx="9">
                  <c:v>184</c:v>
                </c:pt>
                <c:pt idx="10">
                  <c:v>199</c:v>
                </c:pt>
                <c:pt idx="11">
                  <c:v>228</c:v>
                </c:pt>
                <c:pt idx="12">
                  <c:v>222</c:v>
                </c:pt>
                <c:pt idx="13">
                  <c:v>229</c:v>
                </c:pt>
                <c:pt idx="14">
                  <c:v>236</c:v>
                </c:pt>
                <c:pt idx="15">
                  <c:v>248</c:v>
                </c:pt>
                <c:pt idx="16">
                  <c:v>247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267</c:v>
                </c:pt>
                <c:pt idx="21">
                  <c:v>271</c:v>
                </c:pt>
                <c:pt idx="22">
                  <c:v>277</c:v>
                </c:pt>
                <c:pt idx="23">
                  <c:v>288</c:v>
                </c:pt>
                <c:pt idx="24">
                  <c:v>298</c:v>
                </c:pt>
                <c:pt idx="25">
                  <c:v>300</c:v>
                </c:pt>
                <c:pt idx="26">
                  <c:v>307</c:v>
                </c:pt>
                <c:pt idx="27">
                  <c:v>311</c:v>
                </c:pt>
                <c:pt idx="28">
                  <c:v>318</c:v>
                </c:pt>
                <c:pt idx="29">
                  <c:v>329</c:v>
                </c:pt>
                <c:pt idx="30">
                  <c:v>338</c:v>
                </c:pt>
                <c:pt idx="31">
                  <c:v>343</c:v>
                </c:pt>
                <c:pt idx="32">
                  <c:v>354</c:v>
                </c:pt>
                <c:pt idx="33">
                  <c:v>365</c:v>
                </c:pt>
                <c:pt idx="34">
                  <c:v>374</c:v>
                </c:pt>
                <c:pt idx="35">
                  <c:v>398</c:v>
                </c:pt>
                <c:pt idx="36">
                  <c:v>414</c:v>
                </c:pt>
                <c:pt idx="37">
                  <c:v>415</c:v>
                </c:pt>
                <c:pt idx="38">
                  <c:v>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4-0444-82C2-991AB348C9AA}"/>
            </c:ext>
          </c:extLst>
        </c:ser>
        <c:ser>
          <c:idx val="3"/>
          <c:order val="3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'24'!$E$2:$E$40</c:f>
              <c:numCache>
                <c:formatCode>General</c:formatCode>
                <c:ptCount val="39"/>
                <c:pt idx="0">
                  <c:v>61</c:v>
                </c:pt>
                <c:pt idx="1">
                  <c:v>64</c:v>
                </c:pt>
                <c:pt idx="2">
                  <c:v>67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73</c:v>
                </c:pt>
                <c:pt idx="8">
                  <c:v>87</c:v>
                </c:pt>
                <c:pt idx="9">
                  <c:v>91</c:v>
                </c:pt>
                <c:pt idx="10">
                  <c:v>96</c:v>
                </c:pt>
                <c:pt idx="11">
                  <c:v>100</c:v>
                </c:pt>
                <c:pt idx="12">
                  <c:v>108</c:v>
                </c:pt>
                <c:pt idx="13">
                  <c:v>114</c:v>
                </c:pt>
                <c:pt idx="14">
                  <c:v>117</c:v>
                </c:pt>
                <c:pt idx="15">
                  <c:v>115</c:v>
                </c:pt>
                <c:pt idx="16">
                  <c:v>122</c:v>
                </c:pt>
                <c:pt idx="17">
                  <c:v>125</c:v>
                </c:pt>
                <c:pt idx="18">
                  <c:v>130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135</c:v>
                </c:pt>
                <c:pt idx="23">
                  <c:v>139</c:v>
                </c:pt>
                <c:pt idx="24">
                  <c:v>144</c:v>
                </c:pt>
                <c:pt idx="25">
                  <c:v>145</c:v>
                </c:pt>
                <c:pt idx="26">
                  <c:v>148</c:v>
                </c:pt>
                <c:pt idx="27">
                  <c:v>152</c:v>
                </c:pt>
                <c:pt idx="28">
                  <c:v>155</c:v>
                </c:pt>
                <c:pt idx="29">
                  <c:v>161</c:v>
                </c:pt>
                <c:pt idx="30">
                  <c:v>169</c:v>
                </c:pt>
                <c:pt idx="31">
                  <c:v>153</c:v>
                </c:pt>
                <c:pt idx="32">
                  <c:v>180</c:v>
                </c:pt>
                <c:pt idx="33">
                  <c:v>175</c:v>
                </c:pt>
                <c:pt idx="34">
                  <c:v>188</c:v>
                </c:pt>
                <c:pt idx="35">
                  <c:v>199</c:v>
                </c:pt>
                <c:pt idx="36">
                  <c:v>203</c:v>
                </c:pt>
                <c:pt idx="37">
                  <c:v>201</c:v>
                </c:pt>
                <c:pt idx="38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4-0444-82C2-991AB348C9AA}"/>
            </c:ext>
          </c:extLst>
        </c:ser>
        <c:ser>
          <c:idx val="4"/>
          <c:order val="4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'24'!$F$2:$F$40</c:f>
              <c:numCache>
                <c:formatCode>General</c:formatCode>
                <c:ptCount val="39"/>
                <c:pt idx="0">
                  <c:v>36</c:v>
                </c:pt>
                <c:pt idx="1">
                  <c:v>39</c:v>
                </c:pt>
                <c:pt idx="2">
                  <c:v>41</c:v>
                </c:pt>
                <c:pt idx="3">
                  <c:v>41</c:v>
                </c:pt>
                <c:pt idx="4">
                  <c:v>39</c:v>
                </c:pt>
                <c:pt idx="5">
                  <c:v>43</c:v>
                </c:pt>
                <c:pt idx="6">
                  <c:v>37</c:v>
                </c:pt>
                <c:pt idx="7">
                  <c:v>39</c:v>
                </c:pt>
                <c:pt idx="8">
                  <c:v>72</c:v>
                </c:pt>
                <c:pt idx="9">
                  <c:v>55</c:v>
                </c:pt>
                <c:pt idx="10">
                  <c:v>52</c:v>
                </c:pt>
                <c:pt idx="11">
                  <c:v>64</c:v>
                </c:pt>
                <c:pt idx="12">
                  <c:v>58</c:v>
                </c:pt>
                <c:pt idx="13">
                  <c:v>62</c:v>
                </c:pt>
                <c:pt idx="14">
                  <c:v>73</c:v>
                </c:pt>
                <c:pt idx="15">
                  <c:v>78</c:v>
                </c:pt>
                <c:pt idx="16">
                  <c:v>67</c:v>
                </c:pt>
                <c:pt idx="17">
                  <c:v>66</c:v>
                </c:pt>
                <c:pt idx="18">
                  <c:v>67</c:v>
                </c:pt>
                <c:pt idx="19">
                  <c:v>83</c:v>
                </c:pt>
                <c:pt idx="20">
                  <c:v>70</c:v>
                </c:pt>
                <c:pt idx="21">
                  <c:v>76</c:v>
                </c:pt>
                <c:pt idx="22">
                  <c:v>77</c:v>
                </c:pt>
                <c:pt idx="23">
                  <c:v>92</c:v>
                </c:pt>
                <c:pt idx="24">
                  <c:v>89</c:v>
                </c:pt>
                <c:pt idx="25">
                  <c:v>81</c:v>
                </c:pt>
                <c:pt idx="26">
                  <c:v>88</c:v>
                </c:pt>
                <c:pt idx="27">
                  <c:v>61</c:v>
                </c:pt>
                <c:pt idx="28">
                  <c:v>83</c:v>
                </c:pt>
                <c:pt idx="29">
                  <c:v>96</c:v>
                </c:pt>
                <c:pt idx="30">
                  <c:v>99</c:v>
                </c:pt>
                <c:pt idx="31">
                  <c:v>85</c:v>
                </c:pt>
                <c:pt idx="32">
                  <c:v>111</c:v>
                </c:pt>
                <c:pt idx="33">
                  <c:v>95</c:v>
                </c:pt>
                <c:pt idx="34">
                  <c:v>101</c:v>
                </c:pt>
                <c:pt idx="35">
                  <c:v>129</c:v>
                </c:pt>
                <c:pt idx="36">
                  <c:v>147</c:v>
                </c:pt>
                <c:pt idx="37">
                  <c:v>108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4-0444-82C2-991AB348C9AA}"/>
            </c:ext>
          </c:extLst>
        </c:ser>
        <c:ser>
          <c:idx val="5"/>
          <c:order val="5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'24'!$G$2:$G$40</c:f>
              <c:numCache>
                <c:formatCode>General</c:formatCode>
                <c:ptCount val="39"/>
                <c:pt idx="0">
                  <c:v>62.5</c:v>
                </c:pt>
                <c:pt idx="1">
                  <c:v>62.34</c:v>
                </c:pt>
                <c:pt idx="2">
                  <c:v>62.06</c:v>
                </c:pt>
                <c:pt idx="3">
                  <c:v>60.77</c:v>
                </c:pt>
                <c:pt idx="4">
                  <c:v>59.07</c:v>
                </c:pt>
                <c:pt idx="5">
                  <c:v>59.5</c:v>
                </c:pt>
                <c:pt idx="6">
                  <c:v>59.17</c:v>
                </c:pt>
                <c:pt idx="7">
                  <c:v>58.35</c:v>
                </c:pt>
                <c:pt idx="8">
                  <c:v>50.38</c:v>
                </c:pt>
                <c:pt idx="9">
                  <c:v>49.51</c:v>
                </c:pt>
                <c:pt idx="10">
                  <c:v>48.12</c:v>
                </c:pt>
                <c:pt idx="11">
                  <c:v>44.03</c:v>
                </c:pt>
                <c:pt idx="12">
                  <c:v>48.81</c:v>
                </c:pt>
                <c:pt idx="13">
                  <c:v>49.88</c:v>
                </c:pt>
                <c:pt idx="14">
                  <c:v>49.49</c:v>
                </c:pt>
                <c:pt idx="15">
                  <c:v>46.47</c:v>
                </c:pt>
                <c:pt idx="16">
                  <c:v>49.42</c:v>
                </c:pt>
                <c:pt idx="17">
                  <c:v>49.32</c:v>
                </c:pt>
                <c:pt idx="18">
                  <c:v>50.27</c:v>
                </c:pt>
                <c:pt idx="19">
                  <c:v>50.09</c:v>
                </c:pt>
                <c:pt idx="20">
                  <c:v>49.33</c:v>
                </c:pt>
                <c:pt idx="21">
                  <c:v>48.72</c:v>
                </c:pt>
                <c:pt idx="22">
                  <c:v>48.88</c:v>
                </c:pt>
                <c:pt idx="23">
                  <c:v>48.33</c:v>
                </c:pt>
                <c:pt idx="24">
                  <c:v>48.41</c:v>
                </c:pt>
                <c:pt idx="25">
                  <c:v>48.24</c:v>
                </c:pt>
                <c:pt idx="26">
                  <c:v>48.29</c:v>
                </c:pt>
                <c:pt idx="27">
                  <c:v>48.85</c:v>
                </c:pt>
                <c:pt idx="28">
                  <c:v>48.68</c:v>
                </c:pt>
                <c:pt idx="29">
                  <c:v>48.86</c:v>
                </c:pt>
                <c:pt idx="30">
                  <c:v>49.98</c:v>
                </c:pt>
                <c:pt idx="31">
                  <c:v>44.65</c:v>
                </c:pt>
                <c:pt idx="32">
                  <c:v>50.82</c:v>
                </c:pt>
                <c:pt idx="33">
                  <c:v>47.91</c:v>
                </c:pt>
                <c:pt idx="34">
                  <c:v>50.24</c:v>
                </c:pt>
                <c:pt idx="35">
                  <c:v>50.15</c:v>
                </c:pt>
                <c:pt idx="36">
                  <c:v>49.04</c:v>
                </c:pt>
                <c:pt idx="37">
                  <c:v>48.43</c:v>
                </c:pt>
                <c:pt idx="38">
                  <c:v>47.84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4-0444-82C2-991AB348C9AA}"/>
            </c:ext>
          </c:extLst>
        </c:ser>
        <c:ser>
          <c:idx val="6"/>
          <c:order val="6"/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'24'!$H$2:$H$40</c:f>
              <c:numCache>
                <c:formatCode>General</c:formatCode>
                <c:ptCount val="39"/>
                <c:pt idx="0">
                  <c:v>30.62</c:v>
                </c:pt>
                <c:pt idx="1">
                  <c:v>32.340000000000003</c:v>
                </c:pt>
                <c:pt idx="2">
                  <c:v>32.36</c:v>
                </c:pt>
                <c:pt idx="3">
                  <c:v>30.81</c:v>
                </c:pt>
                <c:pt idx="4">
                  <c:v>22.73</c:v>
                </c:pt>
                <c:pt idx="5">
                  <c:v>28.49</c:v>
                </c:pt>
                <c:pt idx="6">
                  <c:v>22.44</c:v>
                </c:pt>
                <c:pt idx="7">
                  <c:v>22.73</c:v>
                </c:pt>
                <c:pt idx="8">
                  <c:v>35.72</c:v>
                </c:pt>
                <c:pt idx="9">
                  <c:v>23.97</c:v>
                </c:pt>
                <c:pt idx="10">
                  <c:v>20.62</c:v>
                </c:pt>
                <c:pt idx="11">
                  <c:v>23.62</c:v>
                </c:pt>
                <c:pt idx="12">
                  <c:v>21.29</c:v>
                </c:pt>
                <c:pt idx="13">
                  <c:v>22.49</c:v>
                </c:pt>
                <c:pt idx="14">
                  <c:v>24.58</c:v>
                </c:pt>
                <c:pt idx="15">
                  <c:v>28.69</c:v>
                </c:pt>
                <c:pt idx="16">
                  <c:v>24.5</c:v>
                </c:pt>
                <c:pt idx="17">
                  <c:v>23.37</c:v>
                </c:pt>
                <c:pt idx="18">
                  <c:v>23.45</c:v>
                </c:pt>
                <c:pt idx="19">
                  <c:v>28.89</c:v>
                </c:pt>
                <c:pt idx="20">
                  <c:v>23.76</c:v>
                </c:pt>
                <c:pt idx="21">
                  <c:v>25.47</c:v>
                </c:pt>
                <c:pt idx="22">
                  <c:v>25.36</c:v>
                </c:pt>
                <c:pt idx="23">
                  <c:v>29.76</c:v>
                </c:pt>
                <c:pt idx="24">
                  <c:v>24.02</c:v>
                </c:pt>
                <c:pt idx="25">
                  <c:v>27.03</c:v>
                </c:pt>
                <c:pt idx="26">
                  <c:v>28.65</c:v>
                </c:pt>
                <c:pt idx="27">
                  <c:v>19.59</c:v>
                </c:pt>
                <c:pt idx="28">
                  <c:v>26.13</c:v>
                </c:pt>
                <c:pt idx="29">
                  <c:v>29.3</c:v>
                </c:pt>
                <c:pt idx="30">
                  <c:v>29.28</c:v>
                </c:pt>
                <c:pt idx="31">
                  <c:v>24.83</c:v>
                </c:pt>
                <c:pt idx="32">
                  <c:v>31.31</c:v>
                </c:pt>
                <c:pt idx="33">
                  <c:v>26.05</c:v>
                </c:pt>
                <c:pt idx="34">
                  <c:v>27</c:v>
                </c:pt>
                <c:pt idx="35">
                  <c:v>32.53</c:v>
                </c:pt>
                <c:pt idx="36">
                  <c:v>35.44</c:v>
                </c:pt>
                <c:pt idx="37">
                  <c:v>26</c:v>
                </c:pt>
                <c:pt idx="38">
                  <c:v>5.66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54-0444-82C2-991AB348C9AA}"/>
            </c:ext>
          </c:extLst>
        </c:ser>
        <c:ser>
          <c:idx val="7"/>
          <c:order val="7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'24'!$I$2:$I$40</c:f>
              <c:numCache>
                <c:formatCode>General</c:formatCode>
                <c:ptCount val="39"/>
                <c:pt idx="0">
                  <c:v>181.75</c:v>
                </c:pt>
                <c:pt idx="1">
                  <c:v>176.57</c:v>
                </c:pt>
                <c:pt idx="2">
                  <c:v>173.41</c:v>
                </c:pt>
                <c:pt idx="3">
                  <c:v>173.41</c:v>
                </c:pt>
                <c:pt idx="4">
                  <c:v>172.07</c:v>
                </c:pt>
                <c:pt idx="5">
                  <c:v>183.33</c:v>
                </c:pt>
                <c:pt idx="6">
                  <c:v>187.67</c:v>
                </c:pt>
                <c:pt idx="7">
                  <c:v>233.93</c:v>
                </c:pt>
                <c:pt idx="8">
                  <c:v>233.93</c:v>
                </c:pt>
                <c:pt idx="9">
                  <c:v>265.37</c:v>
                </c:pt>
                <c:pt idx="10">
                  <c:v>280.33</c:v>
                </c:pt>
                <c:pt idx="11">
                  <c:v>285.83999999999997</c:v>
                </c:pt>
                <c:pt idx="12">
                  <c:v>306.74</c:v>
                </c:pt>
                <c:pt idx="13">
                  <c:v>276.16000000000003</c:v>
                </c:pt>
                <c:pt idx="14">
                  <c:v>269.8</c:v>
                </c:pt>
                <c:pt idx="15">
                  <c:v>245.97</c:v>
                </c:pt>
                <c:pt idx="16">
                  <c:v>213.44</c:v>
                </c:pt>
                <c:pt idx="17">
                  <c:v>203.57</c:v>
                </c:pt>
                <c:pt idx="18">
                  <c:v>203.65</c:v>
                </c:pt>
                <c:pt idx="19">
                  <c:v>205.28</c:v>
                </c:pt>
                <c:pt idx="20">
                  <c:v>209.72</c:v>
                </c:pt>
                <c:pt idx="21">
                  <c:v>216.32</c:v>
                </c:pt>
                <c:pt idx="22">
                  <c:v>213</c:v>
                </c:pt>
                <c:pt idx="23">
                  <c:v>214.02</c:v>
                </c:pt>
                <c:pt idx="24">
                  <c:v>212.65</c:v>
                </c:pt>
                <c:pt idx="25">
                  <c:v>212.09</c:v>
                </c:pt>
                <c:pt idx="26">
                  <c:v>211.54</c:v>
                </c:pt>
                <c:pt idx="27">
                  <c:v>205.49</c:v>
                </c:pt>
                <c:pt idx="28">
                  <c:v>230.64</c:v>
                </c:pt>
                <c:pt idx="29">
                  <c:v>228.79</c:v>
                </c:pt>
                <c:pt idx="30">
                  <c:v>223.1</c:v>
                </c:pt>
                <c:pt idx="31">
                  <c:v>221.48</c:v>
                </c:pt>
                <c:pt idx="32">
                  <c:v>209.44</c:v>
                </c:pt>
                <c:pt idx="33">
                  <c:v>198.4</c:v>
                </c:pt>
                <c:pt idx="34">
                  <c:v>206</c:v>
                </c:pt>
                <c:pt idx="35">
                  <c:v>212.4</c:v>
                </c:pt>
                <c:pt idx="36">
                  <c:v>196.88</c:v>
                </c:pt>
                <c:pt idx="37">
                  <c:v>188.83</c:v>
                </c:pt>
                <c:pt idx="38">
                  <c:v>188.97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54-0444-82C2-991AB348C9AA}"/>
            </c:ext>
          </c:extLst>
        </c:ser>
        <c:ser>
          <c:idx val="8"/>
          <c:order val="8"/>
          <c:marker>
            <c:symbol val="none"/>
          </c:marker>
          <c:cat>
            <c:strRef>
              <c:f>'24'!$A$2:$A$40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'24'!$J$2:$J$40</c:f>
              <c:numCache>
                <c:formatCode>General</c:formatCode>
                <c:ptCount val="39"/>
                <c:pt idx="0">
                  <c:v>42</c:v>
                </c:pt>
                <c:pt idx="1">
                  <c:v>95</c:v>
                </c:pt>
                <c:pt idx="2">
                  <c:v>62</c:v>
                </c:pt>
                <c:pt idx="3">
                  <c:v>100</c:v>
                </c:pt>
                <c:pt idx="4">
                  <c:v>50</c:v>
                </c:pt>
                <c:pt idx="5">
                  <c:v>106</c:v>
                </c:pt>
                <c:pt idx="6">
                  <c:v>53</c:v>
                </c:pt>
                <c:pt idx="7">
                  <c:v>118</c:v>
                </c:pt>
                <c:pt idx="8">
                  <c:v>56</c:v>
                </c:pt>
                <c:pt idx="9">
                  <c:v>165</c:v>
                </c:pt>
                <c:pt idx="10">
                  <c:v>124</c:v>
                </c:pt>
                <c:pt idx="11">
                  <c:v>173</c:v>
                </c:pt>
                <c:pt idx="12">
                  <c:v>114</c:v>
                </c:pt>
                <c:pt idx="13">
                  <c:v>185</c:v>
                </c:pt>
                <c:pt idx="14">
                  <c:v>141</c:v>
                </c:pt>
                <c:pt idx="15">
                  <c:v>188</c:v>
                </c:pt>
                <c:pt idx="16">
                  <c:v>118</c:v>
                </c:pt>
                <c:pt idx="17">
                  <c:v>204</c:v>
                </c:pt>
                <c:pt idx="18">
                  <c:v>151</c:v>
                </c:pt>
                <c:pt idx="19">
                  <c:v>219</c:v>
                </c:pt>
                <c:pt idx="20">
                  <c:v>136</c:v>
                </c:pt>
                <c:pt idx="21">
                  <c:v>225</c:v>
                </c:pt>
                <c:pt idx="22">
                  <c:v>218</c:v>
                </c:pt>
                <c:pt idx="23">
                  <c:v>225</c:v>
                </c:pt>
                <c:pt idx="24">
                  <c:v>213</c:v>
                </c:pt>
                <c:pt idx="25">
                  <c:v>247</c:v>
                </c:pt>
                <c:pt idx="26">
                  <c:v>179</c:v>
                </c:pt>
                <c:pt idx="27">
                  <c:v>236</c:v>
                </c:pt>
                <c:pt idx="28">
                  <c:v>214</c:v>
                </c:pt>
                <c:pt idx="29">
                  <c:v>264</c:v>
                </c:pt>
                <c:pt idx="30">
                  <c:v>213</c:v>
                </c:pt>
                <c:pt idx="31">
                  <c:v>251</c:v>
                </c:pt>
                <c:pt idx="32">
                  <c:v>212</c:v>
                </c:pt>
                <c:pt idx="33">
                  <c:v>278</c:v>
                </c:pt>
                <c:pt idx="34">
                  <c:v>288</c:v>
                </c:pt>
                <c:pt idx="35">
                  <c:v>291</c:v>
                </c:pt>
                <c:pt idx="36">
                  <c:v>265</c:v>
                </c:pt>
                <c:pt idx="37">
                  <c:v>249</c:v>
                </c:pt>
                <c:pt idx="3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54-0444-82C2-991AB348C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33440"/>
        <c:axId val="81934976"/>
      </c:lineChart>
      <c:catAx>
        <c:axId val="819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934976"/>
        <c:crosses val="autoZero"/>
        <c:auto val="1"/>
        <c:lblAlgn val="ctr"/>
        <c:lblOffset val="100"/>
        <c:tickMarkSkip val="1"/>
        <c:noMultiLvlLbl val="0"/>
      </c:catAx>
      <c:valAx>
        <c:axId val="819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33440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'24'!$K$2:$K$39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2.2727272727272749E-2</c:v>
                </c:pt>
                <c:pt idx="3">
                  <c:v>0</c:v>
                </c:pt>
                <c:pt idx="4">
                  <c:v>0</c:v>
                </c:pt>
                <c:pt idx="5">
                  <c:v>2.222222222222224E-2</c:v>
                </c:pt>
                <c:pt idx="6">
                  <c:v>0</c:v>
                </c:pt>
                <c:pt idx="7">
                  <c:v>0.16666666666666671</c:v>
                </c:pt>
                <c:pt idx="8">
                  <c:v>0</c:v>
                </c:pt>
                <c:pt idx="9">
                  <c:v>0</c:v>
                </c:pt>
                <c:pt idx="10">
                  <c:v>1.8181818181818195E-2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3.5087719298245452E-2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5.0000000000000044E-2</c:v>
                </c:pt>
                <c:pt idx="20">
                  <c:v>0</c:v>
                </c:pt>
                <c:pt idx="21">
                  <c:v>0</c:v>
                </c:pt>
                <c:pt idx="22">
                  <c:v>1.6393442622950834E-2</c:v>
                </c:pt>
                <c:pt idx="23">
                  <c:v>3.1746031746031772E-2</c:v>
                </c:pt>
                <c:pt idx="24">
                  <c:v>0</c:v>
                </c:pt>
                <c:pt idx="25">
                  <c:v>1.5625000000000014E-2</c:v>
                </c:pt>
                <c:pt idx="26">
                  <c:v>0</c:v>
                </c:pt>
                <c:pt idx="27">
                  <c:v>3.0303030303030328E-2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2.9411764705882377E-2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2.8571428571428439E-2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E-9145-8B54-6D83E0F6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84512"/>
        <c:axId val="82125568"/>
      </c:lineChart>
      <c:catAx>
        <c:axId val="81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82125568"/>
        <c:crosses val="autoZero"/>
        <c:auto val="1"/>
        <c:lblAlgn val="ctr"/>
        <c:lblOffset val="100"/>
        <c:tickMarkSkip val="1"/>
        <c:noMultiLvlLbl val="0"/>
      </c:catAx>
      <c:valAx>
        <c:axId val="821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8451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'1'!$B$2:$B$40</c:f>
              <c:numCache>
                <c:formatCode>General</c:formatCode>
                <c:ptCount val="39"/>
                <c:pt idx="0">
                  <c:v>66.42</c:v>
                </c:pt>
                <c:pt idx="1">
                  <c:v>60.34</c:v>
                </c:pt>
                <c:pt idx="2">
                  <c:v>47.77</c:v>
                </c:pt>
                <c:pt idx="3">
                  <c:v>56.95</c:v>
                </c:pt>
                <c:pt idx="4">
                  <c:v>65.3</c:v>
                </c:pt>
                <c:pt idx="5">
                  <c:v>62.96</c:v>
                </c:pt>
                <c:pt idx="6">
                  <c:v>63.3</c:v>
                </c:pt>
                <c:pt idx="7">
                  <c:v>65.117099999999994</c:v>
                </c:pt>
                <c:pt idx="8">
                  <c:v>74.87</c:v>
                </c:pt>
                <c:pt idx="9">
                  <c:v>73.2</c:v>
                </c:pt>
                <c:pt idx="10">
                  <c:v>71.930000000000007</c:v>
                </c:pt>
                <c:pt idx="11">
                  <c:v>83.77</c:v>
                </c:pt>
                <c:pt idx="12">
                  <c:v>82.35</c:v>
                </c:pt>
                <c:pt idx="13">
                  <c:v>84.41</c:v>
                </c:pt>
                <c:pt idx="14">
                  <c:v>78.400000000000006</c:v>
                </c:pt>
                <c:pt idx="15">
                  <c:v>85.86</c:v>
                </c:pt>
                <c:pt idx="16">
                  <c:v>80.98</c:v>
                </c:pt>
                <c:pt idx="17">
                  <c:v>77.73</c:v>
                </c:pt>
                <c:pt idx="18">
                  <c:v>69.5</c:v>
                </c:pt>
                <c:pt idx="19">
                  <c:v>71.489999999999995</c:v>
                </c:pt>
                <c:pt idx="20">
                  <c:v>73.459999999999994</c:v>
                </c:pt>
                <c:pt idx="21">
                  <c:v>72.97</c:v>
                </c:pt>
                <c:pt idx="22">
                  <c:v>66.5</c:v>
                </c:pt>
                <c:pt idx="23">
                  <c:v>75.260000000000005</c:v>
                </c:pt>
                <c:pt idx="24">
                  <c:v>68.150000000000006</c:v>
                </c:pt>
                <c:pt idx="25">
                  <c:v>74.209999999999994</c:v>
                </c:pt>
                <c:pt idx="26">
                  <c:v>90.65</c:v>
                </c:pt>
                <c:pt idx="27">
                  <c:v>104.93</c:v>
                </c:pt>
                <c:pt idx="28">
                  <c:v>107.97</c:v>
                </c:pt>
                <c:pt idx="29">
                  <c:v>116.09</c:v>
                </c:pt>
                <c:pt idx="30">
                  <c:v>109.18</c:v>
                </c:pt>
                <c:pt idx="31">
                  <c:v>92.32</c:v>
                </c:pt>
                <c:pt idx="32">
                  <c:v>100.12</c:v>
                </c:pt>
                <c:pt idx="33">
                  <c:v>109.71</c:v>
                </c:pt>
                <c:pt idx="34">
                  <c:v>114.25</c:v>
                </c:pt>
                <c:pt idx="35">
                  <c:v>121.84</c:v>
                </c:pt>
                <c:pt idx="36">
                  <c:v>97.65</c:v>
                </c:pt>
                <c:pt idx="37">
                  <c:v>123.5</c:v>
                </c:pt>
                <c:pt idx="38">
                  <c:v>128.22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5-054D-9163-04C9CEE504C6}"/>
            </c:ext>
          </c:extLst>
        </c:ser>
        <c:ser>
          <c:idx val="2"/>
          <c:order val="2"/>
          <c:tx>
            <c:strRef>
              <c:f>'1'!$D$1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'1'!$D$2:$D$40</c:f>
              <c:numCache>
                <c:formatCode>General</c:formatCode>
                <c:ptCount val="39"/>
                <c:pt idx="0">
                  <c:v>682</c:v>
                </c:pt>
                <c:pt idx="1">
                  <c:v>714</c:v>
                </c:pt>
                <c:pt idx="2">
                  <c:v>679</c:v>
                </c:pt>
                <c:pt idx="3">
                  <c:v>672</c:v>
                </c:pt>
                <c:pt idx="4">
                  <c:v>729</c:v>
                </c:pt>
                <c:pt idx="5">
                  <c:v>737</c:v>
                </c:pt>
                <c:pt idx="6">
                  <c:v>770</c:v>
                </c:pt>
                <c:pt idx="7">
                  <c:v>787</c:v>
                </c:pt>
                <c:pt idx="8">
                  <c:v>816</c:v>
                </c:pt>
                <c:pt idx="9">
                  <c:v>854</c:v>
                </c:pt>
                <c:pt idx="10">
                  <c:v>884</c:v>
                </c:pt>
                <c:pt idx="11">
                  <c:v>930</c:v>
                </c:pt>
                <c:pt idx="12">
                  <c:v>955</c:v>
                </c:pt>
                <c:pt idx="13">
                  <c:v>984</c:v>
                </c:pt>
                <c:pt idx="14">
                  <c:v>1021</c:v>
                </c:pt>
                <c:pt idx="15">
                  <c:v>1022</c:v>
                </c:pt>
                <c:pt idx="16">
                  <c:v>1027</c:v>
                </c:pt>
                <c:pt idx="17">
                  <c:v>1072</c:v>
                </c:pt>
                <c:pt idx="18">
                  <c:v>1049</c:v>
                </c:pt>
                <c:pt idx="19">
                  <c:v>1052</c:v>
                </c:pt>
                <c:pt idx="20">
                  <c:v>994</c:v>
                </c:pt>
                <c:pt idx="21">
                  <c:v>1045</c:v>
                </c:pt>
                <c:pt idx="22">
                  <c:v>1093</c:v>
                </c:pt>
                <c:pt idx="23">
                  <c:v>1091</c:v>
                </c:pt>
                <c:pt idx="24">
                  <c:v>1114</c:v>
                </c:pt>
                <c:pt idx="25">
                  <c:v>1172</c:v>
                </c:pt>
                <c:pt idx="26">
                  <c:v>1222</c:v>
                </c:pt>
                <c:pt idx="27">
                  <c:v>1286</c:v>
                </c:pt>
                <c:pt idx="28">
                  <c:v>1328</c:v>
                </c:pt>
                <c:pt idx="29">
                  <c:v>1345</c:v>
                </c:pt>
                <c:pt idx="30">
                  <c:v>1395</c:v>
                </c:pt>
                <c:pt idx="31">
                  <c:v>1305</c:v>
                </c:pt>
                <c:pt idx="32">
                  <c:v>1327</c:v>
                </c:pt>
                <c:pt idx="33">
                  <c:v>1395</c:v>
                </c:pt>
                <c:pt idx="34">
                  <c:v>1427</c:v>
                </c:pt>
                <c:pt idx="35">
                  <c:v>1469</c:v>
                </c:pt>
                <c:pt idx="36">
                  <c:v>1463</c:v>
                </c:pt>
                <c:pt idx="37">
                  <c:v>1415</c:v>
                </c:pt>
                <c:pt idx="38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054D-9163-04C9CEE504C6}"/>
            </c:ext>
          </c:extLst>
        </c:ser>
        <c:ser>
          <c:idx val="3"/>
          <c:order val="3"/>
          <c:tx>
            <c:strRef>
              <c:f>'1'!$E$1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'1'!$E$2:$E$40</c:f>
              <c:numCache>
                <c:formatCode>General</c:formatCode>
                <c:ptCount val="39"/>
                <c:pt idx="0">
                  <c:v>339</c:v>
                </c:pt>
                <c:pt idx="1">
                  <c:v>356</c:v>
                </c:pt>
                <c:pt idx="2">
                  <c:v>295</c:v>
                </c:pt>
                <c:pt idx="3">
                  <c:v>294</c:v>
                </c:pt>
                <c:pt idx="4">
                  <c:v>316</c:v>
                </c:pt>
                <c:pt idx="5">
                  <c:v>328</c:v>
                </c:pt>
                <c:pt idx="6">
                  <c:v>359</c:v>
                </c:pt>
                <c:pt idx="7">
                  <c:v>361</c:v>
                </c:pt>
                <c:pt idx="8">
                  <c:v>373</c:v>
                </c:pt>
                <c:pt idx="9">
                  <c:v>399</c:v>
                </c:pt>
                <c:pt idx="10">
                  <c:v>426</c:v>
                </c:pt>
                <c:pt idx="11">
                  <c:v>440</c:v>
                </c:pt>
                <c:pt idx="12">
                  <c:v>449</c:v>
                </c:pt>
                <c:pt idx="13">
                  <c:v>473</c:v>
                </c:pt>
                <c:pt idx="14">
                  <c:v>489</c:v>
                </c:pt>
                <c:pt idx="15">
                  <c:v>480</c:v>
                </c:pt>
                <c:pt idx="16">
                  <c:v>478</c:v>
                </c:pt>
                <c:pt idx="17">
                  <c:v>508</c:v>
                </c:pt>
                <c:pt idx="18">
                  <c:v>458</c:v>
                </c:pt>
                <c:pt idx="19">
                  <c:v>455</c:v>
                </c:pt>
                <c:pt idx="20">
                  <c:v>411</c:v>
                </c:pt>
                <c:pt idx="21">
                  <c:v>450</c:v>
                </c:pt>
                <c:pt idx="22">
                  <c:v>476</c:v>
                </c:pt>
                <c:pt idx="23">
                  <c:v>463</c:v>
                </c:pt>
                <c:pt idx="24">
                  <c:v>472</c:v>
                </c:pt>
                <c:pt idx="25">
                  <c:v>508</c:v>
                </c:pt>
                <c:pt idx="26">
                  <c:v>549</c:v>
                </c:pt>
                <c:pt idx="27">
                  <c:v>531</c:v>
                </c:pt>
                <c:pt idx="28">
                  <c:v>584</c:v>
                </c:pt>
                <c:pt idx="29">
                  <c:v>595</c:v>
                </c:pt>
                <c:pt idx="30">
                  <c:v>641</c:v>
                </c:pt>
                <c:pt idx="31">
                  <c:v>527</c:v>
                </c:pt>
                <c:pt idx="32">
                  <c:v>533</c:v>
                </c:pt>
                <c:pt idx="33">
                  <c:v>615</c:v>
                </c:pt>
                <c:pt idx="34">
                  <c:v>659</c:v>
                </c:pt>
                <c:pt idx="35">
                  <c:v>580</c:v>
                </c:pt>
                <c:pt idx="36">
                  <c:v>707</c:v>
                </c:pt>
                <c:pt idx="37">
                  <c:v>554</c:v>
                </c:pt>
                <c:pt idx="3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5-054D-9163-04C9CEE504C6}"/>
            </c:ext>
          </c:extLst>
        </c:ser>
        <c:ser>
          <c:idx val="4"/>
          <c:order val="4"/>
          <c:tx>
            <c:strRef>
              <c:f>'1'!$F$1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'1'!$F$2:$F$40</c:f>
              <c:numCache>
                <c:formatCode>General</c:formatCode>
                <c:ptCount val="39"/>
                <c:pt idx="0">
                  <c:v>195</c:v>
                </c:pt>
                <c:pt idx="1">
                  <c:v>205</c:v>
                </c:pt>
                <c:pt idx="2">
                  <c:v>186</c:v>
                </c:pt>
                <c:pt idx="3">
                  <c:v>188</c:v>
                </c:pt>
                <c:pt idx="4">
                  <c:v>198</c:v>
                </c:pt>
                <c:pt idx="5">
                  <c:v>207</c:v>
                </c:pt>
                <c:pt idx="6">
                  <c:v>247</c:v>
                </c:pt>
                <c:pt idx="7">
                  <c:v>232</c:v>
                </c:pt>
                <c:pt idx="8">
                  <c:v>242</c:v>
                </c:pt>
                <c:pt idx="9">
                  <c:v>248</c:v>
                </c:pt>
                <c:pt idx="10">
                  <c:v>270</c:v>
                </c:pt>
                <c:pt idx="11">
                  <c:v>288</c:v>
                </c:pt>
                <c:pt idx="12">
                  <c:v>304</c:v>
                </c:pt>
                <c:pt idx="13">
                  <c:v>306</c:v>
                </c:pt>
                <c:pt idx="14">
                  <c:v>304</c:v>
                </c:pt>
                <c:pt idx="15">
                  <c:v>316</c:v>
                </c:pt>
                <c:pt idx="16">
                  <c:v>310</c:v>
                </c:pt>
                <c:pt idx="17">
                  <c:v>333</c:v>
                </c:pt>
                <c:pt idx="18">
                  <c:v>277</c:v>
                </c:pt>
                <c:pt idx="19">
                  <c:v>303</c:v>
                </c:pt>
                <c:pt idx="20">
                  <c:v>295</c:v>
                </c:pt>
                <c:pt idx="21">
                  <c:v>195</c:v>
                </c:pt>
                <c:pt idx="22">
                  <c:v>328</c:v>
                </c:pt>
                <c:pt idx="23">
                  <c:v>380</c:v>
                </c:pt>
                <c:pt idx="24">
                  <c:v>386</c:v>
                </c:pt>
                <c:pt idx="25">
                  <c:v>374</c:v>
                </c:pt>
                <c:pt idx="26">
                  <c:v>391</c:v>
                </c:pt>
                <c:pt idx="27">
                  <c:v>347</c:v>
                </c:pt>
                <c:pt idx="28">
                  <c:v>454</c:v>
                </c:pt>
                <c:pt idx="29">
                  <c:v>449</c:v>
                </c:pt>
                <c:pt idx="30">
                  <c:v>583</c:v>
                </c:pt>
                <c:pt idx="31">
                  <c:v>352</c:v>
                </c:pt>
                <c:pt idx="32">
                  <c:v>513</c:v>
                </c:pt>
                <c:pt idx="33">
                  <c:v>528</c:v>
                </c:pt>
                <c:pt idx="34">
                  <c:v>546</c:v>
                </c:pt>
                <c:pt idx="35">
                  <c:v>545</c:v>
                </c:pt>
                <c:pt idx="36">
                  <c:v>343</c:v>
                </c:pt>
                <c:pt idx="37">
                  <c:v>603</c:v>
                </c:pt>
                <c:pt idx="38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5-054D-9163-04C9CEE504C6}"/>
            </c:ext>
          </c:extLst>
        </c:ser>
        <c:ser>
          <c:idx val="7"/>
          <c:order val="7"/>
          <c:tx>
            <c:strRef>
              <c:f>'1'!$I$1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'1'!$I$2:$I$40</c:f>
              <c:numCache>
                <c:formatCode>General</c:formatCode>
                <c:ptCount val="39"/>
                <c:pt idx="0">
                  <c:v>41.79</c:v>
                </c:pt>
                <c:pt idx="1">
                  <c:v>40.700000000000003</c:v>
                </c:pt>
                <c:pt idx="2">
                  <c:v>41.1</c:v>
                </c:pt>
                <c:pt idx="3">
                  <c:v>41.1</c:v>
                </c:pt>
                <c:pt idx="4">
                  <c:v>42.47</c:v>
                </c:pt>
                <c:pt idx="5">
                  <c:v>43.05</c:v>
                </c:pt>
                <c:pt idx="6">
                  <c:v>43.77</c:v>
                </c:pt>
                <c:pt idx="7">
                  <c:v>40.479999999999997</c:v>
                </c:pt>
                <c:pt idx="8">
                  <c:v>40.479999999999997</c:v>
                </c:pt>
                <c:pt idx="9">
                  <c:v>39.770000000000003</c:v>
                </c:pt>
                <c:pt idx="10">
                  <c:v>39.450000000000003</c:v>
                </c:pt>
                <c:pt idx="11">
                  <c:v>39.89</c:v>
                </c:pt>
                <c:pt idx="12">
                  <c:v>38.97</c:v>
                </c:pt>
                <c:pt idx="13">
                  <c:v>38.44</c:v>
                </c:pt>
                <c:pt idx="14">
                  <c:v>37.96</c:v>
                </c:pt>
                <c:pt idx="15">
                  <c:v>38.29</c:v>
                </c:pt>
                <c:pt idx="16">
                  <c:v>38.68</c:v>
                </c:pt>
                <c:pt idx="17">
                  <c:v>40.35</c:v>
                </c:pt>
                <c:pt idx="18">
                  <c:v>40.94</c:v>
                </c:pt>
                <c:pt idx="19">
                  <c:v>43.2</c:v>
                </c:pt>
                <c:pt idx="20">
                  <c:v>44.92</c:v>
                </c:pt>
                <c:pt idx="21">
                  <c:v>45.16</c:v>
                </c:pt>
                <c:pt idx="22">
                  <c:v>51.08</c:v>
                </c:pt>
                <c:pt idx="23">
                  <c:v>48.31</c:v>
                </c:pt>
                <c:pt idx="24">
                  <c:v>45.47</c:v>
                </c:pt>
                <c:pt idx="25">
                  <c:v>42.86</c:v>
                </c:pt>
                <c:pt idx="26">
                  <c:v>38.14</c:v>
                </c:pt>
                <c:pt idx="27">
                  <c:v>36.89</c:v>
                </c:pt>
                <c:pt idx="28">
                  <c:v>38.19</c:v>
                </c:pt>
                <c:pt idx="29">
                  <c:v>38.869999999999997</c:v>
                </c:pt>
                <c:pt idx="30">
                  <c:v>39.200000000000003</c:v>
                </c:pt>
                <c:pt idx="31">
                  <c:v>36.979999999999997</c:v>
                </c:pt>
                <c:pt idx="32">
                  <c:v>38.51</c:v>
                </c:pt>
                <c:pt idx="33">
                  <c:v>37.68</c:v>
                </c:pt>
                <c:pt idx="34">
                  <c:v>36.729999999999997</c:v>
                </c:pt>
                <c:pt idx="35">
                  <c:v>37.770000000000003</c:v>
                </c:pt>
                <c:pt idx="36">
                  <c:v>34.94</c:v>
                </c:pt>
                <c:pt idx="37">
                  <c:v>39.65</c:v>
                </c:pt>
                <c:pt idx="38">
                  <c:v>39.43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3600"/>
        <c:axId val="141195136"/>
      </c:lineChart>
      <c:lineChart>
        <c:grouping val="standard"/>
        <c:varyColors val="0"/>
        <c:ser>
          <c:idx val="1"/>
          <c:order val="1"/>
          <c:tx>
            <c:strRef>
              <c:f>'1'!$C$1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'1'!$C$2:$C$40</c:f>
              <c:numCache>
                <c:formatCode>General</c:formatCode>
                <c:ptCount val="3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5-054D-9163-04C9CEE504C6}"/>
            </c:ext>
          </c:extLst>
        </c:ser>
        <c:ser>
          <c:idx val="5"/>
          <c:order val="5"/>
          <c:tx>
            <c:strRef>
              <c:f>'1'!$G$1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'1'!$G$2:$G$40</c:f>
              <c:numCache>
                <c:formatCode>General</c:formatCode>
                <c:ptCount val="39"/>
                <c:pt idx="0">
                  <c:v>49.71</c:v>
                </c:pt>
                <c:pt idx="1">
                  <c:v>49.81</c:v>
                </c:pt>
                <c:pt idx="2">
                  <c:v>43.45</c:v>
                </c:pt>
                <c:pt idx="3">
                  <c:v>43.72</c:v>
                </c:pt>
                <c:pt idx="4">
                  <c:v>43.39</c:v>
                </c:pt>
                <c:pt idx="5">
                  <c:v>44.52</c:v>
                </c:pt>
                <c:pt idx="6">
                  <c:v>46.63</c:v>
                </c:pt>
                <c:pt idx="7">
                  <c:v>45.88</c:v>
                </c:pt>
                <c:pt idx="8">
                  <c:v>45.68</c:v>
                </c:pt>
                <c:pt idx="9">
                  <c:v>46.68</c:v>
                </c:pt>
                <c:pt idx="10">
                  <c:v>48.16</c:v>
                </c:pt>
                <c:pt idx="11">
                  <c:v>47.33</c:v>
                </c:pt>
                <c:pt idx="12">
                  <c:v>47.05</c:v>
                </c:pt>
                <c:pt idx="13">
                  <c:v>48.06</c:v>
                </c:pt>
                <c:pt idx="14">
                  <c:v>47.87</c:v>
                </c:pt>
                <c:pt idx="15">
                  <c:v>46.95</c:v>
                </c:pt>
                <c:pt idx="16">
                  <c:v>46.52</c:v>
                </c:pt>
                <c:pt idx="17">
                  <c:v>47.35</c:v>
                </c:pt>
                <c:pt idx="18">
                  <c:v>43.69</c:v>
                </c:pt>
                <c:pt idx="19">
                  <c:v>43.24</c:v>
                </c:pt>
                <c:pt idx="20">
                  <c:v>41.33</c:v>
                </c:pt>
                <c:pt idx="21">
                  <c:v>43.05</c:v>
                </c:pt>
                <c:pt idx="22">
                  <c:v>43.53</c:v>
                </c:pt>
                <c:pt idx="23">
                  <c:v>42.46</c:v>
                </c:pt>
                <c:pt idx="24">
                  <c:v>42.36</c:v>
                </c:pt>
                <c:pt idx="25">
                  <c:v>43.33</c:v>
                </c:pt>
                <c:pt idx="26">
                  <c:v>44.9</c:v>
                </c:pt>
                <c:pt idx="27">
                  <c:v>41.29</c:v>
                </c:pt>
                <c:pt idx="28">
                  <c:v>43.96</c:v>
                </c:pt>
                <c:pt idx="29">
                  <c:v>44.22</c:v>
                </c:pt>
                <c:pt idx="30">
                  <c:v>45.93</c:v>
                </c:pt>
                <c:pt idx="31">
                  <c:v>40.39</c:v>
                </c:pt>
                <c:pt idx="32">
                  <c:v>40.119999999999997</c:v>
                </c:pt>
                <c:pt idx="33">
                  <c:v>44.09</c:v>
                </c:pt>
                <c:pt idx="34">
                  <c:v>46.2</c:v>
                </c:pt>
                <c:pt idx="35">
                  <c:v>39.51</c:v>
                </c:pt>
                <c:pt idx="36">
                  <c:v>48.35</c:v>
                </c:pt>
                <c:pt idx="37">
                  <c:v>39.119999999999997</c:v>
                </c:pt>
                <c:pt idx="38">
                  <c:v>45.68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5-054D-9163-04C9CEE504C6}"/>
            </c:ext>
          </c:extLst>
        </c:ser>
        <c:ser>
          <c:idx val="6"/>
          <c:order val="6"/>
          <c:tx>
            <c:strRef>
              <c:f>'1'!$H$1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'1'!$A$2:$A$40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'1'!$H$2:$H$40</c:f>
              <c:numCache>
                <c:formatCode>General</c:formatCode>
                <c:ptCount val="39"/>
                <c:pt idx="0">
                  <c:v>28.52</c:v>
                </c:pt>
                <c:pt idx="1">
                  <c:v>28.68</c:v>
                </c:pt>
                <c:pt idx="2">
                  <c:v>27.3</c:v>
                </c:pt>
                <c:pt idx="3">
                  <c:v>27.53</c:v>
                </c:pt>
                <c:pt idx="4">
                  <c:v>27.1</c:v>
                </c:pt>
                <c:pt idx="5">
                  <c:v>27.9</c:v>
                </c:pt>
                <c:pt idx="6">
                  <c:v>32.130000000000003</c:v>
                </c:pt>
                <c:pt idx="7">
                  <c:v>29.47</c:v>
                </c:pt>
                <c:pt idx="8">
                  <c:v>29.66</c:v>
                </c:pt>
                <c:pt idx="9">
                  <c:v>29.01</c:v>
                </c:pt>
                <c:pt idx="10">
                  <c:v>30.56</c:v>
                </c:pt>
                <c:pt idx="11">
                  <c:v>30.94</c:v>
                </c:pt>
                <c:pt idx="12">
                  <c:v>31.88</c:v>
                </c:pt>
                <c:pt idx="13">
                  <c:v>31.07</c:v>
                </c:pt>
                <c:pt idx="14">
                  <c:v>29.74</c:v>
                </c:pt>
                <c:pt idx="15">
                  <c:v>30.9</c:v>
                </c:pt>
                <c:pt idx="16">
                  <c:v>30.14</c:v>
                </c:pt>
                <c:pt idx="17">
                  <c:v>31.07</c:v>
                </c:pt>
                <c:pt idx="18">
                  <c:v>26.42</c:v>
                </c:pt>
                <c:pt idx="19">
                  <c:v>28.82</c:v>
                </c:pt>
                <c:pt idx="20">
                  <c:v>29.7</c:v>
                </c:pt>
                <c:pt idx="21">
                  <c:v>18.690000000000001</c:v>
                </c:pt>
                <c:pt idx="22">
                  <c:v>29.99</c:v>
                </c:pt>
                <c:pt idx="23">
                  <c:v>34.81</c:v>
                </c:pt>
                <c:pt idx="24">
                  <c:v>34.65</c:v>
                </c:pt>
                <c:pt idx="25">
                  <c:v>31.91</c:v>
                </c:pt>
                <c:pt idx="26">
                  <c:v>32</c:v>
                </c:pt>
                <c:pt idx="27">
                  <c:v>26.99</c:v>
                </c:pt>
                <c:pt idx="28">
                  <c:v>33.369999999999997</c:v>
                </c:pt>
                <c:pt idx="29">
                  <c:v>32.590000000000003</c:v>
                </c:pt>
                <c:pt idx="30">
                  <c:v>40.82</c:v>
                </c:pt>
                <c:pt idx="31">
                  <c:v>29.63</c:v>
                </c:pt>
                <c:pt idx="32">
                  <c:v>37.64</c:v>
                </c:pt>
                <c:pt idx="33">
                  <c:v>36.82</c:v>
                </c:pt>
                <c:pt idx="34">
                  <c:v>37.29</c:v>
                </c:pt>
                <c:pt idx="35">
                  <c:v>36.130000000000003</c:v>
                </c:pt>
                <c:pt idx="36">
                  <c:v>22.82</c:v>
                </c:pt>
                <c:pt idx="37">
                  <c:v>41.42</c:v>
                </c:pt>
                <c:pt idx="38">
                  <c:v>39.18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5-054D-9163-04C9CEE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4848"/>
        <c:axId val="141196672"/>
      </c:lineChart>
      <c:catAx>
        <c:axId val="1411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195136"/>
        <c:crosses val="autoZero"/>
        <c:auto val="1"/>
        <c:lblAlgn val="ctr"/>
        <c:lblOffset val="100"/>
        <c:tickMarkSkip val="1"/>
        <c:noMultiLvlLbl val="0"/>
      </c:catAx>
      <c:valAx>
        <c:axId val="1411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93600"/>
        <c:crosses val="autoZero"/>
        <c:crossBetween val="between"/>
      </c:valAx>
      <c:valAx>
        <c:axId val="141196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1214848"/>
        <c:crosses val="max"/>
        <c:crossBetween val="between"/>
      </c:valAx>
      <c:catAx>
        <c:axId val="14121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19667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'25'!$B$2:$B$40</c:f>
              <c:numCache>
                <c:formatCode>General</c:formatCode>
                <c:ptCount val="39"/>
                <c:pt idx="0">
                  <c:v>38.11</c:v>
                </c:pt>
                <c:pt idx="1">
                  <c:v>40.380000000000003</c:v>
                </c:pt>
                <c:pt idx="2">
                  <c:v>42.37</c:v>
                </c:pt>
                <c:pt idx="3">
                  <c:v>46.29</c:v>
                </c:pt>
                <c:pt idx="4">
                  <c:v>44.93</c:v>
                </c:pt>
                <c:pt idx="5">
                  <c:v>46.3</c:v>
                </c:pt>
                <c:pt idx="6">
                  <c:v>46.09</c:v>
                </c:pt>
                <c:pt idx="7">
                  <c:v>42.81</c:v>
                </c:pt>
                <c:pt idx="8">
                  <c:v>46.92</c:v>
                </c:pt>
                <c:pt idx="9">
                  <c:v>44.13</c:v>
                </c:pt>
                <c:pt idx="10">
                  <c:v>41.18</c:v>
                </c:pt>
                <c:pt idx="11">
                  <c:v>41.11</c:v>
                </c:pt>
                <c:pt idx="12">
                  <c:v>43.94</c:v>
                </c:pt>
                <c:pt idx="13">
                  <c:v>45.38</c:v>
                </c:pt>
                <c:pt idx="14">
                  <c:v>43.65</c:v>
                </c:pt>
                <c:pt idx="15">
                  <c:v>49.11</c:v>
                </c:pt>
                <c:pt idx="16">
                  <c:v>44.28</c:v>
                </c:pt>
                <c:pt idx="17">
                  <c:v>41.9</c:v>
                </c:pt>
                <c:pt idx="18">
                  <c:v>44.7</c:v>
                </c:pt>
                <c:pt idx="19">
                  <c:v>46.79</c:v>
                </c:pt>
                <c:pt idx="20">
                  <c:v>51.73</c:v>
                </c:pt>
                <c:pt idx="21">
                  <c:v>53.63</c:v>
                </c:pt>
                <c:pt idx="22">
                  <c:v>51.3</c:v>
                </c:pt>
                <c:pt idx="23">
                  <c:v>49.19</c:v>
                </c:pt>
                <c:pt idx="24">
                  <c:v>49.78</c:v>
                </c:pt>
                <c:pt idx="25">
                  <c:v>47.88</c:v>
                </c:pt>
                <c:pt idx="26">
                  <c:v>49.14</c:v>
                </c:pt>
                <c:pt idx="27">
                  <c:v>48.09</c:v>
                </c:pt>
                <c:pt idx="28">
                  <c:v>44.66</c:v>
                </c:pt>
                <c:pt idx="29">
                  <c:v>46.31</c:v>
                </c:pt>
                <c:pt idx="30">
                  <c:v>43.6</c:v>
                </c:pt>
                <c:pt idx="31">
                  <c:v>43.92</c:v>
                </c:pt>
                <c:pt idx="32">
                  <c:v>51.68</c:v>
                </c:pt>
                <c:pt idx="33">
                  <c:v>55.28</c:v>
                </c:pt>
                <c:pt idx="34">
                  <c:v>61.77</c:v>
                </c:pt>
                <c:pt idx="35">
                  <c:v>63.7</c:v>
                </c:pt>
                <c:pt idx="36">
                  <c:v>54.14</c:v>
                </c:pt>
                <c:pt idx="37">
                  <c:v>51.85</c:v>
                </c:pt>
                <c:pt idx="38">
                  <c:v>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8-8847-AC64-B446566A2B4E}"/>
            </c:ext>
          </c:extLst>
        </c:ser>
        <c:ser>
          <c:idx val="1"/>
          <c:order val="1"/>
          <c:tx>
            <c:strRef>
              <c:f>'25'!$C$1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'25'!$C$2:$C$40</c:f>
              <c:numCache>
                <c:formatCode>General</c:formatCode>
                <c:ptCount val="39"/>
                <c:pt idx="0">
                  <c:v>0.46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0.56000000000000005</c:v>
                </c:pt>
                <c:pt idx="24">
                  <c:v>0.56000000000000005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0.64</c:v>
                </c:pt>
                <c:pt idx="3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8-8847-AC64-B446566A2B4E}"/>
            </c:ext>
          </c:extLst>
        </c:ser>
        <c:ser>
          <c:idx val="2"/>
          <c:order val="2"/>
          <c:tx>
            <c:strRef>
              <c:f>'25'!$D$1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'25'!$D$2:$D$40</c:f>
              <c:numCache>
                <c:formatCode>General</c:formatCode>
                <c:ptCount val="39"/>
                <c:pt idx="0">
                  <c:v>4012</c:v>
                </c:pt>
                <c:pt idx="1">
                  <c:v>4521</c:v>
                </c:pt>
                <c:pt idx="2">
                  <c:v>5428</c:v>
                </c:pt>
                <c:pt idx="3">
                  <c:v>3696</c:v>
                </c:pt>
                <c:pt idx="4">
                  <c:v>3604</c:v>
                </c:pt>
                <c:pt idx="5">
                  <c:v>4181</c:v>
                </c:pt>
                <c:pt idx="6">
                  <c:v>5049</c:v>
                </c:pt>
                <c:pt idx="7">
                  <c:v>3703</c:v>
                </c:pt>
                <c:pt idx="8">
                  <c:v>3897</c:v>
                </c:pt>
                <c:pt idx="9">
                  <c:v>4246</c:v>
                </c:pt>
                <c:pt idx="10">
                  <c:v>5017</c:v>
                </c:pt>
                <c:pt idx="11">
                  <c:v>3927</c:v>
                </c:pt>
                <c:pt idx="12">
                  <c:v>4644</c:v>
                </c:pt>
                <c:pt idx="13">
                  <c:v>4467</c:v>
                </c:pt>
                <c:pt idx="14">
                  <c:v>5339</c:v>
                </c:pt>
                <c:pt idx="15">
                  <c:v>4017</c:v>
                </c:pt>
                <c:pt idx="16">
                  <c:v>4183</c:v>
                </c:pt>
                <c:pt idx="17">
                  <c:v>4337</c:v>
                </c:pt>
                <c:pt idx="18">
                  <c:v>5401</c:v>
                </c:pt>
                <c:pt idx="19">
                  <c:v>3568</c:v>
                </c:pt>
                <c:pt idx="20">
                  <c:v>3965</c:v>
                </c:pt>
                <c:pt idx="21">
                  <c:v>4459</c:v>
                </c:pt>
                <c:pt idx="22">
                  <c:v>6264</c:v>
                </c:pt>
                <c:pt idx="23">
                  <c:v>5181</c:v>
                </c:pt>
                <c:pt idx="24">
                  <c:v>5771</c:v>
                </c:pt>
                <c:pt idx="25">
                  <c:v>5430</c:v>
                </c:pt>
                <c:pt idx="26">
                  <c:v>6201</c:v>
                </c:pt>
                <c:pt idx="27">
                  <c:v>5628</c:v>
                </c:pt>
                <c:pt idx="28">
                  <c:v>6372</c:v>
                </c:pt>
                <c:pt idx="29">
                  <c:v>5627</c:v>
                </c:pt>
                <c:pt idx="30">
                  <c:v>6159</c:v>
                </c:pt>
                <c:pt idx="31">
                  <c:v>5337</c:v>
                </c:pt>
                <c:pt idx="32">
                  <c:v>5412</c:v>
                </c:pt>
                <c:pt idx="33">
                  <c:v>5098</c:v>
                </c:pt>
                <c:pt idx="34">
                  <c:v>5995</c:v>
                </c:pt>
                <c:pt idx="35">
                  <c:v>4914</c:v>
                </c:pt>
                <c:pt idx="36">
                  <c:v>5018</c:v>
                </c:pt>
                <c:pt idx="37">
                  <c:v>4620</c:v>
                </c:pt>
                <c:pt idx="38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8-8847-AC64-B446566A2B4E}"/>
            </c:ext>
          </c:extLst>
        </c:ser>
        <c:ser>
          <c:idx val="3"/>
          <c:order val="3"/>
          <c:tx>
            <c:strRef>
              <c:f>'25'!$E$1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'25'!$E$2:$E$40</c:f>
              <c:numCache>
                <c:formatCode>General</c:formatCode>
                <c:ptCount val="39"/>
                <c:pt idx="0">
                  <c:v>854</c:v>
                </c:pt>
                <c:pt idx="1">
                  <c:v>1136</c:v>
                </c:pt>
                <c:pt idx="2">
                  <c:v>1652</c:v>
                </c:pt>
                <c:pt idx="3">
                  <c:v>589</c:v>
                </c:pt>
                <c:pt idx="4">
                  <c:v>766</c:v>
                </c:pt>
                <c:pt idx="5">
                  <c:v>1124</c:v>
                </c:pt>
                <c:pt idx="6">
                  <c:v>1740</c:v>
                </c:pt>
                <c:pt idx="7">
                  <c:v>814</c:v>
                </c:pt>
                <c:pt idx="8">
                  <c:v>325</c:v>
                </c:pt>
                <c:pt idx="9">
                  <c:v>640</c:v>
                </c:pt>
                <c:pt idx="10">
                  <c:v>1491</c:v>
                </c:pt>
                <c:pt idx="11">
                  <c:v>799</c:v>
                </c:pt>
                <c:pt idx="12">
                  <c:v>700</c:v>
                </c:pt>
                <c:pt idx="13">
                  <c:v>1103</c:v>
                </c:pt>
                <c:pt idx="14">
                  <c:v>1278</c:v>
                </c:pt>
                <c:pt idx="15">
                  <c:v>561</c:v>
                </c:pt>
                <c:pt idx="16">
                  <c:v>957</c:v>
                </c:pt>
                <c:pt idx="17">
                  <c:v>1098</c:v>
                </c:pt>
                <c:pt idx="18">
                  <c:v>1649</c:v>
                </c:pt>
                <c:pt idx="19">
                  <c:v>578</c:v>
                </c:pt>
                <c:pt idx="20">
                  <c:v>933</c:v>
                </c:pt>
                <c:pt idx="21">
                  <c:v>1185</c:v>
                </c:pt>
                <c:pt idx="22">
                  <c:v>1917</c:v>
                </c:pt>
                <c:pt idx="23">
                  <c:v>587</c:v>
                </c:pt>
                <c:pt idx="24">
                  <c:v>1306</c:v>
                </c:pt>
                <c:pt idx="25">
                  <c:v>-1594</c:v>
                </c:pt>
                <c:pt idx="26">
                  <c:v>2045</c:v>
                </c:pt>
                <c:pt idx="27">
                  <c:v>794</c:v>
                </c:pt>
                <c:pt idx="28">
                  <c:v>1376</c:v>
                </c:pt>
                <c:pt idx="29">
                  <c:v>63</c:v>
                </c:pt>
                <c:pt idx="30">
                  <c:v>1857</c:v>
                </c:pt>
                <c:pt idx="31">
                  <c:v>617</c:v>
                </c:pt>
                <c:pt idx="32">
                  <c:v>1194</c:v>
                </c:pt>
                <c:pt idx="33">
                  <c:v>1334</c:v>
                </c:pt>
                <c:pt idx="34">
                  <c:v>2117</c:v>
                </c:pt>
                <c:pt idx="35">
                  <c:v>659</c:v>
                </c:pt>
                <c:pt idx="36">
                  <c:v>1224</c:v>
                </c:pt>
                <c:pt idx="37">
                  <c:v>1058</c:v>
                </c:pt>
                <c:pt idx="38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8-8847-AC64-B446566A2B4E}"/>
            </c:ext>
          </c:extLst>
        </c:ser>
        <c:ser>
          <c:idx val="4"/>
          <c:order val="4"/>
          <c:tx>
            <c:strRef>
              <c:f>'25'!$F$1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'25'!$F$2:$F$40</c:f>
              <c:numCache>
                <c:formatCode>General</c:formatCode>
                <c:ptCount val="39"/>
                <c:pt idx="0">
                  <c:v>438</c:v>
                </c:pt>
                <c:pt idx="1">
                  <c:v>620</c:v>
                </c:pt>
                <c:pt idx="2">
                  <c:v>933</c:v>
                </c:pt>
                <c:pt idx="3">
                  <c:v>277</c:v>
                </c:pt>
                <c:pt idx="4">
                  <c:v>384</c:v>
                </c:pt>
                <c:pt idx="5">
                  <c:v>639</c:v>
                </c:pt>
                <c:pt idx="6">
                  <c:v>993</c:v>
                </c:pt>
                <c:pt idx="7">
                  <c:v>399</c:v>
                </c:pt>
                <c:pt idx="8">
                  <c:v>97</c:v>
                </c:pt>
                <c:pt idx="9">
                  <c:v>313</c:v>
                </c:pt>
                <c:pt idx="10">
                  <c:v>869</c:v>
                </c:pt>
                <c:pt idx="11">
                  <c:v>431</c:v>
                </c:pt>
                <c:pt idx="12">
                  <c:v>368</c:v>
                </c:pt>
                <c:pt idx="13">
                  <c:v>628</c:v>
                </c:pt>
                <c:pt idx="14">
                  <c:v>735</c:v>
                </c:pt>
                <c:pt idx="15">
                  <c:v>300</c:v>
                </c:pt>
                <c:pt idx="16">
                  <c:v>525</c:v>
                </c:pt>
                <c:pt idx="17">
                  <c:v>643</c:v>
                </c:pt>
                <c:pt idx="18">
                  <c:v>970</c:v>
                </c:pt>
                <c:pt idx="19">
                  <c:v>297</c:v>
                </c:pt>
                <c:pt idx="20">
                  <c:v>496</c:v>
                </c:pt>
                <c:pt idx="21">
                  <c:v>624</c:v>
                </c:pt>
                <c:pt idx="22">
                  <c:v>1141</c:v>
                </c:pt>
                <c:pt idx="23">
                  <c:v>233</c:v>
                </c:pt>
                <c:pt idx="24">
                  <c:v>669</c:v>
                </c:pt>
                <c:pt idx="25">
                  <c:v>-1370</c:v>
                </c:pt>
                <c:pt idx="26">
                  <c:v>1079</c:v>
                </c:pt>
                <c:pt idx="27">
                  <c:v>501</c:v>
                </c:pt>
                <c:pt idx="28">
                  <c:v>942</c:v>
                </c:pt>
                <c:pt idx="29">
                  <c:v>-150</c:v>
                </c:pt>
                <c:pt idx="30">
                  <c:v>1168</c:v>
                </c:pt>
                <c:pt idx="31">
                  <c:v>282</c:v>
                </c:pt>
                <c:pt idx="32">
                  <c:v>2088</c:v>
                </c:pt>
                <c:pt idx="33">
                  <c:v>902</c:v>
                </c:pt>
                <c:pt idx="34">
                  <c:v>1320</c:v>
                </c:pt>
                <c:pt idx="35">
                  <c:v>445</c:v>
                </c:pt>
                <c:pt idx="36">
                  <c:v>872</c:v>
                </c:pt>
                <c:pt idx="37">
                  <c:v>616</c:v>
                </c:pt>
                <c:pt idx="38">
                  <c:v>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48-8847-AC64-B446566A2B4E}"/>
            </c:ext>
          </c:extLst>
        </c:ser>
        <c:ser>
          <c:idx val="7"/>
          <c:order val="7"/>
          <c:tx>
            <c:strRef>
              <c:f>'25'!$I$1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'25'!$I$2:$I$40</c:f>
              <c:numCache>
                <c:formatCode>General</c:formatCode>
                <c:ptCount val="39"/>
                <c:pt idx="0">
                  <c:v>80.89</c:v>
                </c:pt>
                <c:pt idx="1">
                  <c:v>78.19</c:v>
                </c:pt>
                <c:pt idx="2">
                  <c:v>76.34</c:v>
                </c:pt>
                <c:pt idx="3">
                  <c:v>76.34</c:v>
                </c:pt>
                <c:pt idx="4">
                  <c:v>73.430000000000007</c:v>
                </c:pt>
                <c:pt idx="5">
                  <c:v>76.209999999999994</c:v>
                </c:pt>
                <c:pt idx="6">
                  <c:v>76.92</c:v>
                </c:pt>
                <c:pt idx="7">
                  <c:v>72.75</c:v>
                </c:pt>
                <c:pt idx="8">
                  <c:v>72.75</c:v>
                </c:pt>
                <c:pt idx="9">
                  <c:v>83.76</c:v>
                </c:pt>
                <c:pt idx="10">
                  <c:v>100.38</c:v>
                </c:pt>
                <c:pt idx="11">
                  <c:v>108.42</c:v>
                </c:pt>
                <c:pt idx="12">
                  <c:v>107.62</c:v>
                </c:pt>
                <c:pt idx="13">
                  <c:v>93.55</c:v>
                </c:pt>
                <c:pt idx="14">
                  <c:v>81.569999999999993</c:v>
                </c:pt>
                <c:pt idx="15">
                  <c:v>88.25</c:v>
                </c:pt>
                <c:pt idx="16">
                  <c:v>95.53</c:v>
                </c:pt>
                <c:pt idx="17">
                  <c:v>89.36</c:v>
                </c:pt>
                <c:pt idx="18">
                  <c:v>89.72</c:v>
                </c:pt>
                <c:pt idx="19">
                  <c:v>81.8</c:v>
                </c:pt>
                <c:pt idx="20">
                  <c:v>83.11</c:v>
                </c:pt>
                <c:pt idx="21">
                  <c:v>84.77</c:v>
                </c:pt>
                <c:pt idx="22">
                  <c:v>86.81</c:v>
                </c:pt>
                <c:pt idx="23">
                  <c:v>83.21</c:v>
                </c:pt>
                <c:pt idx="24">
                  <c:v>87.16</c:v>
                </c:pt>
                <c:pt idx="25">
                  <c:v>83.58</c:v>
                </c:pt>
                <c:pt idx="26">
                  <c:v>364.52</c:v>
                </c:pt>
                <c:pt idx="27">
                  <c:v>438.46</c:v>
                </c:pt>
                <c:pt idx="28">
                  <c:v>273.81</c:v>
                </c:pt>
                <c:pt idx="29">
                  <c:v>210.91</c:v>
                </c:pt>
                <c:pt idx="30">
                  <c:v>100</c:v>
                </c:pt>
                <c:pt idx="31">
                  <c:v>98.33</c:v>
                </c:pt>
                <c:pt idx="32">
                  <c:v>109.68</c:v>
                </c:pt>
                <c:pt idx="33">
                  <c:v>74.069999999999993</c:v>
                </c:pt>
                <c:pt idx="34">
                  <c:v>57.08</c:v>
                </c:pt>
                <c:pt idx="35">
                  <c:v>56.09</c:v>
                </c:pt>
                <c:pt idx="36">
                  <c:v>54.67</c:v>
                </c:pt>
                <c:pt idx="37">
                  <c:v>74.7</c:v>
                </c:pt>
                <c:pt idx="38">
                  <c:v>81.97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48-8847-AC64-B446566A2B4E}"/>
            </c:ext>
          </c:extLst>
        </c:ser>
        <c:ser>
          <c:idx val="8"/>
          <c:order val="8"/>
          <c:tx>
            <c:strRef>
              <c:f>'25'!$J$1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'25'!$J$2:$J$40</c:f>
              <c:numCache>
                <c:formatCode>General</c:formatCode>
                <c:ptCount val="39"/>
                <c:pt idx="0">
                  <c:v>998</c:v>
                </c:pt>
                <c:pt idx="1">
                  <c:v>1391</c:v>
                </c:pt>
                <c:pt idx="2">
                  <c:v>2209</c:v>
                </c:pt>
                <c:pt idx="3">
                  <c:v>1305</c:v>
                </c:pt>
                <c:pt idx="4">
                  <c:v>568</c:v>
                </c:pt>
                <c:pt idx="5">
                  <c:v>1189</c:v>
                </c:pt>
                <c:pt idx="6">
                  <c:v>2287</c:v>
                </c:pt>
                <c:pt idx="7">
                  <c:v>854</c:v>
                </c:pt>
                <c:pt idx="8">
                  <c:v>737</c:v>
                </c:pt>
                <c:pt idx="9">
                  <c:v>1210</c:v>
                </c:pt>
                <c:pt idx="10">
                  <c:v>2464</c:v>
                </c:pt>
                <c:pt idx="11">
                  <c:v>1686</c:v>
                </c:pt>
                <c:pt idx="12">
                  <c:v>1103</c:v>
                </c:pt>
                <c:pt idx="13">
                  <c:v>967</c:v>
                </c:pt>
                <c:pt idx="14">
                  <c:v>2617</c:v>
                </c:pt>
                <c:pt idx="15">
                  <c:v>1128</c:v>
                </c:pt>
                <c:pt idx="16">
                  <c:v>913</c:v>
                </c:pt>
                <c:pt idx="17">
                  <c:v>1194</c:v>
                </c:pt>
                <c:pt idx="18">
                  <c:v>2981</c:v>
                </c:pt>
                <c:pt idx="19">
                  <c:v>1186</c:v>
                </c:pt>
                <c:pt idx="20">
                  <c:v>865</c:v>
                </c:pt>
                <c:pt idx="21">
                  <c:v>1250</c:v>
                </c:pt>
                <c:pt idx="22">
                  <c:v>2147</c:v>
                </c:pt>
                <c:pt idx="23">
                  <c:v>632</c:v>
                </c:pt>
                <c:pt idx="24">
                  <c:v>897</c:v>
                </c:pt>
                <c:pt idx="25">
                  <c:v>1845</c:v>
                </c:pt>
                <c:pt idx="26">
                  <c:v>2511</c:v>
                </c:pt>
                <c:pt idx="27">
                  <c:v>1142</c:v>
                </c:pt>
                <c:pt idx="28">
                  <c:v>1509</c:v>
                </c:pt>
                <c:pt idx="29">
                  <c:v>1749</c:v>
                </c:pt>
                <c:pt idx="30">
                  <c:v>2326</c:v>
                </c:pt>
                <c:pt idx="31">
                  <c:v>1361</c:v>
                </c:pt>
                <c:pt idx="32">
                  <c:v>744</c:v>
                </c:pt>
                <c:pt idx="33">
                  <c:v>1769</c:v>
                </c:pt>
                <c:pt idx="34">
                  <c:v>2368</c:v>
                </c:pt>
                <c:pt idx="35">
                  <c:v>900</c:v>
                </c:pt>
                <c:pt idx="36">
                  <c:v>894</c:v>
                </c:pt>
                <c:pt idx="37">
                  <c:v>1953</c:v>
                </c:pt>
                <c:pt idx="38">
                  <c:v>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74016"/>
        <c:axId val="82265216"/>
      </c:lineChart>
      <c:lineChart>
        <c:grouping val="standard"/>
        <c:varyColors val="0"/>
        <c:ser>
          <c:idx val="5"/>
          <c:order val="5"/>
          <c:tx>
            <c:strRef>
              <c:f>'25'!$G$1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'25'!$G$2:$G$40</c:f>
              <c:numCache>
                <c:formatCode>General</c:formatCode>
                <c:ptCount val="39"/>
                <c:pt idx="0">
                  <c:v>21.29</c:v>
                </c:pt>
                <c:pt idx="1">
                  <c:v>25.13</c:v>
                </c:pt>
                <c:pt idx="2">
                  <c:v>30.43</c:v>
                </c:pt>
                <c:pt idx="3">
                  <c:v>15.94</c:v>
                </c:pt>
                <c:pt idx="4">
                  <c:v>21.25</c:v>
                </c:pt>
                <c:pt idx="5">
                  <c:v>26.88</c:v>
                </c:pt>
                <c:pt idx="6">
                  <c:v>34.46</c:v>
                </c:pt>
                <c:pt idx="7">
                  <c:v>21.98</c:v>
                </c:pt>
                <c:pt idx="8">
                  <c:v>8.34</c:v>
                </c:pt>
                <c:pt idx="9">
                  <c:v>15.07</c:v>
                </c:pt>
                <c:pt idx="10">
                  <c:v>29.72</c:v>
                </c:pt>
                <c:pt idx="11">
                  <c:v>20.350000000000001</c:v>
                </c:pt>
                <c:pt idx="12">
                  <c:v>15.07</c:v>
                </c:pt>
                <c:pt idx="13">
                  <c:v>24.69</c:v>
                </c:pt>
                <c:pt idx="14">
                  <c:v>23.94</c:v>
                </c:pt>
                <c:pt idx="15">
                  <c:v>13.97</c:v>
                </c:pt>
                <c:pt idx="16">
                  <c:v>22.88</c:v>
                </c:pt>
                <c:pt idx="17">
                  <c:v>25.32</c:v>
                </c:pt>
                <c:pt idx="18">
                  <c:v>30.53</c:v>
                </c:pt>
                <c:pt idx="19">
                  <c:v>16.2</c:v>
                </c:pt>
                <c:pt idx="20">
                  <c:v>23.53</c:v>
                </c:pt>
                <c:pt idx="21">
                  <c:v>26.58</c:v>
                </c:pt>
                <c:pt idx="22">
                  <c:v>30.6</c:v>
                </c:pt>
                <c:pt idx="23">
                  <c:v>11.33</c:v>
                </c:pt>
                <c:pt idx="24">
                  <c:v>22.63</c:v>
                </c:pt>
                <c:pt idx="25">
                  <c:v>-29.36</c:v>
                </c:pt>
                <c:pt idx="26">
                  <c:v>32.979999999999997</c:v>
                </c:pt>
                <c:pt idx="27">
                  <c:v>14.11</c:v>
                </c:pt>
                <c:pt idx="28">
                  <c:v>21.59</c:v>
                </c:pt>
                <c:pt idx="29">
                  <c:v>1.1200000000000001</c:v>
                </c:pt>
                <c:pt idx="30">
                  <c:v>30.15</c:v>
                </c:pt>
                <c:pt idx="31">
                  <c:v>11.56</c:v>
                </c:pt>
                <c:pt idx="32">
                  <c:v>22.06</c:v>
                </c:pt>
                <c:pt idx="33">
                  <c:v>26.17</c:v>
                </c:pt>
                <c:pt idx="34">
                  <c:v>35.31</c:v>
                </c:pt>
                <c:pt idx="35">
                  <c:v>13.41</c:v>
                </c:pt>
                <c:pt idx="36">
                  <c:v>24.39</c:v>
                </c:pt>
                <c:pt idx="37">
                  <c:v>22.9</c:v>
                </c:pt>
                <c:pt idx="38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48-8847-AC64-B446566A2B4E}"/>
            </c:ext>
          </c:extLst>
        </c:ser>
        <c:ser>
          <c:idx val="6"/>
          <c:order val="6"/>
          <c:tx>
            <c:strRef>
              <c:f>'25'!$H$1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'25'!$A$2:$A$40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'25'!$H$2:$H$40</c:f>
              <c:numCache>
                <c:formatCode>General</c:formatCode>
                <c:ptCount val="39"/>
                <c:pt idx="0">
                  <c:v>10.52</c:v>
                </c:pt>
                <c:pt idx="1">
                  <c:v>13.36</c:v>
                </c:pt>
                <c:pt idx="2">
                  <c:v>16.88</c:v>
                </c:pt>
                <c:pt idx="3">
                  <c:v>7.06</c:v>
                </c:pt>
                <c:pt idx="4">
                  <c:v>10.210000000000001</c:v>
                </c:pt>
                <c:pt idx="5">
                  <c:v>14.9</c:v>
                </c:pt>
                <c:pt idx="6">
                  <c:v>19.329999999999998</c:v>
                </c:pt>
                <c:pt idx="7">
                  <c:v>10.34</c:v>
                </c:pt>
                <c:pt idx="8">
                  <c:v>2.08</c:v>
                </c:pt>
                <c:pt idx="9">
                  <c:v>6.99</c:v>
                </c:pt>
                <c:pt idx="10">
                  <c:v>16.98</c:v>
                </c:pt>
                <c:pt idx="11">
                  <c:v>10.54</c:v>
                </c:pt>
                <c:pt idx="12">
                  <c:v>7.56</c:v>
                </c:pt>
                <c:pt idx="13">
                  <c:v>13.68</c:v>
                </c:pt>
                <c:pt idx="14">
                  <c:v>13.45</c:v>
                </c:pt>
                <c:pt idx="15">
                  <c:v>7.05</c:v>
                </c:pt>
                <c:pt idx="16">
                  <c:v>12.14</c:v>
                </c:pt>
                <c:pt idx="17">
                  <c:v>14.5</c:v>
                </c:pt>
                <c:pt idx="18">
                  <c:v>17.760000000000002</c:v>
                </c:pt>
                <c:pt idx="19">
                  <c:v>7.99</c:v>
                </c:pt>
                <c:pt idx="20">
                  <c:v>12.23</c:v>
                </c:pt>
                <c:pt idx="21">
                  <c:v>13.73</c:v>
                </c:pt>
                <c:pt idx="22">
                  <c:v>18.04</c:v>
                </c:pt>
                <c:pt idx="23">
                  <c:v>4.28</c:v>
                </c:pt>
                <c:pt idx="24">
                  <c:v>11.4</c:v>
                </c:pt>
                <c:pt idx="25">
                  <c:v>-25.43</c:v>
                </c:pt>
                <c:pt idx="26">
                  <c:v>17.239999999999998</c:v>
                </c:pt>
                <c:pt idx="27">
                  <c:v>8.8000000000000007</c:v>
                </c:pt>
                <c:pt idx="28">
                  <c:v>14.72</c:v>
                </c:pt>
                <c:pt idx="29">
                  <c:v>-2.74</c:v>
                </c:pt>
                <c:pt idx="30">
                  <c:v>18.899999999999999</c:v>
                </c:pt>
                <c:pt idx="31">
                  <c:v>5.21</c:v>
                </c:pt>
                <c:pt idx="32">
                  <c:v>38.51</c:v>
                </c:pt>
                <c:pt idx="33">
                  <c:v>17.63</c:v>
                </c:pt>
                <c:pt idx="34">
                  <c:v>21.95</c:v>
                </c:pt>
                <c:pt idx="35">
                  <c:v>8.9700000000000006</c:v>
                </c:pt>
                <c:pt idx="36">
                  <c:v>17.3</c:v>
                </c:pt>
                <c:pt idx="37">
                  <c:v>13.25</c:v>
                </c:pt>
                <c:pt idx="38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48-8847-AC64-B446566A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68544"/>
        <c:axId val="82266752"/>
      </c:lineChart>
      <c:catAx>
        <c:axId val="8237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265216"/>
        <c:crosses val="autoZero"/>
        <c:auto val="1"/>
        <c:lblAlgn val="ctr"/>
        <c:lblOffset val="100"/>
        <c:tickMarkSkip val="1"/>
        <c:noMultiLvlLbl val="0"/>
      </c:catAx>
      <c:valAx>
        <c:axId val="8226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374016"/>
        <c:crosses val="autoZero"/>
        <c:crossBetween val="between"/>
      </c:valAx>
      <c:valAx>
        <c:axId val="82266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268544"/>
        <c:crosses val="max"/>
        <c:crossBetween val="between"/>
      </c:valAx>
      <c:catAx>
        <c:axId val="8226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2667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'25'!$K$2:$K$39</c:f>
              <c:numCache>
                <c:formatCode>General</c:formatCode>
                <c:ptCount val="38"/>
                <c:pt idx="0">
                  <c:v>2.1276595744680753E-2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4.0816326530612283E-2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3.9215686274509838E-2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3.7735849056603807E-2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1.8518518518518535E-2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3.571428571428574E-2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3.4482758620689495E-2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3.2258064516129059E-2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3.1250000000000028E-2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0-F54C-B974-A6735643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408"/>
        <c:axId val="82290944"/>
      </c:lineChart>
      <c:catAx>
        <c:axId val="8228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290944"/>
        <c:crosses val="autoZero"/>
        <c:auto val="1"/>
        <c:lblAlgn val="ctr"/>
        <c:lblOffset val="100"/>
        <c:tickMarkSkip val="1"/>
        <c:noMultiLvlLbl val="0"/>
      </c:catAx>
      <c:valAx>
        <c:axId val="82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8940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'26'!$B$2:$B$40</c:f>
              <c:numCache>
                <c:formatCode>General</c:formatCode>
                <c:ptCount val="39"/>
                <c:pt idx="0">
                  <c:v>33.92</c:v>
                </c:pt>
                <c:pt idx="1">
                  <c:v>38.08</c:v>
                </c:pt>
                <c:pt idx="2">
                  <c:v>40.64</c:v>
                </c:pt>
                <c:pt idx="3">
                  <c:v>39.01</c:v>
                </c:pt>
                <c:pt idx="4">
                  <c:v>46.51</c:v>
                </c:pt>
                <c:pt idx="5">
                  <c:v>44.96</c:v>
                </c:pt>
                <c:pt idx="6">
                  <c:v>45.91</c:v>
                </c:pt>
                <c:pt idx="7">
                  <c:v>48.51</c:v>
                </c:pt>
                <c:pt idx="8">
                  <c:v>59.29</c:v>
                </c:pt>
                <c:pt idx="9">
                  <c:v>67.599999999999994</c:v>
                </c:pt>
                <c:pt idx="10">
                  <c:v>66.2</c:v>
                </c:pt>
                <c:pt idx="11">
                  <c:v>62.6</c:v>
                </c:pt>
                <c:pt idx="12">
                  <c:v>62.92</c:v>
                </c:pt>
                <c:pt idx="13">
                  <c:v>63.74</c:v>
                </c:pt>
                <c:pt idx="14">
                  <c:v>68.27</c:v>
                </c:pt>
                <c:pt idx="15">
                  <c:v>68.16</c:v>
                </c:pt>
                <c:pt idx="16">
                  <c:v>68.599999999999994</c:v>
                </c:pt>
                <c:pt idx="17">
                  <c:v>64</c:v>
                </c:pt>
                <c:pt idx="18">
                  <c:v>57</c:v>
                </c:pt>
                <c:pt idx="19">
                  <c:v>62.13</c:v>
                </c:pt>
                <c:pt idx="20">
                  <c:v>57.09</c:v>
                </c:pt>
                <c:pt idx="21">
                  <c:v>64.06</c:v>
                </c:pt>
                <c:pt idx="22">
                  <c:v>66.569999999999993</c:v>
                </c:pt>
                <c:pt idx="23">
                  <c:v>57.75</c:v>
                </c:pt>
                <c:pt idx="24">
                  <c:v>63.07</c:v>
                </c:pt>
                <c:pt idx="25">
                  <c:v>65.12</c:v>
                </c:pt>
                <c:pt idx="26">
                  <c:v>68.98</c:v>
                </c:pt>
                <c:pt idx="27">
                  <c:v>70.95</c:v>
                </c:pt>
                <c:pt idx="28">
                  <c:v>60.07</c:v>
                </c:pt>
                <c:pt idx="29">
                  <c:v>67.23</c:v>
                </c:pt>
                <c:pt idx="30">
                  <c:v>66.66</c:v>
                </c:pt>
                <c:pt idx="31">
                  <c:v>67.900000000000006</c:v>
                </c:pt>
                <c:pt idx="32">
                  <c:v>73.900000000000006</c:v>
                </c:pt>
                <c:pt idx="33">
                  <c:v>83.26</c:v>
                </c:pt>
                <c:pt idx="34">
                  <c:v>89.85</c:v>
                </c:pt>
                <c:pt idx="35">
                  <c:v>83.24</c:v>
                </c:pt>
                <c:pt idx="36">
                  <c:v>77.819999999999993</c:v>
                </c:pt>
                <c:pt idx="37">
                  <c:v>60.2</c:v>
                </c:pt>
                <c:pt idx="38">
                  <c:v>69.11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9-864D-8723-D408B17F555B}"/>
            </c:ext>
          </c:extLst>
        </c:ser>
        <c:ser>
          <c:idx val="1"/>
          <c:order val="1"/>
          <c:tx>
            <c:strRef>
              <c:f>'26'!$C$1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'26'!$C$2:$C$40</c:f>
              <c:numCache>
                <c:formatCode>General</c:formatCode>
                <c:ptCount val="39"/>
                <c:pt idx="0">
                  <c:v>38</c:v>
                </c:pt>
                <c:pt idx="1">
                  <c:v>41.819000000000003</c:v>
                </c:pt>
                <c:pt idx="2">
                  <c:v>41.04</c:v>
                </c:pt>
                <c:pt idx="3">
                  <c:v>44.708500000000001</c:v>
                </c:pt>
                <c:pt idx="4">
                  <c:v>49.7</c:v>
                </c:pt>
                <c:pt idx="5">
                  <c:v>46.71</c:v>
                </c:pt>
                <c:pt idx="6">
                  <c:v>53.85</c:v>
                </c:pt>
                <c:pt idx="7">
                  <c:v>52.61</c:v>
                </c:pt>
                <c:pt idx="8">
                  <c:v>68.989999999999995</c:v>
                </c:pt>
                <c:pt idx="9">
                  <c:v>70.44</c:v>
                </c:pt>
                <c:pt idx="10">
                  <c:v>67.94</c:v>
                </c:pt>
                <c:pt idx="11">
                  <c:v>63.45</c:v>
                </c:pt>
                <c:pt idx="12">
                  <c:v>64.959999999999994</c:v>
                </c:pt>
                <c:pt idx="13">
                  <c:v>65.849999999999994</c:v>
                </c:pt>
                <c:pt idx="14">
                  <c:v>70.040000000000006</c:v>
                </c:pt>
                <c:pt idx="15">
                  <c:v>72.88</c:v>
                </c:pt>
                <c:pt idx="16">
                  <c:v>71.45</c:v>
                </c:pt>
                <c:pt idx="17">
                  <c:v>64.180000000000007</c:v>
                </c:pt>
                <c:pt idx="18">
                  <c:v>60.11</c:v>
                </c:pt>
                <c:pt idx="19">
                  <c:v>62.73</c:v>
                </c:pt>
                <c:pt idx="20">
                  <c:v>62.27</c:v>
                </c:pt>
                <c:pt idx="21">
                  <c:v>69.44</c:v>
                </c:pt>
                <c:pt idx="22">
                  <c:v>68.25</c:v>
                </c:pt>
                <c:pt idx="23">
                  <c:v>60.97</c:v>
                </c:pt>
                <c:pt idx="24">
                  <c:v>63.07</c:v>
                </c:pt>
                <c:pt idx="25">
                  <c:v>68.95</c:v>
                </c:pt>
                <c:pt idx="26">
                  <c:v>70.379800000000003</c:v>
                </c:pt>
                <c:pt idx="27">
                  <c:v>71.64</c:v>
                </c:pt>
                <c:pt idx="28">
                  <c:v>62.62</c:v>
                </c:pt>
                <c:pt idx="29">
                  <c:v>67.87</c:v>
                </c:pt>
                <c:pt idx="30">
                  <c:v>67.11</c:v>
                </c:pt>
                <c:pt idx="31">
                  <c:v>71.290000000000006</c:v>
                </c:pt>
                <c:pt idx="32">
                  <c:v>79.082499999999996</c:v>
                </c:pt>
                <c:pt idx="33">
                  <c:v>86.41</c:v>
                </c:pt>
                <c:pt idx="34">
                  <c:v>92.06</c:v>
                </c:pt>
                <c:pt idx="35">
                  <c:v>83.43</c:v>
                </c:pt>
                <c:pt idx="36">
                  <c:v>84.669899999999998</c:v>
                </c:pt>
                <c:pt idx="37">
                  <c:v>76.12</c:v>
                </c:pt>
                <c:pt idx="38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9-864D-8723-D408B17F555B}"/>
            </c:ext>
          </c:extLst>
        </c:ser>
        <c:ser>
          <c:idx val="2"/>
          <c:order val="2"/>
          <c:tx>
            <c:strRef>
              <c:f>'26'!$D$1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'26'!$D$2:$D$40</c:f>
              <c:numCache>
                <c:formatCode>General</c:formatCode>
                <c:ptCount val="39"/>
                <c:pt idx="0">
                  <c:v>33.35</c:v>
                </c:pt>
                <c:pt idx="1">
                  <c:v>36.11</c:v>
                </c:pt>
                <c:pt idx="2">
                  <c:v>36.43</c:v>
                </c:pt>
                <c:pt idx="3">
                  <c:v>38.68</c:v>
                </c:pt>
                <c:pt idx="4">
                  <c:v>44.69</c:v>
                </c:pt>
                <c:pt idx="5">
                  <c:v>43.29</c:v>
                </c:pt>
                <c:pt idx="6">
                  <c:v>43.25</c:v>
                </c:pt>
                <c:pt idx="7">
                  <c:v>47.45</c:v>
                </c:pt>
                <c:pt idx="8">
                  <c:v>59.29</c:v>
                </c:pt>
                <c:pt idx="9">
                  <c:v>61.9</c:v>
                </c:pt>
                <c:pt idx="10">
                  <c:v>63.2</c:v>
                </c:pt>
                <c:pt idx="11">
                  <c:v>59.75</c:v>
                </c:pt>
                <c:pt idx="12">
                  <c:v>59.26</c:v>
                </c:pt>
                <c:pt idx="13">
                  <c:v>63.17</c:v>
                </c:pt>
                <c:pt idx="14">
                  <c:v>63.33</c:v>
                </c:pt>
                <c:pt idx="15">
                  <c:v>67.78</c:v>
                </c:pt>
                <c:pt idx="16">
                  <c:v>65.459999999999994</c:v>
                </c:pt>
                <c:pt idx="17">
                  <c:v>58.15</c:v>
                </c:pt>
                <c:pt idx="18">
                  <c:v>56.01</c:v>
                </c:pt>
                <c:pt idx="19">
                  <c:v>58.28</c:v>
                </c:pt>
                <c:pt idx="20">
                  <c:v>56.77</c:v>
                </c:pt>
                <c:pt idx="21">
                  <c:v>63.97</c:v>
                </c:pt>
                <c:pt idx="22">
                  <c:v>63.826999999999998</c:v>
                </c:pt>
                <c:pt idx="23">
                  <c:v>55.97</c:v>
                </c:pt>
                <c:pt idx="24">
                  <c:v>59.41</c:v>
                </c:pt>
                <c:pt idx="25">
                  <c:v>64.88</c:v>
                </c:pt>
                <c:pt idx="26">
                  <c:v>66.84</c:v>
                </c:pt>
                <c:pt idx="27">
                  <c:v>68.239999999999995</c:v>
                </c:pt>
                <c:pt idx="28">
                  <c:v>59.4</c:v>
                </c:pt>
                <c:pt idx="29">
                  <c:v>64.87</c:v>
                </c:pt>
                <c:pt idx="30">
                  <c:v>63.37</c:v>
                </c:pt>
                <c:pt idx="31">
                  <c:v>63.92</c:v>
                </c:pt>
                <c:pt idx="32">
                  <c:v>72.510000000000005</c:v>
                </c:pt>
                <c:pt idx="33">
                  <c:v>80.53</c:v>
                </c:pt>
                <c:pt idx="34">
                  <c:v>86.13</c:v>
                </c:pt>
                <c:pt idx="35">
                  <c:v>76.13</c:v>
                </c:pt>
                <c:pt idx="36">
                  <c:v>38.619999999999997</c:v>
                </c:pt>
                <c:pt idx="37">
                  <c:v>60.2</c:v>
                </c:pt>
                <c:pt idx="38">
                  <c:v>62.25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864D-8723-D408B17F555B}"/>
            </c:ext>
          </c:extLst>
        </c:ser>
        <c:ser>
          <c:idx val="3"/>
          <c:order val="3"/>
          <c:tx>
            <c:strRef>
              <c:f>'26'!$E$1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'26'!$E$2:$E$40</c:f>
              <c:numCache>
                <c:formatCode>General</c:formatCode>
                <c:ptCount val="39"/>
                <c:pt idx="0">
                  <c:v>35.700000000000003</c:v>
                </c:pt>
                <c:pt idx="1">
                  <c:v>40.496000000000002</c:v>
                </c:pt>
                <c:pt idx="2">
                  <c:v>36.43</c:v>
                </c:pt>
                <c:pt idx="3">
                  <c:v>40.94</c:v>
                </c:pt>
                <c:pt idx="4">
                  <c:v>46.516599999999997</c:v>
                </c:pt>
                <c:pt idx="5">
                  <c:v>46.03</c:v>
                </c:pt>
                <c:pt idx="6">
                  <c:v>49</c:v>
                </c:pt>
                <c:pt idx="7">
                  <c:v>52.15</c:v>
                </c:pt>
                <c:pt idx="8">
                  <c:v>67.400000000000006</c:v>
                </c:pt>
                <c:pt idx="9">
                  <c:v>66.17</c:v>
                </c:pt>
                <c:pt idx="10">
                  <c:v>64.7</c:v>
                </c:pt>
                <c:pt idx="11">
                  <c:v>61.35</c:v>
                </c:pt>
                <c:pt idx="12">
                  <c:v>60.07</c:v>
                </c:pt>
                <c:pt idx="13">
                  <c:v>64.400000000000006</c:v>
                </c:pt>
                <c:pt idx="14">
                  <c:v>63.77</c:v>
                </c:pt>
                <c:pt idx="15">
                  <c:v>70.099999999999994</c:v>
                </c:pt>
                <c:pt idx="16">
                  <c:v>68</c:v>
                </c:pt>
                <c:pt idx="17">
                  <c:v>58.94</c:v>
                </c:pt>
                <c:pt idx="18">
                  <c:v>57.81</c:v>
                </c:pt>
                <c:pt idx="19">
                  <c:v>59</c:v>
                </c:pt>
                <c:pt idx="20">
                  <c:v>62.24</c:v>
                </c:pt>
                <c:pt idx="21">
                  <c:v>69.42</c:v>
                </c:pt>
                <c:pt idx="22">
                  <c:v>64.53</c:v>
                </c:pt>
                <c:pt idx="23">
                  <c:v>59.09</c:v>
                </c:pt>
                <c:pt idx="24">
                  <c:v>62.22</c:v>
                </c:pt>
                <c:pt idx="25">
                  <c:v>66.010000000000005</c:v>
                </c:pt>
                <c:pt idx="26">
                  <c:v>67.39</c:v>
                </c:pt>
                <c:pt idx="27">
                  <c:v>68.900000000000006</c:v>
                </c:pt>
                <c:pt idx="28">
                  <c:v>61.99</c:v>
                </c:pt>
                <c:pt idx="29">
                  <c:v>66.349999999999994</c:v>
                </c:pt>
                <c:pt idx="30">
                  <c:v>64.31</c:v>
                </c:pt>
                <c:pt idx="31">
                  <c:v>65.34</c:v>
                </c:pt>
                <c:pt idx="32">
                  <c:v>78.33</c:v>
                </c:pt>
                <c:pt idx="33">
                  <c:v>81.180000000000007</c:v>
                </c:pt>
                <c:pt idx="34">
                  <c:v>89.5</c:v>
                </c:pt>
                <c:pt idx="35">
                  <c:v>80.040000000000006</c:v>
                </c:pt>
                <c:pt idx="36">
                  <c:v>58.08</c:v>
                </c:pt>
                <c:pt idx="37">
                  <c:v>67.650000000000006</c:v>
                </c:pt>
                <c:pt idx="38">
                  <c:v>65.16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9-864D-8723-D408B17F555B}"/>
            </c:ext>
          </c:extLst>
        </c:ser>
        <c:ser>
          <c:idx val="4"/>
          <c:order val="4"/>
          <c:tx>
            <c:strRef>
              <c:f>'26'!$F$1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'26'!$F$2:$F$40</c:f>
              <c:numCache>
                <c:formatCode>General</c:formatCode>
                <c:ptCount val="39"/>
                <c:pt idx="0">
                  <c:v>0.51</c:v>
                </c:pt>
                <c:pt idx="1">
                  <c:v>0.55000000000000004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0.66</c:v>
                </c:pt>
                <c:pt idx="8">
                  <c:v>0.82</c:v>
                </c:pt>
                <c:pt idx="9">
                  <c:v>0.84</c:v>
                </c:pt>
                <c:pt idx="10">
                  <c:v>0.86</c:v>
                </c:pt>
                <c:pt idx="11">
                  <c:v>0.87</c:v>
                </c:pt>
                <c:pt idx="12">
                  <c:v>0.9</c:v>
                </c:pt>
                <c:pt idx="13">
                  <c:v>0.9</c:v>
                </c:pt>
                <c:pt idx="14">
                  <c:v>0.94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0.96</c:v>
                </c:pt>
                <c:pt idx="19">
                  <c:v>0.96</c:v>
                </c:pt>
                <c:pt idx="20">
                  <c:v>0.97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1</c:v>
                </c:pt>
                <c:pt idx="25">
                  <c:v>1</c:v>
                </c:pt>
                <c:pt idx="26">
                  <c:v>1.01</c:v>
                </c:pt>
                <c:pt idx="27">
                  <c:v>1.01</c:v>
                </c:pt>
                <c:pt idx="28">
                  <c:v>1.02</c:v>
                </c:pt>
                <c:pt idx="29">
                  <c:v>1.02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1.03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9-864D-8723-D408B17F555B}"/>
            </c:ext>
          </c:extLst>
        </c:ser>
        <c:ser>
          <c:idx val="5"/>
          <c:order val="5"/>
          <c:tx>
            <c:strRef>
              <c:f>'26'!$G$1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'26'!$G$2:$G$40</c:f>
              <c:numCache>
                <c:formatCode>General</c:formatCode>
                <c:ptCount val="39"/>
                <c:pt idx="0">
                  <c:v>78</c:v>
                </c:pt>
                <c:pt idx="1">
                  <c:v>118</c:v>
                </c:pt>
                <c:pt idx="2">
                  <c:v>78</c:v>
                </c:pt>
                <c:pt idx="3">
                  <c:v>63</c:v>
                </c:pt>
                <c:pt idx="4">
                  <c:v>69</c:v>
                </c:pt>
                <c:pt idx="5">
                  <c:v>68</c:v>
                </c:pt>
                <c:pt idx="6">
                  <c:v>71</c:v>
                </c:pt>
                <c:pt idx="7">
                  <c:v>166</c:v>
                </c:pt>
                <c:pt idx="8">
                  <c:v>113</c:v>
                </c:pt>
                <c:pt idx="9">
                  <c:v>119</c:v>
                </c:pt>
                <c:pt idx="10">
                  <c:v>138</c:v>
                </c:pt>
                <c:pt idx="11">
                  <c:v>122</c:v>
                </c:pt>
                <c:pt idx="12">
                  <c:v>209</c:v>
                </c:pt>
                <c:pt idx="13">
                  <c:v>253</c:v>
                </c:pt>
                <c:pt idx="14">
                  <c:v>196</c:v>
                </c:pt>
                <c:pt idx="15">
                  <c:v>248</c:v>
                </c:pt>
                <c:pt idx="16">
                  <c:v>220</c:v>
                </c:pt>
                <c:pt idx="17">
                  <c:v>238</c:v>
                </c:pt>
                <c:pt idx="18">
                  <c:v>215</c:v>
                </c:pt>
                <c:pt idx="19">
                  <c:v>265</c:v>
                </c:pt>
                <c:pt idx="20">
                  <c:v>270</c:v>
                </c:pt>
                <c:pt idx="21">
                  <c:v>217</c:v>
                </c:pt>
                <c:pt idx="22">
                  <c:v>225</c:v>
                </c:pt>
                <c:pt idx="23">
                  <c:v>229</c:v>
                </c:pt>
                <c:pt idx="24">
                  <c:v>219</c:v>
                </c:pt>
                <c:pt idx="25">
                  <c:v>222</c:v>
                </c:pt>
                <c:pt idx="26">
                  <c:v>211</c:v>
                </c:pt>
                <c:pt idx="27">
                  <c:v>197</c:v>
                </c:pt>
                <c:pt idx="28">
                  <c:v>202</c:v>
                </c:pt>
                <c:pt idx="29">
                  <c:v>201</c:v>
                </c:pt>
                <c:pt idx="30">
                  <c:v>209</c:v>
                </c:pt>
                <c:pt idx="31">
                  <c:v>273</c:v>
                </c:pt>
                <c:pt idx="32">
                  <c:v>298</c:v>
                </c:pt>
                <c:pt idx="33">
                  <c:v>305</c:v>
                </c:pt>
                <c:pt idx="34">
                  <c:v>318</c:v>
                </c:pt>
                <c:pt idx="35">
                  <c:v>311</c:v>
                </c:pt>
                <c:pt idx="36">
                  <c:v>309</c:v>
                </c:pt>
                <c:pt idx="37">
                  <c:v>291</c:v>
                </c:pt>
                <c:pt idx="38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9-864D-8723-D408B17F555B}"/>
            </c:ext>
          </c:extLst>
        </c:ser>
        <c:ser>
          <c:idx val="6"/>
          <c:order val="6"/>
          <c:tx>
            <c:strRef>
              <c:f>'26'!$H$1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'26'!$H$2:$H$40</c:f>
              <c:numCache>
                <c:formatCode>General</c:formatCode>
                <c:ptCount val="39"/>
                <c:pt idx="0">
                  <c:v>27</c:v>
                </c:pt>
                <c:pt idx="1">
                  <c:v>63</c:v>
                </c:pt>
                <c:pt idx="2">
                  <c:v>25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-15</c:v>
                </c:pt>
                <c:pt idx="7">
                  <c:v>54</c:v>
                </c:pt>
                <c:pt idx="8">
                  <c:v>34</c:v>
                </c:pt>
                <c:pt idx="9">
                  <c:v>34</c:v>
                </c:pt>
                <c:pt idx="10">
                  <c:v>47</c:v>
                </c:pt>
                <c:pt idx="11">
                  <c:v>34</c:v>
                </c:pt>
                <c:pt idx="12">
                  <c:v>67</c:v>
                </c:pt>
                <c:pt idx="13">
                  <c:v>95</c:v>
                </c:pt>
                <c:pt idx="14">
                  <c:v>73</c:v>
                </c:pt>
                <c:pt idx="15">
                  <c:v>92</c:v>
                </c:pt>
                <c:pt idx="16">
                  <c:v>88</c:v>
                </c:pt>
                <c:pt idx="17">
                  <c:v>110</c:v>
                </c:pt>
                <c:pt idx="18">
                  <c:v>80</c:v>
                </c:pt>
                <c:pt idx="19">
                  <c:v>101</c:v>
                </c:pt>
                <c:pt idx="20">
                  <c:v>107</c:v>
                </c:pt>
                <c:pt idx="21">
                  <c:v>92</c:v>
                </c:pt>
                <c:pt idx="22">
                  <c:v>103</c:v>
                </c:pt>
                <c:pt idx="23">
                  <c:v>94</c:v>
                </c:pt>
                <c:pt idx="24">
                  <c:v>84</c:v>
                </c:pt>
                <c:pt idx="25">
                  <c:v>102</c:v>
                </c:pt>
                <c:pt idx="26">
                  <c:v>97</c:v>
                </c:pt>
                <c:pt idx="27">
                  <c:v>88</c:v>
                </c:pt>
                <c:pt idx="28">
                  <c:v>86</c:v>
                </c:pt>
                <c:pt idx="29">
                  <c:v>95</c:v>
                </c:pt>
                <c:pt idx="30">
                  <c:v>100</c:v>
                </c:pt>
                <c:pt idx="31">
                  <c:v>125</c:v>
                </c:pt>
                <c:pt idx="32">
                  <c:v>121</c:v>
                </c:pt>
                <c:pt idx="33">
                  <c:v>127</c:v>
                </c:pt>
                <c:pt idx="34">
                  <c:v>145</c:v>
                </c:pt>
                <c:pt idx="35">
                  <c:v>141</c:v>
                </c:pt>
                <c:pt idx="36">
                  <c:v>136</c:v>
                </c:pt>
                <c:pt idx="37">
                  <c:v>133</c:v>
                </c:pt>
                <c:pt idx="38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9-864D-8723-D408B17F555B}"/>
            </c:ext>
          </c:extLst>
        </c:ser>
        <c:ser>
          <c:idx val="7"/>
          <c:order val="7"/>
          <c:tx>
            <c:strRef>
              <c:f>'26'!$I$1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'26'!$I$2:$I$40</c:f>
              <c:numCache>
                <c:formatCode>General</c:formatCode>
                <c:ptCount val="39"/>
                <c:pt idx="0">
                  <c:v>23</c:v>
                </c:pt>
                <c:pt idx="1">
                  <c:v>79</c:v>
                </c:pt>
                <c:pt idx="2">
                  <c:v>25</c:v>
                </c:pt>
                <c:pt idx="3">
                  <c:v>9</c:v>
                </c:pt>
                <c:pt idx="4">
                  <c:v>12</c:v>
                </c:pt>
                <c:pt idx="5">
                  <c:v>32</c:v>
                </c:pt>
                <c:pt idx="6">
                  <c:v>3</c:v>
                </c:pt>
                <c:pt idx="7">
                  <c:v>15</c:v>
                </c:pt>
                <c:pt idx="8">
                  <c:v>14</c:v>
                </c:pt>
                <c:pt idx="9">
                  <c:v>43</c:v>
                </c:pt>
                <c:pt idx="10">
                  <c:v>19</c:v>
                </c:pt>
                <c:pt idx="11">
                  <c:v>23</c:v>
                </c:pt>
                <c:pt idx="12">
                  <c:v>113</c:v>
                </c:pt>
                <c:pt idx="13">
                  <c:v>65</c:v>
                </c:pt>
                <c:pt idx="14">
                  <c:v>27</c:v>
                </c:pt>
                <c:pt idx="15">
                  <c:v>34</c:v>
                </c:pt>
                <c:pt idx="16">
                  <c:v>36</c:v>
                </c:pt>
                <c:pt idx="17">
                  <c:v>63</c:v>
                </c:pt>
                <c:pt idx="18">
                  <c:v>22</c:v>
                </c:pt>
                <c:pt idx="19">
                  <c:v>51</c:v>
                </c:pt>
                <c:pt idx="20">
                  <c:v>57</c:v>
                </c:pt>
                <c:pt idx="21">
                  <c:v>52</c:v>
                </c:pt>
                <c:pt idx="22">
                  <c:v>111</c:v>
                </c:pt>
                <c:pt idx="23">
                  <c:v>48</c:v>
                </c:pt>
                <c:pt idx="24">
                  <c:v>57</c:v>
                </c:pt>
                <c:pt idx="25">
                  <c:v>64</c:v>
                </c:pt>
                <c:pt idx="26">
                  <c:v>80</c:v>
                </c:pt>
                <c:pt idx="27">
                  <c:v>75</c:v>
                </c:pt>
                <c:pt idx="28">
                  <c:v>65</c:v>
                </c:pt>
                <c:pt idx="29">
                  <c:v>76</c:v>
                </c:pt>
                <c:pt idx="30">
                  <c:v>77</c:v>
                </c:pt>
                <c:pt idx="31">
                  <c:v>193</c:v>
                </c:pt>
                <c:pt idx="32">
                  <c:v>68</c:v>
                </c:pt>
                <c:pt idx="33">
                  <c:v>66</c:v>
                </c:pt>
                <c:pt idx="34">
                  <c:v>41</c:v>
                </c:pt>
                <c:pt idx="35">
                  <c:v>129</c:v>
                </c:pt>
                <c:pt idx="36">
                  <c:v>66</c:v>
                </c:pt>
                <c:pt idx="37">
                  <c:v>105</c:v>
                </c:pt>
                <c:pt idx="38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9-864D-8723-D408B17F555B}"/>
            </c:ext>
          </c:extLst>
        </c:ser>
        <c:ser>
          <c:idx val="10"/>
          <c:order val="10"/>
          <c:tx>
            <c:strRef>
              <c:f>'26'!$L$1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'26'!$L$2:$L$40</c:f>
              <c:numCache>
                <c:formatCode>General</c:formatCode>
                <c:ptCount val="39"/>
                <c:pt idx="0">
                  <c:v>100.3</c:v>
                </c:pt>
                <c:pt idx="1">
                  <c:v>61.72</c:v>
                </c:pt>
                <c:pt idx="2">
                  <c:v>59.39</c:v>
                </c:pt>
                <c:pt idx="3">
                  <c:v>59.39</c:v>
                </c:pt>
                <c:pt idx="4">
                  <c:v>62.97</c:v>
                </c:pt>
                <c:pt idx="5">
                  <c:v>68.02</c:v>
                </c:pt>
                <c:pt idx="6">
                  <c:v>108.94</c:v>
                </c:pt>
                <c:pt idx="7">
                  <c:v>150.74</c:v>
                </c:pt>
                <c:pt idx="8">
                  <c:v>150.74</c:v>
                </c:pt>
                <c:pt idx="9">
                  <c:v>194.03</c:v>
                </c:pt>
                <c:pt idx="10">
                  <c:v>245.45</c:v>
                </c:pt>
                <c:pt idx="11">
                  <c:v>256.45</c:v>
                </c:pt>
                <c:pt idx="12">
                  <c:v>280.17</c:v>
                </c:pt>
                <c:pt idx="13">
                  <c:v>161.16</c:v>
                </c:pt>
                <c:pt idx="14">
                  <c:v>182.64</c:v>
                </c:pt>
                <c:pt idx="15">
                  <c:v>188.74</c:v>
                </c:pt>
                <c:pt idx="16">
                  <c:v>178.88</c:v>
                </c:pt>
                <c:pt idx="17">
                  <c:v>311.88</c:v>
                </c:pt>
                <c:pt idx="18">
                  <c:v>260.02999999999997</c:v>
                </c:pt>
                <c:pt idx="19">
                  <c:v>270.32</c:v>
                </c:pt>
                <c:pt idx="20">
                  <c:v>237.65</c:v>
                </c:pt>
                <c:pt idx="21">
                  <c:v>212.07</c:v>
                </c:pt>
                <c:pt idx="22">
                  <c:v>252.76</c:v>
                </c:pt>
                <c:pt idx="23">
                  <c:v>203.14</c:v>
                </c:pt>
                <c:pt idx="24">
                  <c:v>157.80000000000001</c:v>
                </c:pt>
                <c:pt idx="25">
                  <c:v>158.65</c:v>
                </c:pt>
                <c:pt idx="26">
                  <c:v>144.83000000000001</c:v>
                </c:pt>
                <c:pt idx="27">
                  <c:v>146.19999999999999</c:v>
                </c:pt>
                <c:pt idx="28">
                  <c:v>156.63999999999999</c:v>
                </c:pt>
                <c:pt idx="29">
                  <c:v>156.97</c:v>
                </c:pt>
                <c:pt idx="30">
                  <c:v>156.22999999999999</c:v>
                </c:pt>
                <c:pt idx="31">
                  <c:v>148.55000000000001</c:v>
                </c:pt>
                <c:pt idx="32">
                  <c:v>117.19</c:v>
                </c:pt>
                <c:pt idx="33">
                  <c:v>124.45</c:v>
                </c:pt>
                <c:pt idx="34">
                  <c:v>138.29</c:v>
                </c:pt>
                <c:pt idx="35">
                  <c:v>164.62</c:v>
                </c:pt>
                <c:pt idx="36">
                  <c:v>232.58</c:v>
                </c:pt>
                <c:pt idx="37">
                  <c:v>237.03</c:v>
                </c:pt>
                <c:pt idx="38">
                  <c:v>209.9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39-864D-8723-D408B17F555B}"/>
            </c:ext>
          </c:extLst>
        </c:ser>
        <c:ser>
          <c:idx val="11"/>
          <c:order val="11"/>
          <c:tx>
            <c:strRef>
              <c:f>'26'!$M$1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'26'!$M$2:$M$40</c:f>
              <c:numCache>
                <c:formatCode>General</c:formatCode>
                <c:ptCount val="39"/>
                <c:pt idx="0">
                  <c:v>7</c:v>
                </c:pt>
                <c:pt idx="1">
                  <c:v>39</c:v>
                </c:pt>
                <c:pt idx="2">
                  <c:v>17</c:v>
                </c:pt>
                <c:pt idx="3">
                  <c:v>17</c:v>
                </c:pt>
                <c:pt idx="4">
                  <c:v>-4</c:v>
                </c:pt>
                <c:pt idx="5">
                  <c:v>16</c:v>
                </c:pt>
                <c:pt idx="6">
                  <c:v>20</c:v>
                </c:pt>
                <c:pt idx="7">
                  <c:v>49</c:v>
                </c:pt>
                <c:pt idx="8">
                  <c:v>17</c:v>
                </c:pt>
                <c:pt idx="9">
                  <c:v>54</c:v>
                </c:pt>
                <c:pt idx="10">
                  <c:v>75</c:v>
                </c:pt>
                <c:pt idx="11">
                  <c:v>62</c:v>
                </c:pt>
                <c:pt idx="12">
                  <c:v>44</c:v>
                </c:pt>
                <c:pt idx="13">
                  <c:v>125</c:v>
                </c:pt>
                <c:pt idx="14">
                  <c:v>109</c:v>
                </c:pt>
                <c:pt idx="15">
                  <c:v>122</c:v>
                </c:pt>
                <c:pt idx="16">
                  <c:v>67</c:v>
                </c:pt>
                <c:pt idx="17">
                  <c:v>149</c:v>
                </c:pt>
                <c:pt idx="18">
                  <c:v>115</c:v>
                </c:pt>
                <c:pt idx="19">
                  <c:v>146</c:v>
                </c:pt>
                <c:pt idx="20">
                  <c:v>113</c:v>
                </c:pt>
                <c:pt idx="21">
                  <c:v>123</c:v>
                </c:pt>
                <c:pt idx="22">
                  <c:v>125</c:v>
                </c:pt>
                <c:pt idx="23">
                  <c:v>156</c:v>
                </c:pt>
                <c:pt idx="24">
                  <c:v>112</c:v>
                </c:pt>
                <c:pt idx="25">
                  <c:v>135</c:v>
                </c:pt>
                <c:pt idx="26">
                  <c:v>135</c:v>
                </c:pt>
                <c:pt idx="27">
                  <c:v>134</c:v>
                </c:pt>
                <c:pt idx="28">
                  <c:v>103</c:v>
                </c:pt>
                <c:pt idx="29">
                  <c:v>126</c:v>
                </c:pt>
                <c:pt idx="30">
                  <c:v>141</c:v>
                </c:pt>
                <c:pt idx="31">
                  <c:v>139</c:v>
                </c:pt>
                <c:pt idx="32">
                  <c:v>143</c:v>
                </c:pt>
                <c:pt idx="33">
                  <c:v>185</c:v>
                </c:pt>
                <c:pt idx="34">
                  <c:v>249</c:v>
                </c:pt>
                <c:pt idx="35">
                  <c:v>235</c:v>
                </c:pt>
                <c:pt idx="36">
                  <c:v>180</c:v>
                </c:pt>
                <c:pt idx="37">
                  <c:v>160</c:v>
                </c:pt>
                <c:pt idx="3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76896"/>
        <c:axId val="82578432"/>
      </c:lineChart>
      <c:lineChart>
        <c:grouping val="standard"/>
        <c:varyColors val="0"/>
        <c:ser>
          <c:idx val="8"/>
          <c:order val="8"/>
          <c:tx>
            <c:strRef>
              <c:f>'26'!$J$1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'26'!$J$2:$J$40</c:f>
              <c:numCache>
                <c:formatCode>General</c:formatCode>
                <c:ptCount val="39"/>
                <c:pt idx="0">
                  <c:v>35.25</c:v>
                </c:pt>
                <c:pt idx="1">
                  <c:v>53.58</c:v>
                </c:pt>
                <c:pt idx="2">
                  <c:v>31.77</c:v>
                </c:pt>
                <c:pt idx="3">
                  <c:v>15.59</c:v>
                </c:pt>
                <c:pt idx="4">
                  <c:v>16.86</c:v>
                </c:pt>
                <c:pt idx="5">
                  <c:v>12.36</c:v>
                </c:pt>
                <c:pt idx="6">
                  <c:v>-21.49</c:v>
                </c:pt>
                <c:pt idx="7">
                  <c:v>32.53</c:v>
                </c:pt>
                <c:pt idx="8">
                  <c:v>29.71</c:v>
                </c:pt>
                <c:pt idx="9">
                  <c:v>28.64</c:v>
                </c:pt>
                <c:pt idx="10">
                  <c:v>34.03</c:v>
                </c:pt>
                <c:pt idx="11">
                  <c:v>27.62</c:v>
                </c:pt>
                <c:pt idx="12">
                  <c:v>32.049999999999997</c:v>
                </c:pt>
                <c:pt idx="13">
                  <c:v>37.47</c:v>
                </c:pt>
                <c:pt idx="14">
                  <c:v>37.04</c:v>
                </c:pt>
                <c:pt idx="15">
                  <c:v>37.049999999999997</c:v>
                </c:pt>
                <c:pt idx="16">
                  <c:v>40.049999999999997</c:v>
                </c:pt>
                <c:pt idx="17">
                  <c:v>46.28</c:v>
                </c:pt>
                <c:pt idx="18">
                  <c:v>37.17</c:v>
                </c:pt>
                <c:pt idx="19">
                  <c:v>38.25</c:v>
                </c:pt>
                <c:pt idx="20">
                  <c:v>39.700000000000003</c:v>
                </c:pt>
                <c:pt idx="21">
                  <c:v>42.46</c:v>
                </c:pt>
                <c:pt idx="22">
                  <c:v>45.82</c:v>
                </c:pt>
                <c:pt idx="23">
                  <c:v>40.94</c:v>
                </c:pt>
                <c:pt idx="24">
                  <c:v>38.46</c:v>
                </c:pt>
                <c:pt idx="25">
                  <c:v>46.16</c:v>
                </c:pt>
                <c:pt idx="26">
                  <c:v>46</c:v>
                </c:pt>
                <c:pt idx="27">
                  <c:v>44.84</c:v>
                </c:pt>
                <c:pt idx="28">
                  <c:v>42.43</c:v>
                </c:pt>
                <c:pt idx="29">
                  <c:v>47.05</c:v>
                </c:pt>
                <c:pt idx="30">
                  <c:v>47.82</c:v>
                </c:pt>
                <c:pt idx="31">
                  <c:v>45.78</c:v>
                </c:pt>
                <c:pt idx="32">
                  <c:v>40.479999999999997</c:v>
                </c:pt>
                <c:pt idx="33">
                  <c:v>41.52</c:v>
                </c:pt>
                <c:pt idx="34">
                  <c:v>45.74</c:v>
                </c:pt>
                <c:pt idx="35">
                  <c:v>45.42</c:v>
                </c:pt>
                <c:pt idx="36">
                  <c:v>43.89</c:v>
                </c:pt>
                <c:pt idx="37">
                  <c:v>45.86</c:v>
                </c:pt>
                <c:pt idx="38">
                  <c:v>46.16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39-864D-8723-D408B17F555B}"/>
            </c:ext>
          </c:extLst>
        </c:ser>
        <c:ser>
          <c:idx val="9"/>
          <c:order val="9"/>
          <c:tx>
            <c:strRef>
              <c:f>'26'!$K$1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'26'!$A$2:$A$40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'26'!$K$2:$K$40</c:f>
              <c:numCache>
                <c:formatCode>General</c:formatCode>
                <c:ptCount val="39"/>
                <c:pt idx="0">
                  <c:v>30.11</c:v>
                </c:pt>
                <c:pt idx="1">
                  <c:v>66.819999999999993</c:v>
                </c:pt>
                <c:pt idx="2">
                  <c:v>32.159999999999997</c:v>
                </c:pt>
                <c:pt idx="3">
                  <c:v>14.39</c:v>
                </c:pt>
                <c:pt idx="4">
                  <c:v>17.71</c:v>
                </c:pt>
                <c:pt idx="5">
                  <c:v>46.7</c:v>
                </c:pt>
                <c:pt idx="6">
                  <c:v>3.64</c:v>
                </c:pt>
                <c:pt idx="7">
                  <c:v>9.32</c:v>
                </c:pt>
                <c:pt idx="8">
                  <c:v>12.51</c:v>
                </c:pt>
                <c:pt idx="9">
                  <c:v>36.26</c:v>
                </c:pt>
                <c:pt idx="10">
                  <c:v>13.42</c:v>
                </c:pt>
                <c:pt idx="11">
                  <c:v>18.8</c:v>
                </c:pt>
                <c:pt idx="12">
                  <c:v>53.97</c:v>
                </c:pt>
                <c:pt idx="13">
                  <c:v>25.6</c:v>
                </c:pt>
                <c:pt idx="14">
                  <c:v>13.95</c:v>
                </c:pt>
                <c:pt idx="15">
                  <c:v>13.52</c:v>
                </c:pt>
                <c:pt idx="16">
                  <c:v>16.39</c:v>
                </c:pt>
                <c:pt idx="17">
                  <c:v>26.61</c:v>
                </c:pt>
                <c:pt idx="18">
                  <c:v>10.130000000000001</c:v>
                </c:pt>
                <c:pt idx="19">
                  <c:v>19.25</c:v>
                </c:pt>
                <c:pt idx="20">
                  <c:v>21.25</c:v>
                </c:pt>
                <c:pt idx="21">
                  <c:v>23.78</c:v>
                </c:pt>
                <c:pt idx="22">
                  <c:v>49.25</c:v>
                </c:pt>
                <c:pt idx="23">
                  <c:v>20.85</c:v>
                </c:pt>
                <c:pt idx="24">
                  <c:v>26.24</c:v>
                </c:pt>
                <c:pt idx="25">
                  <c:v>29.03</c:v>
                </c:pt>
                <c:pt idx="26">
                  <c:v>38.090000000000003</c:v>
                </c:pt>
                <c:pt idx="27">
                  <c:v>38.18</c:v>
                </c:pt>
                <c:pt idx="28">
                  <c:v>32.340000000000003</c:v>
                </c:pt>
                <c:pt idx="29">
                  <c:v>37.630000000000003</c:v>
                </c:pt>
                <c:pt idx="30">
                  <c:v>36.94</c:v>
                </c:pt>
                <c:pt idx="31">
                  <c:v>70.69</c:v>
                </c:pt>
                <c:pt idx="32">
                  <c:v>22.96</c:v>
                </c:pt>
                <c:pt idx="33">
                  <c:v>21.63</c:v>
                </c:pt>
                <c:pt idx="34">
                  <c:v>13</c:v>
                </c:pt>
                <c:pt idx="35">
                  <c:v>41.54</c:v>
                </c:pt>
                <c:pt idx="36">
                  <c:v>21.39</c:v>
                </c:pt>
                <c:pt idx="37">
                  <c:v>36.24</c:v>
                </c:pt>
                <c:pt idx="3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9-864D-8723-D408B17F5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9952"/>
        <c:axId val="82588416"/>
      </c:lineChart>
      <c:catAx>
        <c:axId val="8257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578432"/>
        <c:crosses val="autoZero"/>
        <c:auto val="1"/>
        <c:lblAlgn val="ctr"/>
        <c:lblOffset val="100"/>
        <c:tickMarkSkip val="1"/>
        <c:noMultiLvlLbl val="0"/>
      </c:catAx>
      <c:valAx>
        <c:axId val="825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76896"/>
        <c:crosses val="autoZero"/>
        <c:crossBetween val="between"/>
      </c:valAx>
      <c:valAx>
        <c:axId val="82588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589952"/>
        <c:crosses val="max"/>
        <c:crossBetween val="between"/>
      </c:valAx>
      <c:catAx>
        <c:axId val="825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8841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'26'!$N$2:$N$39</c:f>
              <c:numCache>
                <c:formatCode>General</c:formatCode>
                <c:ptCount val="38"/>
                <c:pt idx="0">
                  <c:v>7.8431372549019676E-2</c:v>
                </c:pt>
                <c:pt idx="1">
                  <c:v>1.8181818181818195E-2</c:v>
                </c:pt>
                <c:pt idx="2">
                  <c:v>0</c:v>
                </c:pt>
                <c:pt idx="3">
                  <c:v>1.7857142857142672E-2</c:v>
                </c:pt>
                <c:pt idx="4">
                  <c:v>0</c:v>
                </c:pt>
                <c:pt idx="5">
                  <c:v>0.14035087719298259</c:v>
                </c:pt>
                <c:pt idx="6">
                  <c:v>1.5384615384615398E-2</c:v>
                </c:pt>
                <c:pt idx="7">
                  <c:v>0.24242424242424229</c:v>
                </c:pt>
                <c:pt idx="8">
                  <c:v>2.4390243902439046E-2</c:v>
                </c:pt>
                <c:pt idx="9">
                  <c:v>2.3809523809523832E-2</c:v>
                </c:pt>
                <c:pt idx="10">
                  <c:v>1.1627906976744196E-2</c:v>
                </c:pt>
                <c:pt idx="11">
                  <c:v>3.4482758620689689E-2</c:v>
                </c:pt>
                <c:pt idx="12">
                  <c:v>0</c:v>
                </c:pt>
                <c:pt idx="13">
                  <c:v>4.4444444444444363E-2</c:v>
                </c:pt>
                <c:pt idx="14">
                  <c:v>1.0638297872340436E-2</c:v>
                </c:pt>
                <c:pt idx="15">
                  <c:v>0</c:v>
                </c:pt>
                <c:pt idx="16">
                  <c:v>0</c:v>
                </c:pt>
                <c:pt idx="17">
                  <c:v>1.0526315789473694E-2</c:v>
                </c:pt>
                <c:pt idx="18">
                  <c:v>0</c:v>
                </c:pt>
                <c:pt idx="19">
                  <c:v>1.0416666666666676E-2</c:v>
                </c:pt>
                <c:pt idx="20">
                  <c:v>1.0309278350515474E-2</c:v>
                </c:pt>
                <c:pt idx="21">
                  <c:v>1.0204081632653071E-2</c:v>
                </c:pt>
                <c:pt idx="22">
                  <c:v>0</c:v>
                </c:pt>
                <c:pt idx="23">
                  <c:v>1.0101010101010111E-2</c:v>
                </c:pt>
                <c:pt idx="24">
                  <c:v>0</c:v>
                </c:pt>
                <c:pt idx="25">
                  <c:v>1.0000000000000009E-2</c:v>
                </c:pt>
                <c:pt idx="26">
                  <c:v>0</c:v>
                </c:pt>
                <c:pt idx="27">
                  <c:v>9.9009900990099098E-3</c:v>
                </c:pt>
                <c:pt idx="28">
                  <c:v>0</c:v>
                </c:pt>
                <c:pt idx="29">
                  <c:v>9.8039215686274595E-3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9.7087378640776777E-3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D-5945-A116-2009A56E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26432"/>
        <c:axId val="82627968"/>
      </c:lineChart>
      <c:catAx>
        <c:axId val="826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82627968"/>
        <c:crosses val="autoZero"/>
        <c:auto val="1"/>
        <c:lblAlgn val="ctr"/>
        <c:lblOffset val="100"/>
        <c:tickMarkSkip val="1"/>
        <c:noMultiLvlLbl val="0"/>
      </c:catAx>
      <c:valAx>
        <c:axId val="826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26432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'27'!$B$1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'27'!$B$2:$B$40</c:f>
              <c:numCache>
                <c:formatCode>General</c:formatCode>
                <c:ptCount val="39"/>
                <c:pt idx="0">
                  <c:v>30.54</c:v>
                </c:pt>
                <c:pt idx="1">
                  <c:v>24.36</c:v>
                </c:pt>
                <c:pt idx="2">
                  <c:v>26</c:v>
                </c:pt>
                <c:pt idx="3">
                  <c:v>28.34</c:v>
                </c:pt>
                <c:pt idx="4">
                  <c:v>28</c:v>
                </c:pt>
                <c:pt idx="5">
                  <c:v>25.99</c:v>
                </c:pt>
                <c:pt idx="6">
                  <c:v>28.35</c:v>
                </c:pt>
                <c:pt idx="7">
                  <c:v>31.29</c:v>
                </c:pt>
                <c:pt idx="8">
                  <c:v>34.22</c:v>
                </c:pt>
                <c:pt idx="9">
                  <c:v>35.61</c:v>
                </c:pt>
                <c:pt idx="10">
                  <c:v>41.62</c:v>
                </c:pt>
                <c:pt idx="11">
                  <c:v>41.22</c:v>
                </c:pt>
                <c:pt idx="12">
                  <c:v>39.94</c:v>
                </c:pt>
                <c:pt idx="13">
                  <c:v>38.909999999999997</c:v>
                </c:pt>
                <c:pt idx="14">
                  <c:v>38.79</c:v>
                </c:pt>
                <c:pt idx="15">
                  <c:v>41.93</c:v>
                </c:pt>
                <c:pt idx="16">
                  <c:v>38.81</c:v>
                </c:pt>
                <c:pt idx="17">
                  <c:v>35.28</c:v>
                </c:pt>
                <c:pt idx="18">
                  <c:v>36.9</c:v>
                </c:pt>
                <c:pt idx="19">
                  <c:v>29.27</c:v>
                </c:pt>
                <c:pt idx="20">
                  <c:v>32.74</c:v>
                </c:pt>
                <c:pt idx="21">
                  <c:v>33.33</c:v>
                </c:pt>
                <c:pt idx="22">
                  <c:v>38.409999999999997</c:v>
                </c:pt>
                <c:pt idx="23">
                  <c:v>43.3</c:v>
                </c:pt>
                <c:pt idx="24">
                  <c:v>45.75</c:v>
                </c:pt>
                <c:pt idx="25">
                  <c:v>49.29</c:v>
                </c:pt>
                <c:pt idx="26">
                  <c:v>54.36</c:v>
                </c:pt>
                <c:pt idx="27">
                  <c:v>51.04</c:v>
                </c:pt>
                <c:pt idx="28">
                  <c:v>47.14</c:v>
                </c:pt>
                <c:pt idx="29">
                  <c:v>44.85</c:v>
                </c:pt>
                <c:pt idx="30">
                  <c:v>47.25</c:v>
                </c:pt>
                <c:pt idx="31">
                  <c:v>43.53</c:v>
                </c:pt>
                <c:pt idx="32">
                  <c:v>44.82</c:v>
                </c:pt>
                <c:pt idx="33">
                  <c:v>46.91</c:v>
                </c:pt>
                <c:pt idx="34">
                  <c:v>44.83</c:v>
                </c:pt>
                <c:pt idx="35">
                  <c:v>41.59</c:v>
                </c:pt>
                <c:pt idx="36">
                  <c:v>30.3</c:v>
                </c:pt>
                <c:pt idx="37">
                  <c:v>31.86</c:v>
                </c:pt>
                <c:pt idx="38">
                  <c:v>35.130000000000003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7-CE4E-A76E-568B5AE9E152}"/>
            </c:ext>
          </c:extLst>
        </c:ser>
        <c:ser>
          <c:idx val="1"/>
          <c:order val="1"/>
          <c:tx>
            <c:strRef>
              <c:f>'27'!$C$1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'27'!$C$2:$C$40</c:f>
              <c:numCache>
                <c:formatCode>General</c:formatCode>
                <c:ptCount val="39"/>
                <c:pt idx="0">
                  <c:v>30.75</c:v>
                </c:pt>
                <c:pt idx="1">
                  <c:v>24.65</c:v>
                </c:pt>
                <c:pt idx="2">
                  <c:v>27.21</c:v>
                </c:pt>
                <c:pt idx="3">
                  <c:v>29.9</c:v>
                </c:pt>
                <c:pt idx="4">
                  <c:v>28.86</c:v>
                </c:pt>
                <c:pt idx="5">
                  <c:v>28.49</c:v>
                </c:pt>
                <c:pt idx="6">
                  <c:v>28.8</c:v>
                </c:pt>
                <c:pt idx="7">
                  <c:v>32.72</c:v>
                </c:pt>
                <c:pt idx="8">
                  <c:v>34.380000000000003</c:v>
                </c:pt>
                <c:pt idx="9">
                  <c:v>38.450000000000003</c:v>
                </c:pt>
                <c:pt idx="10">
                  <c:v>42.93</c:v>
                </c:pt>
                <c:pt idx="11">
                  <c:v>43.02</c:v>
                </c:pt>
                <c:pt idx="12">
                  <c:v>40.96</c:v>
                </c:pt>
                <c:pt idx="13">
                  <c:v>39.22</c:v>
                </c:pt>
                <c:pt idx="14">
                  <c:v>39.909999999999997</c:v>
                </c:pt>
                <c:pt idx="15">
                  <c:v>42.2</c:v>
                </c:pt>
                <c:pt idx="16">
                  <c:v>39.75</c:v>
                </c:pt>
                <c:pt idx="17">
                  <c:v>36.24</c:v>
                </c:pt>
                <c:pt idx="18">
                  <c:v>37</c:v>
                </c:pt>
                <c:pt idx="19">
                  <c:v>32.61</c:v>
                </c:pt>
                <c:pt idx="20">
                  <c:v>32.94</c:v>
                </c:pt>
                <c:pt idx="21">
                  <c:v>35.119999999999997</c:v>
                </c:pt>
                <c:pt idx="22">
                  <c:v>42.27</c:v>
                </c:pt>
                <c:pt idx="23">
                  <c:v>44.88</c:v>
                </c:pt>
                <c:pt idx="24">
                  <c:v>48.95</c:v>
                </c:pt>
                <c:pt idx="25">
                  <c:v>50.32</c:v>
                </c:pt>
                <c:pt idx="26">
                  <c:v>54.825000000000003</c:v>
                </c:pt>
                <c:pt idx="27">
                  <c:v>53.76</c:v>
                </c:pt>
                <c:pt idx="28">
                  <c:v>48.704999999999998</c:v>
                </c:pt>
                <c:pt idx="29">
                  <c:v>47.84</c:v>
                </c:pt>
                <c:pt idx="30">
                  <c:v>47.52</c:v>
                </c:pt>
                <c:pt idx="31">
                  <c:v>44.46</c:v>
                </c:pt>
                <c:pt idx="32">
                  <c:v>47.91</c:v>
                </c:pt>
                <c:pt idx="33">
                  <c:v>50.47</c:v>
                </c:pt>
                <c:pt idx="34">
                  <c:v>45.55</c:v>
                </c:pt>
                <c:pt idx="35">
                  <c:v>44.771999999999998</c:v>
                </c:pt>
                <c:pt idx="36">
                  <c:v>35.299999999999997</c:v>
                </c:pt>
                <c:pt idx="37">
                  <c:v>33.56</c:v>
                </c:pt>
                <c:pt idx="38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7-CE4E-A76E-568B5AE9E152}"/>
            </c:ext>
          </c:extLst>
        </c:ser>
        <c:ser>
          <c:idx val="2"/>
          <c:order val="2"/>
          <c:tx>
            <c:strRef>
              <c:f>'27'!$D$1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'27'!$D$2:$D$40</c:f>
              <c:numCache>
                <c:formatCode>General</c:formatCode>
                <c:ptCount val="39"/>
                <c:pt idx="0">
                  <c:v>28.41</c:v>
                </c:pt>
                <c:pt idx="1">
                  <c:v>21.62</c:v>
                </c:pt>
                <c:pt idx="2">
                  <c:v>25.45</c:v>
                </c:pt>
                <c:pt idx="3">
                  <c:v>27.93</c:v>
                </c:pt>
                <c:pt idx="4">
                  <c:v>26.75</c:v>
                </c:pt>
                <c:pt idx="5">
                  <c:v>25.95</c:v>
                </c:pt>
                <c:pt idx="6">
                  <c:v>27.54</c:v>
                </c:pt>
                <c:pt idx="7">
                  <c:v>31.1</c:v>
                </c:pt>
                <c:pt idx="8">
                  <c:v>30.18</c:v>
                </c:pt>
                <c:pt idx="9">
                  <c:v>35.130000000000003</c:v>
                </c:pt>
                <c:pt idx="10">
                  <c:v>40.54</c:v>
                </c:pt>
                <c:pt idx="11">
                  <c:v>41</c:v>
                </c:pt>
                <c:pt idx="12">
                  <c:v>39.049999999999997</c:v>
                </c:pt>
                <c:pt idx="13">
                  <c:v>37.51</c:v>
                </c:pt>
                <c:pt idx="14">
                  <c:v>36.82</c:v>
                </c:pt>
                <c:pt idx="15">
                  <c:v>40.08</c:v>
                </c:pt>
                <c:pt idx="16">
                  <c:v>37.869999999999997</c:v>
                </c:pt>
                <c:pt idx="17">
                  <c:v>34.14</c:v>
                </c:pt>
                <c:pt idx="18">
                  <c:v>34.119999999999997</c:v>
                </c:pt>
                <c:pt idx="19">
                  <c:v>29.18</c:v>
                </c:pt>
                <c:pt idx="20">
                  <c:v>29.375</c:v>
                </c:pt>
                <c:pt idx="21">
                  <c:v>32.36</c:v>
                </c:pt>
                <c:pt idx="22">
                  <c:v>37.880000000000003</c:v>
                </c:pt>
                <c:pt idx="23">
                  <c:v>42.34</c:v>
                </c:pt>
                <c:pt idx="24">
                  <c:v>45.545999999999999</c:v>
                </c:pt>
                <c:pt idx="25">
                  <c:v>46.0916</c:v>
                </c:pt>
                <c:pt idx="26">
                  <c:v>51.98</c:v>
                </c:pt>
                <c:pt idx="27">
                  <c:v>48.88</c:v>
                </c:pt>
                <c:pt idx="28">
                  <c:v>45.094999999999999</c:v>
                </c:pt>
                <c:pt idx="29">
                  <c:v>44.57</c:v>
                </c:pt>
                <c:pt idx="30">
                  <c:v>41.49</c:v>
                </c:pt>
                <c:pt idx="31">
                  <c:v>42.28</c:v>
                </c:pt>
                <c:pt idx="32">
                  <c:v>44.787100000000002</c:v>
                </c:pt>
                <c:pt idx="33">
                  <c:v>46.57</c:v>
                </c:pt>
                <c:pt idx="34">
                  <c:v>42.96</c:v>
                </c:pt>
                <c:pt idx="35">
                  <c:v>26.52</c:v>
                </c:pt>
                <c:pt idx="36">
                  <c:v>29.57</c:v>
                </c:pt>
                <c:pt idx="37">
                  <c:v>29.39</c:v>
                </c:pt>
                <c:pt idx="38">
                  <c:v>34.85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7-CE4E-A76E-568B5AE9E152}"/>
            </c:ext>
          </c:extLst>
        </c:ser>
        <c:ser>
          <c:idx val="3"/>
          <c:order val="3"/>
          <c:tx>
            <c:strRef>
              <c:f>'27'!$E$1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'27'!$E$2:$E$40</c:f>
              <c:numCache>
                <c:formatCode>General</c:formatCode>
                <c:ptCount val="39"/>
                <c:pt idx="0">
                  <c:v>29.05</c:v>
                </c:pt>
                <c:pt idx="1">
                  <c:v>22.47</c:v>
                </c:pt>
                <c:pt idx="2">
                  <c:v>26.75</c:v>
                </c:pt>
                <c:pt idx="3">
                  <c:v>29.33</c:v>
                </c:pt>
                <c:pt idx="4">
                  <c:v>27.72</c:v>
                </c:pt>
                <c:pt idx="5">
                  <c:v>26.8</c:v>
                </c:pt>
                <c:pt idx="6">
                  <c:v>28.01</c:v>
                </c:pt>
                <c:pt idx="7">
                  <c:v>32.69</c:v>
                </c:pt>
                <c:pt idx="8">
                  <c:v>32.619999999999997</c:v>
                </c:pt>
                <c:pt idx="9">
                  <c:v>38.18</c:v>
                </c:pt>
                <c:pt idx="10">
                  <c:v>42.89</c:v>
                </c:pt>
                <c:pt idx="11">
                  <c:v>42.72</c:v>
                </c:pt>
                <c:pt idx="12">
                  <c:v>40.42</c:v>
                </c:pt>
                <c:pt idx="13">
                  <c:v>38.03</c:v>
                </c:pt>
                <c:pt idx="14">
                  <c:v>38.71</c:v>
                </c:pt>
                <c:pt idx="15">
                  <c:v>41.43</c:v>
                </c:pt>
                <c:pt idx="16">
                  <c:v>38.21</c:v>
                </c:pt>
                <c:pt idx="17">
                  <c:v>34.93</c:v>
                </c:pt>
                <c:pt idx="18">
                  <c:v>35.15</c:v>
                </c:pt>
                <c:pt idx="19">
                  <c:v>32.18</c:v>
                </c:pt>
                <c:pt idx="20">
                  <c:v>31.42</c:v>
                </c:pt>
                <c:pt idx="21">
                  <c:v>34.409999999999997</c:v>
                </c:pt>
                <c:pt idx="22">
                  <c:v>41.5</c:v>
                </c:pt>
                <c:pt idx="23">
                  <c:v>44.17</c:v>
                </c:pt>
                <c:pt idx="24">
                  <c:v>48.75</c:v>
                </c:pt>
                <c:pt idx="25">
                  <c:v>50.25</c:v>
                </c:pt>
                <c:pt idx="26">
                  <c:v>53.05</c:v>
                </c:pt>
                <c:pt idx="27">
                  <c:v>49.35</c:v>
                </c:pt>
                <c:pt idx="28">
                  <c:v>45.68</c:v>
                </c:pt>
                <c:pt idx="29">
                  <c:v>45.65</c:v>
                </c:pt>
                <c:pt idx="30">
                  <c:v>44.15</c:v>
                </c:pt>
                <c:pt idx="31">
                  <c:v>43.35</c:v>
                </c:pt>
                <c:pt idx="32">
                  <c:v>47.07</c:v>
                </c:pt>
                <c:pt idx="33">
                  <c:v>49.25</c:v>
                </c:pt>
                <c:pt idx="34">
                  <c:v>44.81</c:v>
                </c:pt>
                <c:pt idx="35">
                  <c:v>31.04</c:v>
                </c:pt>
                <c:pt idx="36">
                  <c:v>32.15</c:v>
                </c:pt>
                <c:pt idx="37">
                  <c:v>29.99</c:v>
                </c:pt>
                <c:pt idx="38">
                  <c:v>38.96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7-CE4E-A76E-568B5AE9E152}"/>
            </c:ext>
          </c:extLst>
        </c:ser>
        <c:ser>
          <c:idx val="4"/>
          <c:order val="4"/>
          <c:tx>
            <c:strRef>
              <c:f>'27'!$F$1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'27'!$F$2:$F$40</c:f>
              <c:numCache>
                <c:formatCode>General</c:formatCode>
                <c:ptCount val="3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0.37</c:v>
                </c:pt>
                <c:pt idx="36">
                  <c:v>0.37</c:v>
                </c:pt>
                <c:pt idx="37">
                  <c:v>0.37</c:v>
                </c:pt>
                <c:pt idx="38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7-CE4E-A76E-568B5AE9E152}"/>
            </c:ext>
          </c:extLst>
        </c:ser>
        <c:ser>
          <c:idx val="5"/>
          <c:order val="5"/>
          <c:tx>
            <c:strRef>
              <c:f>'27'!$G$1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'27'!$G$2:$G$40</c:f>
              <c:numCache>
                <c:formatCode>General</c:formatCode>
                <c:ptCount val="39"/>
                <c:pt idx="0">
                  <c:v>2198</c:v>
                </c:pt>
                <c:pt idx="1">
                  <c:v>2175</c:v>
                </c:pt>
                <c:pt idx="2">
                  <c:v>2259</c:v>
                </c:pt>
                <c:pt idx="3">
                  <c:v>2401</c:v>
                </c:pt>
                <c:pt idx="4">
                  <c:v>2246</c:v>
                </c:pt>
                <c:pt idx="5">
                  <c:v>2466</c:v>
                </c:pt>
                <c:pt idx="6">
                  <c:v>2434</c:v>
                </c:pt>
                <c:pt idx="7">
                  <c:v>2503</c:v>
                </c:pt>
                <c:pt idx="8">
                  <c:v>2493</c:v>
                </c:pt>
                <c:pt idx="9">
                  <c:v>2504</c:v>
                </c:pt>
                <c:pt idx="10">
                  <c:v>2613</c:v>
                </c:pt>
                <c:pt idx="11">
                  <c:v>2463</c:v>
                </c:pt>
                <c:pt idx="12">
                  <c:v>2440</c:v>
                </c:pt>
                <c:pt idx="13">
                  <c:v>2411</c:v>
                </c:pt>
                <c:pt idx="14">
                  <c:v>2378</c:v>
                </c:pt>
                <c:pt idx="15">
                  <c:v>2352</c:v>
                </c:pt>
                <c:pt idx="16">
                  <c:v>2327</c:v>
                </c:pt>
                <c:pt idx="17">
                  <c:v>2153</c:v>
                </c:pt>
                <c:pt idx="18">
                  <c:v>2269</c:v>
                </c:pt>
                <c:pt idx="19">
                  <c:v>2195</c:v>
                </c:pt>
                <c:pt idx="20">
                  <c:v>2348</c:v>
                </c:pt>
                <c:pt idx="21">
                  <c:v>2433</c:v>
                </c:pt>
                <c:pt idx="22">
                  <c:v>2390</c:v>
                </c:pt>
                <c:pt idx="23">
                  <c:v>2330</c:v>
                </c:pt>
                <c:pt idx="24">
                  <c:v>2366</c:v>
                </c:pt>
                <c:pt idx="25">
                  <c:v>2398</c:v>
                </c:pt>
                <c:pt idx="26">
                  <c:v>2448</c:v>
                </c:pt>
                <c:pt idx="27">
                  <c:v>2535</c:v>
                </c:pt>
                <c:pt idx="28">
                  <c:v>2574</c:v>
                </c:pt>
                <c:pt idx="29">
                  <c:v>2622</c:v>
                </c:pt>
                <c:pt idx="30">
                  <c:v>2403</c:v>
                </c:pt>
                <c:pt idx="31">
                  <c:v>2695</c:v>
                </c:pt>
                <c:pt idx="32">
                  <c:v>2610</c:v>
                </c:pt>
                <c:pt idx="33">
                  <c:v>2685</c:v>
                </c:pt>
                <c:pt idx="34">
                  <c:v>2777</c:v>
                </c:pt>
                <c:pt idx="35">
                  <c:v>2291</c:v>
                </c:pt>
                <c:pt idx="36">
                  <c:v>2766</c:v>
                </c:pt>
                <c:pt idx="37">
                  <c:v>2820</c:v>
                </c:pt>
                <c:pt idx="38">
                  <c:v>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7-CE4E-A76E-568B5AE9E152}"/>
            </c:ext>
          </c:extLst>
        </c:ser>
        <c:ser>
          <c:idx val="6"/>
          <c:order val="6"/>
          <c:tx>
            <c:strRef>
              <c:f>'27'!$H$1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'27'!$H$2:$H$40</c:f>
              <c:numCache>
                <c:formatCode>General</c:formatCode>
                <c:ptCount val="39"/>
                <c:pt idx="0">
                  <c:v>126</c:v>
                </c:pt>
                <c:pt idx="1">
                  <c:v>75</c:v>
                </c:pt>
                <c:pt idx="2">
                  <c:v>190</c:v>
                </c:pt>
                <c:pt idx="3">
                  <c:v>250</c:v>
                </c:pt>
                <c:pt idx="4">
                  <c:v>166</c:v>
                </c:pt>
                <c:pt idx="5">
                  <c:v>221</c:v>
                </c:pt>
                <c:pt idx="6">
                  <c:v>-9</c:v>
                </c:pt>
                <c:pt idx="7">
                  <c:v>250</c:v>
                </c:pt>
                <c:pt idx="8">
                  <c:v>194</c:v>
                </c:pt>
                <c:pt idx="9">
                  <c:v>272</c:v>
                </c:pt>
                <c:pt idx="10">
                  <c:v>221</c:v>
                </c:pt>
                <c:pt idx="11">
                  <c:v>13</c:v>
                </c:pt>
                <c:pt idx="12">
                  <c:v>267</c:v>
                </c:pt>
                <c:pt idx="13">
                  <c:v>213</c:v>
                </c:pt>
                <c:pt idx="14">
                  <c:v>198</c:v>
                </c:pt>
                <c:pt idx="15">
                  <c:v>233</c:v>
                </c:pt>
                <c:pt idx="16">
                  <c:v>138</c:v>
                </c:pt>
                <c:pt idx="17">
                  <c:v>178</c:v>
                </c:pt>
                <c:pt idx="18">
                  <c:v>-70</c:v>
                </c:pt>
                <c:pt idx="19">
                  <c:v>66</c:v>
                </c:pt>
                <c:pt idx="20">
                  <c:v>209</c:v>
                </c:pt>
                <c:pt idx="21">
                  <c:v>343</c:v>
                </c:pt>
                <c:pt idx="22">
                  <c:v>241</c:v>
                </c:pt>
                <c:pt idx="23">
                  <c:v>260</c:v>
                </c:pt>
                <c:pt idx="24">
                  <c:v>272</c:v>
                </c:pt>
                <c:pt idx="25">
                  <c:v>144</c:v>
                </c:pt>
                <c:pt idx="26">
                  <c:v>223</c:v>
                </c:pt>
                <c:pt idx="27">
                  <c:v>291</c:v>
                </c:pt>
                <c:pt idx="28">
                  <c:v>270</c:v>
                </c:pt>
                <c:pt idx="29">
                  <c:v>336</c:v>
                </c:pt>
                <c:pt idx="30">
                  <c:v>-84</c:v>
                </c:pt>
                <c:pt idx="31">
                  <c:v>342</c:v>
                </c:pt>
                <c:pt idx="32">
                  <c:v>278</c:v>
                </c:pt>
                <c:pt idx="33">
                  <c:v>107</c:v>
                </c:pt>
                <c:pt idx="34">
                  <c:v>273</c:v>
                </c:pt>
                <c:pt idx="35">
                  <c:v>-61</c:v>
                </c:pt>
                <c:pt idx="36">
                  <c:v>151</c:v>
                </c:pt>
                <c:pt idx="37">
                  <c:v>213</c:v>
                </c:pt>
                <c:pt idx="38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B7-CE4E-A76E-568B5AE9E152}"/>
            </c:ext>
          </c:extLst>
        </c:ser>
        <c:ser>
          <c:idx val="8"/>
          <c:order val="8"/>
          <c:tx>
            <c:strRef>
              <c:f>'27'!$J$1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'27'!$J$2:$J$40</c:f>
              <c:numCache>
                <c:formatCode>General</c:formatCode>
                <c:ptCount val="39"/>
                <c:pt idx="0">
                  <c:v>11.05</c:v>
                </c:pt>
                <c:pt idx="1">
                  <c:v>11.58</c:v>
                </c:pt>
                <c:pt idx="2">
                  <c:v>11.58</c:v>
                </c:pt>
                <c:pt idx="3">
                  <c:v>17.54</c:v>
                </c:pt>
                <c:pt idx="4">
                  <c:v>18.829999999999998</c:v>
                </c:pt>
                <c:pt idx="5">
                  <c:v>19.690000000000001</c:v>
                </c:pt>
                <c:pt idx="6">
                  <c:v>25.75</c:v>
                </c:pt>
                <c:pt idx="7">
                  <c:v>25.75</c:v>
                </c:pt>
                <c:pt idx="8">
                  <c:v>27.9</c:v>
                </c:pt>
                <c:pt idx="9">
                  <c:v>28.81</c:v>
                </c:pt>
                <c:pt idx="10">
                  <c:v>28.63</c:v>
                </c:pt>
                <c:pt idx="11">
                  <c:v>23.05</c:v>
                </c:pt>
                <c:pt idx="12">
                  <c:v>25.07</c:v>
                </c:pt>
                <c:pt idx="13">
                  <c:v>24.66</c:v>
                </c:pt>
                <c:pt idx="14">
                  <c:v>27.78</c:v>
                </c:pt>
                <c:pt idx="15">
                  <c:v>30.49</c:v>
                </c:pt>
                <c:pt idx="16">
                  <c:v>30.03</c:v>
                </c:pt>
                <c:pt idx="17">
                  <c:v>34.840000000000003</c:v>
                </c:pt>
                <c:pt idx="18">
                  <c:v>36.229999999999997</c:v>
                </c:pt>
                <c:pt idx="19">
                  <c:v>56.5</c:v>
                </c:pt>
                <c:pt idx="20">
                  <c:v>86.96</c:v>
                </c:pt>
                <c:pt idx="21">
                  <c:v>70.42</c:v>
                </c:pt>
                <c:pt idx="22">
                  <c:v>49.5</c:v>
                </c:pt>
                <c:pt idx="23">
                  <c:v>31.55</c:v>
                </c:pt>
                <c:pt idx="24">
                  <c:v>25.71</c:v>
                </c:pt>
                <c:pt idx="25">
                  <c:v>24.33</c:v>
                </c:pt>
                <c:pt idx="26">
                  <c:v>31.16</c:v>
                </c:pt>
                <c:pt idx="27">
                  <c:v>33.33</c:v>
                </c:pt>
                <c:pt idx="28">
                  <c:v>33.72</c:v>
                </c:pt>
                <c:pt idx="29">
                  <c:v>35.29</c:v>
                </c:pt>
                <c:pt idx="30">
                  <c:v>30.41</c:v>
                </c:pt>
                <c:pt idx="31">
                  <c:v>43.62</c:v>
                </c:pt>
                <c:pt idx="32">
                  <c:v>42.72</c:v>
                </c:pt>
                <c:pt idx="33">
                  <c:v>43.75</c:v>
                </c:pt>
                <c:pt idx="34">
                  <c:v>59.32</c:v>
                </c:pt>
                <c:pt idx="35">
                  <c:v>38.15</c:v>
                </c:pt>
                <c:pt idx="36">
                  <c:v>64.84</c:v>
                </c:pt>
                <c:pt idx="37">
                  <c:v>83.72</c:v>
                </c:pt>
                <c:pt idx="38">
                  <c:v>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B7-CE4E-A76E-568B5AE9E152}"/>
            </c:ext>
          </c:extLst>
        </c:ser>
        <c:ser>
          <c:idx val="9"/>
          <c:order val="9"/>
          <c:tx>
            <c:strRef>
              <c:f>'27'!$K$1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'27'!$K$2:$K$40</c:f>
              <c:numCache>
                <c:formatCode>General</c:formatCode>
                <c:ptCount val="39"/>
                <c:pt idx="0">
                  <c:v>300</c:v>
                </c:pt>
                <c:pt idx="1">
                  <c:v>401</c:v>
                </c:pt>
                <c:pt idx="2">
                  <c:v>889</c:v>
                </c:pt>
                <c:pt idx="3">
                  <c:v>312</c:v>
                </c:pt>
                <c:pt idx="4">
                  <c:v>306</c:v>
                </c:pt>
                <c:pt idx="5">
                  <c:v>375</c:v>
                </c:pt>
                <c:pt idx="6">
                  <c:v>257</c:v>
                </c:pt>
                <c:pt idx="7">
                  <c:v>191</c:v>
                </c:pt>
                <c:pt idx="8">
                  <c:v>378</c:v>
                </c:pt>
                <c:pt idx="9">
                  <c:v>352</c:v>
                </c:pt>
                <c:pt idx="10">
                  <c:v>283</c:v>
                </c:pt>
                <c:pt idx="11">
                  <c:v>168</c:v>
                </c:pt>
                <c:pt idx="12">
                  <c:v>419</c:v>
                </c:pt>
                <c:pt idx="13">
                  <c:v>460</c:v>
                </c:pt>
                <c:pt idx="14">
                  <c:v>393</c:v>
                </c:pt>
                <c:pt idx="15">
                  <c:v>94</c:v>
                </c:pt>
                <c:pt idx="16">
                  <c:v>446</c:v>
                </c:pt>
                <c:pt idx="17">
                  <c:v>505</c:v>
                </c:pt>
                <c:pt idx="18">
                  <c:v>342</c:v>
                </c:pt>
                <c:pt idx="19">
                  <c:v>334</c:v>
                </c:pt>
                <c:pt idx="20">
                  <c:v>279</c:v>
                </c:pt>
                <c:pt idx="21">
                  <c:v>507</c:v>
                </c:pt>
                <c:pt idx="22">
                  <c:v>296</c:v>
                </c:pt>
                <c:pt idx="23">
                  <c:v>282</c:v>
                </c:pt>
                <c:pt idx="24">
                  <c:v>233</c:v>
                </c:pt>
                <c:pt idx="25">
                  <c:v>379</c:v>
                </c:pt>
                <c:pt idx="26">
                  <c:v>360</c:v>
                </c:pt>
                <c:pt idx="27">
                  <c:v>218</c:v>
                </c:pt>
                <c:pt idx="28">
                  <c:v>136</c:v>
                </c:pt>
                <c:pt idx="29">
                  <c:v>514</c:v>
                </c:pt>
                <c:pt idx="30">
                  <c:v>359</c:v>
                </c:pt>
                <c:pt idx="31">
                  <c:v>287</c:v>
                </c:pt>
                <c:pt idx="32">
                  <c:v>227</c:v>
                </c:pt>
                <c:pt idx="33">
                  <c:v>466</c:v>
                </c:pt>
                <c:pt idx="34">
                  <c:v>160</c:v>
                </c:pt>
                <c:pt idx="35">
                  <c:v>212</c:v>
                </c:pt>
                <c:pt idx="36">
                  <c:v>438</c:v>
                </c:pt>
                <c:pt idx="37">
                  <c:v>758</c:v>
                </c:pt>
                <c:pt idx="3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8272"/>
        <c:axId val="82850176"/>
      </c:lineChart>
      <c:lineChart>
        <c:grouping val="standard"/>
        <c:varyColors val="0"/>
        <c:ser>
          <c:idx val="7"/>
          <c:order val="7"/>
          <c:tx>
            <c:strRef>
              <c:f>'27'!$I$1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'27'!$A$2:$A$40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'27'!$I$2:$I$40</c:f>
              <c:numCache>
                <c:formatCode>General</c:formatCode>
                <c:ptCount val="39"/>
                <c:pt idx="0">
                  <c:v>5.73</c:v>
                </c:pt>
                <c:pt idx="1">
                  <c:v>3.45</c:v>
                </c:pt>
                <c:pt idx="2">
                  <c:v>8.41</c:v>
                </c:pt>
                <c:pt idx="3">
                  <c:v>10.41</c:v>
                </c:pt>
                <c:pt idx="4">
                  <c:v>7.39</c:v>
                </c:pt>
                <c:pt idx="5">
                  <c:v>8.9600000000000009</c:v>
                </c:pt>
                <c:pt idx="6">
                  <c:v>-0.37</c:v>
                </c:pt>
                <c:pt idx="7">
                  <c:v>9.99</c:v>
                </c:pt>
                <c:pt idx="8">
                  <c:v>7.78</c:v>
                </c:pt>
                <c:pt idx="9">
                  <c:v>10.86</c:v>
                </c:pt>
                <c:pt idx="10">
                  <c:v>8.4600000000000009</c:v>
                </c:pt>
                <c:pt idx="11">
                  <c:v>0.53</c:v>
                </c:pt>
                <c:pt idx="12">
                  <c:v>10.94</c:v>
                </c:pt>
                <c:pt idx="13">
                  <c:v>8.83</c:v>
                </c:pt>
                <c:pt idx="14">
                  <c:v>8.33</c:v>
                </c:pt>
                <c:pt idx="15">
                  <c:v>9.91</c:v>
                </c:pt>
                <c:pt idx="16">
                  <c:v>5.93</c:v>
                </c:pt>
                <c:pt idx="17">
                  <c:v>8.27</c:v>
                </c:pt>
                <c:pt idx="18">
                  <c:v>-3.09</c:v>
                </c:pt>
                <c:pt idx="19">
                  <c:v>3.01</c:v>
                </c:pt>
                <c:pt idx="20">
                  <c:v>8.9</c:v>
                </c:pt>
                <c:pt idx="21">
                  <c:v>14.1</c:v>
                </c:pt>
                <c:pt idx="22">
                  <c:v>10.08</c:v>
                </c:pt>
                <c:pt idx="23">
                  <c:v>11.16</c:v>
                </c:pt>
                <c:pt idx="24">
                  <c:v>11.5</c:v>
                </c:pt>
                <c:pt idx="25">
                  <c:v>6.01</c:v>
                </c:pt>
                <c:pt idx="26">
                  <c:v>9.11</c:v>
                </c:pt>
                <c:pt idx="27">
                  <c:v>11.48</c:v>
                </c:pt>
                <c:pt idx="28">
                  <c:v>10.49</c:v>
                </c:pt>
                <c:pt idx="29">
                  <c:v>12.81</c:v>
                </c:pt>
                <c:pt idx="30">
                  <c:v>-3.5</c:v>
                </c:pt>
                <c:pt idx="31">
                  <c:v>12.69</c:v>
                </c:pt>
                <c:pt idx="32">
                  <c:v>10.65</c:v>
                </c:pt>
                <c:pt idx="33">
                  <c:v>3.99</c:v>
                </c:pt>
                <c:pt idx="34">
                  <c:v>9.83</c:v>
                </c:pt>
                <c:pt idx="35">
                  <c:v>-2.66</c:v>
                </c:pt>
                <c:pt idx="36">
                  <c:v>5.46</c:v>
                </c:pt>
                <c:pt idx="37">
                  <c:v>7.55</c:v>
                </c:pt>
                <c:pt idx="3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B7-CE4E-A76E-568B5AE9E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3248"/>
        <c:axId val="82851712"/>
      </c:lineChart>
      <c:catAx>
        <c:axId val="82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850176"/>
        <c:crosses val="autoZero"/>
        <c:auto val="1"/>
        <c:lblAlgn val="ctr"/>
        <c:lblOffset val="100"/>
        <c:tickMarkSkip val="1"/>
        <c:noMultiLvlLbl val="0"/>
      </c:catAx>
      <c:valAx>
        <c:axId val="8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58272"/>
        <c:crosses val="autoZero"/>
        <c:crossBetween val="between"/>
      </c:valAx>
      <c:valAx>
        <c:axId val="82851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853248"/>
        <c:crosses val="max"/>
        <c:crossBetween val="between"/>
      </c:valAx>
      <c:catAx>
        <c:axId val="82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8517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'27'!$L$2:$L$40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0.49999999999999989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0.33333333333333348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0.24999999999999994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0.19999999999999996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0.16666666666666663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5.7142857142857197E-2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5247-A726-D737A6D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69248"/>
        <c:axId val="82875136"/>
      </c:barChart>
      <c:catAx>
        <c:axId val="828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82875136"/>
        <c:crosses val="autoZero"/>
        <c:auto val="1"/>
        <c:lblAlgn val="ctr"/>
        <c:lblOffset val="100"/>
        <c:tickMarkSkip val="1"/>
        <c:noMultiLvlLbl val="0"/>
      </c:catAx>
      <c:valAx>
        <c:axId val="828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86924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'28'!$B$2:$B$40</c:f>
              <c:numCache>
                <c:formatCode>General</c:formatCode>
                <c:ptCount val="39"/>
                <c:pt idx="0">
                  <c:v>26.18</c:v>
                </c:pt>
                <c:pt idx="1">
                  <c:v>23.57</c:v>
                </c:pt>
                <c:pt idx="2">
                  <c:v>22.01</c:v>
                </c:pt>
                <c:pt idx="3">
                  <c:v>23.09</c:v>
                </c:pt>
                <c:pt idx="4">
                  <c:v>19.5</c:v>
                </c:pt>
                <c:pt idx="5">
                  <c:v>19.510000000000002</c:v>
                </c:pt>
                <c:pt idx="6">
                  <c:v>20.51</c:v>
                </c:pt>
                <c:pt idx="7">
                  <c:v>24.32</c:v>
                </c:pt>
                <c:pt idx="8">
                  <c:v>28.49</c:v>
                </c:pt>
                <c:pt idx="9">
                  <c:v>29.97</c:v>
                </c:pt>
                <c:pt idx="10">
                  <c:v>33.56</c:v>
                </c:pt>
                <c:pt idx="11">
                  <c:v>34.25</c:v>
                </c:pt>
                <c:pt idx="12">
                  <c:v>34.049999999999997</c:v>
                </c:pt>
                <c:pt idx="13">
                  <c:v>36.380000000000003</c:v>
                </c:pt>
                <c:pt idx="14">
                  <c:v>33.020000000000003</c:v>
                </c:pt>
                <c:pt idx="15">
                  <c:v>33.61</c:v>
                </c:pt>
                <c:pt idx="16">
                  <c:v>35.07</c:v>
                </c:pt>
                <c:pt idx="17">
                  <c:v>32.31</c:v>
                </c:pt>
                <c:pt idx="18">
                  <c:v>36.9</c:v>
                </c:pt>
                <c:pt idx="19">
                  <c:v>28.77</c:v>
                </c:pt>
                <c:pt idx="20">
                  <c:v>36.47</c:v>
                </c:pt>
                <c:pt idx="21">
                  <c:v>35.700000000000003</c:v>
                </c:pt>
                <c:pt idx="22">
                  <c:v>42.6</c:v>
                </c:pt>
                <c:pt idx="23">
                  <c:v>49.91</c:v>
                </c:pt>
                <c:pt idx="24">
                  <c:v>45.27</c:v>
                </c:pt>
                <c:pt idx="25">
                  <c:v>48.34</c:v>
                </c:pt>
                <c:pt idx="26">
                  <c:v>56.72</c:v>
                </c:pt>
                <c:pt idx="27">
                  <c:v>50.9</c:v>
                </c:pt>
                <c:pt idx="28">
                  <c:v>39.25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37.78</c:v>
                </c:pt>
                <c:pt idx="32">
                  <c:v>31.46</c:v>
                </c:pt>
                <c:pt idx="33">
                  <c:v>25.12</c:v>
                </c:pt>
                <c:pt idx="34">
                  <c:v>30.87</c:v>
                </c:pt>
                <c:pt idx="35">
                  <c:v>23.51</c:v>
                </c:pt>
                <c:pt idx="36">
                  <c:v>15.12</c:v>
                </c:pt>
                <c:pt idx="37">
                  <c:v>18.3</c:v>
                </c:pt>
                <c:pt idx="38">
                  <c:v>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A-A345-9B75-99AF63D0ECBD}"/>
            </c:ext>
          </c:extLst>
        </c:ser>
        <c:ser>
          <c:idx val="1"/>
          <c:order val="1"/>
          <c:tx>
            <c:strRef>
              <c:f>'28'!$C$1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'28'!$C$2:$C$40</c:f>
              <c:numCache>
                <c:formatCode>General</c:formatCode>
                <c:ptCount val="39"/>
                <c:pt idx="0">
                  <c:v>26.22</c:v>
                </c:pt>
                <c:pt idx="1">
                  <c:v>23.74</c:v>
                </c:pt>
                <c:pt idx="2">
                  <c:v>22.610800000000001</c:v>
                </c:pt>
                <c:pt idx="3">
                  <c:v>24.81</c:v>
                </c:pt>
                <c:pt idx="4">
                  <c:v>20.28</c:v>
                </c:pt>
                <c:pt idx="5">
                  <c:v>20.92</c:v>
                </c:pt>
                <c:pt idx="6">
                  <c:v>21.35</c:v>
                </c:pt>
                <c:pt idx="7">
                  <c:v>28.34</c:v>
                </c:pt>
                <c:pt idx="8">
                  <c:v>29.92</c:v>
                </c:pt>
                <c:pt idx="9">
                  <c:v>31.74</c:v>
                </c:pt>
                <c:pt idx="10">
                  <c:v>35.4</c:v>
                </c:pt>
                <c:pt idx="11">
                  <c:v>36.299999999999997</c:v>
                </c:pt>
                <c:pt idx="12">
                  <c:v>35.78</c:v>
                </c:pt>
                <c:pt idx="13">
                  <c:v>37.15</c:v>
                </c:pt>
                <c:pt idx="14">
                  <c:v>35.770000000000003</c:v>
                </c:pt>
                <c:pt idx="15">
                  <c:v>34.659999999999997</c:v>
                </c:pt>
                <c:pt idx="16">
                  <c:v>37.17</c:v>
                </c:pt>
                <c:pt idx="17">
                  <c:v>33.729999999999997</c:v>
                </c:pt>
                <c:pt idx="18">
                  <c:v>37.26</c:v>
                </c:pt>
                <c:pt idx="19">
                  <c:v>32.659999999999997</c:v>
                </c:pt>
                <c:pt idx="20">
                  <c:v>36.869999999999997</c:v>
                </c:pt>
                <c:pt idx="21">
                  <c:v>35.935000000000002</c:v>
                </c:pt>
                <c:pt idx="22">
                  <c:v>45.01</c:v>
                </c:pt>
                <c:pt idx="23">
                  <c:v>50.27</c:v>
                </c:pt>
                <c:pt idx="24">
                  <c:v>47.96</c:v>
                </c:pt>
                <c:pt idx="25">
                  <c:v>51.5</c:v>
                </c:pt>
                <c:pt idx="26">
                  <c:v>57.55</c:v>
                </c:pt>
                <c:pt idx="27">
                  <c:v>51.33</c:v>
                </c:pt>
                <c:pt idx="28">
                  <c:v>39.799999999999997</c:v>
                </c:pt>
                <c:pt idx="29">
                  <c:v>40.76</c:v>
                </c:pt>
                <c:pt idx="30">
                  <c:v>36.840000000000003</c:v>
                </c:pt>
                <c:pt idx="31">
                  <c:v>38.29</c:v>
                </c:pt>
                <c:pt idx="32">
                  <c:v>34.07</c:v>
                </c:pt>
                <c:pt idx="33">
                  <c:v>30.21</c:v>
                </c:pt>
                <c:pt idx="34">
                  <c:v>31.315000000000001</c:v>
                </c:pt>
                <c:pt idx="35">
                  <c:v>25.6</c:v>
                </c:pt>
                <c:pt idx="36">
                  <c:v>20.25</c:v>
                </c:pt>
                <c:pt idx="37">
                  <c:v>19.989999999999998</c:v>
                </c:pt>
                <c:pt idx="38">
                  <c:v>24.33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A-A345-9B75-99AF63D0ECBD}"/>
            </c:ext>
          </c:extLst>
        </c:ser>
        <c:ser>
          <c:idx val="2"/>
          <c:order val="2"/>
          <c:tx>
            <c:strRef>
              <c:f>'28'!$D$1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'28'!$D$2:$D$40</c:f>
              <c:numCache>
                <c:formatCode>General</c:formatCode>
                <c:ptCount val="39"/>
                <c:pt idx="0">
                  <c:v>24.29</c:v>
                </c:pt>
                <c:pt idx="1">
                  <c:v>20.239999999999998</c:v>
                </c:pt>
                <c:pt idx="2">
                  <c:v>19.88</c:v>
                </c:pt>
                <c:pt idx="3">
                  <c:v>22.975000000000001</c:v>
                </c:pt>
                <c:pt idx="4">
                  <c:v>18.37</c:v>
                </c:pt>
                <c:pt idx="5">
                  <c:v>18.97</c:v>
                </c:pt>
                <c:pt idx="6">
                  <c:v>20.350000000000001</c:v>
                </c:pt>
                <c:pt idx="7">
                  <c:v>24</c:v>
                </c:pt>
                <c:pt idx="8">
                  <c:v>27.31</c:v>
                </c:pt>
                <c:pt idx="9">
                  <c:v>29.5</c:v>
                </c:pt>
                <c:pt idx="10">
                  <c:v>33.14</c:v>
                </c:pt>
                <c:pt idx="11">
                  <c:v>34.18</c:v>
                </c:pt>
                <c:pt idx="12">
                  <c:v>33.799999999999997</c:v>
                </c:pt>
                <c:pt idx="13">
                  <c:v>34.28</c:v>
                </c:pt>
                <c:pt idx="14">
                  <c:v>31.57</c:v>
                </c:pt>
                <c:pt idx="15">
                  <c:v>32.71</c:v>
                </c:pt>
                <c:pt idx="16">
                  <c:v>34.83</c:v>
                </c:pt>
                <c:pt idx="17">
                  <c:v>30.91</c:v>
                </c:pt>
                <c:pt idx="18">
                  <c:v>31.91</c:v>
                </c:pt>
                <c:pt idx="19">
                  <c:v>28.72</c:v>
                </c:pt>
                <c:pt idx="20">
                  <c:v>29.92</c:v>
                </c:pt>
                <c:pt idx="21">
                  <c:v>33.979999999999997</c:v>
                </c:pt>
                <c:pt idx="22">
                  <c:v>42.47</c:v>
                </c:pt>
                <c:pt idx="23">
                  <c:v>44.5075</c:v>
                </c:pt>
                <c:pt idx="24">
                  <c:v>43.55</c:v>
                </c:pt>
                <c:pt idx="25">
                  <c:v>46.08</c:v>
                </c:pt>
                <c:pt idx="26">
                  <c:v>53.84</c:v>
                </c:pt>
                <c:pt idx="27">
                  <c:v>46.7</c:v>
                </c:pt>
                <c:pt idx="28">
                  <c:v>36.152500000000003</c:v>
                </c:pt>
                <c:pt idx="29">
                  <c:v>35</c:v>
                </c:pt>
                <c:pt idx="30">
                  <c:v>26.765000000000001</c:v>
                </c:pt>
                <c:pt idx="31">
                  <c:v>33.06</c:v>
                </c:pt>
                <c:pt idx="32">
                  <c:v>31.425000000000001</c:v>
                </c:pt>
                <c:pt idx="33">
                  <c:v>24.71</c:v>
                </c:pt>
                <c:pt idx="34">
                  <c:v>28.7</c:v>
                </c:pt>
                <c:pt idx="35">
                  <c:v>9.58</c:v>
                </c:pt>
                <c:pt idx="36">
                  <c:v>14.96</c:v>
                </c:pt>
                <c:pt idx="37">
                  <c:v>15.79</c:v>
                </c:pt>
                <c:pt idx="38">
                  <c:v>20.78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A-A345-9B75-99AF63D0ECBD}"/>
            </c:ext>
          </c:extLst>
        </c:ser>
        <c:ser>
          <c:idx val="3"/>
          <c:order val="3"/>
          <c:tx>
            <c:strRef>
              <c:f>'28'!$E$1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'28'!$E$2:$E$40</c:f>
              <c:numCache>
                <c:formatCode>General</c:formatCode>
                <c:ptCount val="39"/>
                <c:pt idx="0">
                  <c:v>25.48</c:v>
                </c:pt>
                <c:pt idx="1">
                  <c:v>20.96</c:v>
                </c:pt>
                <c:pt idx="2">
                  <c:v>21.07</c:v>
                </c:pt>
                <c:pt idx="3">
                  <c:v>24.48</c:v>
                </c:pt>
                <c:pt idx="4">
                  <c:v>19.13</c:v>
                </c:pt>
                <c:pt idx="5">
                  <c:v>19.22</c:v>
                </c:pt>
                <c:pt idx="6">
                  <c:v>20.82</c:v>
                </c:pt>
                <c:pt idx="7">
                  <c:v>28.25</c:v>
                </c:pt>
                <c:pt idx="8">
                  <c:v>29.37</c:v>
                </c:pt>
                <c:pt idx="9">
                  <c:v>30.44</c:v>
                </c:pt>
                <c:pt idx="10">
                  <c:v>35.08</c:v>
                </c:pt>
                <c:pt idx="11">
                  <c:v>35.31</c:v>
                </c:pt>
                <c:pt idx="12">
                  <c:v>34.76</c:v>
                </c:pt>
                <c:pt idx="13">
                  <c:v>34.380000000000003</c:v>
                </c:pt>
                <c:pt idx="14">
                  <c:v>34.880000000000003</c:v>
                </c:pt>
                <c:pt idx="15">
                  <c:v>33.729999999999997</c:v>
                </c:pt>
                <c:pt idx="16">
                  <c:v>35.75</c:v>
                </c:pt>
                <c:pt idx="17">
                  <c:v>32.08</c:v>
                </c:pt>
                <c:pt idx="18">
                  <c:v>33.29</c:v>
                </c:pt>
                <c:pt idx="19">
                  <c:v>30.92</c:v>
                </c:pt>
                <c:pt idx="20">
                  <c:v>31.79</c:v>
                </c:pt>
                <c:pt idx="21">
                  <c:v>35.31</c:v>
                </c:pt>
                <c:pt idx="22">
                  <c:v>43.93</c:v>
                </c:pt>
                <c:pt idx="23">
                  <c:v>46.89</c:v>
                </c:pt>
                <c:pt idx="24">
                  <c:v>46.63</c:v>
                </c:pt>
                <c:pt idx="25">
                  <c:v>51.13</c:v>
                </c:pt>
                <c:pt idx="26">
                  <c:v>54.89</c:v>
                </c:pt>
                <c:pt idx="27">
                  <c:v>47.61</c:v>
                </c:pt>
                <c:pt idx="28">
                  <c:v>36.99</c:v>
                </c:pt>
                <c:pt idx="29">
                  <c:v>39.07</c:v>
                </c:pt>
                <c:pt idx="30">
                  <c:v>29.38</c:v>
                </c:pt>
                <c:pt idx="31">
                  <c:v>33.83</c:v>
                </c:pt>
                <c:pt idx="32">
                  <c:v>33.549999999999997</c:v>
                </c:pt>
                <c:pt idx="33">
                  <c:v>29.72</c:v>
                </c:pt>
                <c:pt idx="34">
                  <c:v>29.16</c:v>
                </c:pt>
                <c:pt idx="35">
                  <c:v>15.01</c:v>
                </c:pt>
                <c:pt idx="36">
                  <c:v>16.59</c:v>
                </c:pt>
                <c:pt idx="37">
                  <c:v>16.829999999999998</c:v>
                </c:pt>
                <c:pt idx="38">
                  <c:v>22.94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A-A345-9B75-99AF63D0ECBD}"/>
            </c:ext>
          </c:extLst>
        </c:ser>
        <c:ser>
          <c:idx val="4"/>
          <c:order val="4"/>
          <c:tx>
            <c:strRef>
              <c:f>'28'!$F$1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'28'!$F$2:$F$40</c:f>
              <c:numCache>
                <c:formatCode>General</c:formatCode>
                <c:ptCount val="39"/>
                <c:pt idx="0">
                  <c:v>0.09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A-A345-9B75-99AF63D0ECBD}"/>
            </c:ext>
          </c:extLst>
        </c:ser>
        <c:ser>
          <c:idx val="5"/>
          <c:order val="5"/>
          <c:tx>
            <c:strRef>
              <c:f>'28'!$G$1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'28'!$G$2:$G$40</c:f>
              <c:numCache>
                <c:formatCode>General</c:formatCode>
                <c:ptCount val="39"/>
                <c:pt idx="0">
                  <c:v>2565</c:v>
                </c:pt>
                <c:pt idx="1">
                  <c:v>2546</c:v>
                </c:pt>
                <c:pt idx="2">
                  <c:v>2605</c:v>
                </c:pt>
                <c:pt idx="3">
                  <c:v>2611</c:v>
                </c:pt>
                <c:pt idx="4">
                  <c:v>2618</c:v>
                </c:pt>
                <c:pt idx="5">
                  <c:v>2628</c:v>
                </c:pt>
                <c:pt idx="6">
                  <c:v>2658</c:v>
                </c:pt>
                <c:pt idx="7">
                  <c:v>2625</c:v>
                </c:pt>
                <c:pt idx="8">
                  <c:v>2602</c:v>
                </c:pt>
                <c:pt idx="9">
                  <c:v>2541</c:v>
                </c:pt>
                <c:pt idx="10">
                  <c:v>2586</c:v>
                </c:pt>
                <c:pt idx="11">
                  <c:v>2611</c:v>
                </c:pt>
                <c:pt idx="12">
                  <c:v>2654</c:v>
                </c:pt>
                <c:pt idx="13">
                  <c:v>2609</c:v>
                </c:pt>
                <c:pt idx="14">
                  <c:v>2636</c:v>
                </c:pt>
                <c:pt idx="15">
                  <c:v>2647</c:v>
                </c:pt>
                <c:pt idx="16">
                  <c:v>2704</c:v>
                </c:pt>
                <c:pt idx="17">
                  <c:v>2658</c:v>
                </c:pt>
                <c:pt idx="18">
                  <c:v>2722</c:v>
                </c:pt>
                <c:pt idx="19">
                  <c:v>2725</c:v>
                </c:pt>
                <c:pt idx="20">
                  <c:v>2761</c:v>
                </c:pt>
                <c:pt idx="21">
                  <c:v>2763</c:v>
                </c:pt>
                <c:pt idx="22">
                  <c:v>2797</c:v>
                </c:pt>
                <c:pt idx="23">
                  <c:v>2807</c:v>
                </c:pt>
                <c:pt idx="24">
                  <c:v>2822</c:v>
                </c:pt>
                <c:pt idx="25">
                  <c:v>2819</c:v>
                </c:pt>
                <c:pt idx="26">
                  <c:v>2839</c:v>
                </c:pt>
                <c:pt idx="27">
                  <c:v>2900</c:v>
                </c:pt>
                <c:pt idx="28">
                  <c:v>2890</c:v>
                </c:pt>
                <c:pt idx="29">
                  <c:v>2928</c:v>
                </c:pt>
                <c:pt idx="30">
                  <c:v>2881</c:v>
                </c:pt>
                <c:pt idx="31">
                  <c:v>2988</c:v>
                </c:pt>
                <c:pt idx="32">
                  <c:v>3017</c:v>
                </c:pt>
                <c:pt idx="33">
                  <c:v>2960</c:v>
                </c:pt>
                <c:pt idx="34">
                  <c:v>3035</c:v>
                </c:pt>
                <c:pt idx="35">
                  <c:v>2874</c:v>
                </c:pt>
                <c:pt idx="36">
                  <c:v>3023</c:v>
                </c:pt>
                <c:pt idx="37">
                  <c:v>2996</c:v>
                </c:pt>
                <c:pt idx="38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A-A345-9B75-99AF63D0ECBD}"/>
            </c:ext>
          </c:extLst>
        </c:ser>
        <c:ser>
          <c:idx val="6"/>
          <c:order val="6"/>
          <c:tx>
            <c:strRef>
              <c:f>'28'!$H$1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'28'!$H$2:$H$40</c:f>
              <c:numCache>
                <c:formatCode>General</c:formatCode>
                <c:ptCount val="39"/>
                <c:pt idx="0">
                  <c:v>230</c:v>
                </c:pt>
                <c:pt idx="1">
                  <c:v>206</c:v>
                </c:pt>
                <c:pt idx="2">
                  <c:v>-425</c:v>
                </c:pt>
                <c:pt idx="3">
                  <c:v>214</c:v>
                </c:pt>
                <c:pt idx="4">
                  <c:v>216</c:v>
                </c:pt>
                <c:pt idx="5">
                  <c:v>230</c:v>
                </c:pt>
                <c:pt idx="6">
                  <c:v>234</c:v>
                </c:pt>
                <c:pt idx="7">
                  <c:v>213</c:v>
                </c:pt>
                <c:pt idx="8">
                  <c:v>219</c:v>
                </c:pt>
                <c:pt idx="9">
                  <c:v>206</c:v>
                </c:pt>
                <c:pt idx="10">
                  <c:v>221</c:v>
                </c:pt>
                <c:pt idx="11">
                  <c:v>229</c:v>
                </c:pt>
                <c:pt idx="12">
                  <c:v>243</c:v>
                </c:pt>
                <c:pt idx="13">
                  <c:v>221</c:v>
                </c:pt>
                <c:pt idx="14">
                  <c:v>-279</c:v>
                </c:pt>
                <c:pt idx="15">
                  <c:v>213</c:v>
                </c:pt>
                <c:pt idx="16">
                  <c:v>224</c:v>
                </c:pt>
                <c:pt idx="17">
                  <c:v>204</c:v>
                </c:pt>
                <c:pt idx="18">
                  <c:v>226</c:v>
                </c:pt>
                <c:pt idx="19">
                  <c:v>211</c:v>
                </c:pt>
                <c:pt idx="20">
                  <c:v>237</c:v>
                </c:pt>
                <c:pt idx="21">
                  <c:v>236</c:v>
                </c:pt>
                <c:pt idx="22">
                  <c:v>248</c:v>
                </c:pt>
                <c:pt idx="23">
                  <c:v>230</c:v>
                </c:pt>
                <c:pt idx="24">
                  <c:v>245</c:v>
                </c:pt>
                <c:pt idx="25">
                  <c:v>252</c:v>
                </c:pt>
                <c:pt idx="26">
                  <c:v>267</c:v>
                </c:pt>
                <c:pt idx="27">
                  <c:v>274</c:v>
                </c:pt>
                <c:pt idx="28">
                  <c:v>286</c:v>
                </c:pt>
                <c:pt idx="29">
                  <c:v>-285</c:v>
                </c:pt>
                <c:pt idx="30">
                  <c:v>249</c:v>
                </c:pt>
                <c:pt idx="31">
                  <c:v>281</c:v>
                </c:pt>
                <c:pt idx="32">
                  <c:v>281</c:v>
                </c:pt>
                <c:pt idx="33">
                  <c:v>242</c:v>
                </c:pt>
                <c:pt idx="34">
                  <c:v>296</c:v>
                </c:pt>
                <c:pt idx="35">
                  <c:v>161</c:v>
                </c:pt>
                <c:pt idx="36">
                  <c:v>266</c:v>
                </c:pt>
                <c:pt idx="37">
                  <c:v>231</c:v>
                </c:pt>
                <c:pt idx="38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A-A345-9B75-99AF63D0ECBD}"/>
            </c:ext>
          </c:extLst>
        </c:ser>
        <c:ser>
          <c:idx val="8"/>
          <c:order val="8"/>
          <c:tx>
            <c:strRef>
              <c:f>'28'!$J$1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'28'!$J$2:$J$40</c:f>
              <c:numCache>
                <c:formatCode>General</c:formatCode>
                <c:ptCount val="39"/>
                <c:pt idx="0">
                  <c:v>12.98</c:v>
                </c:pt>
                <c:pt idx="1">
                  <c:v>13.37</c:v>
                </c:pt>
                <c:pt idx="2">
                  <c:v>13.37</c:v>
                </c:pt>
                <c:pt idx="3">
                  <c:v>50.64</c:v>
                </c:pt>
                <c:pt idx="4">
                  <c:v>50.94</c:v>
                </c:pt>
                <c:pt idx="5">
                  <c:v>51.22</c:v>
                </c:pt>
                <c:pt idx="6">
                  <c:v>14.83</c:v>
                </c:pt>
                <c:pt idx="7">
                  <c:v>14.83</c:v>
                </c:pt>
                <c:pt idx="8">
                  <c:v>15.33</c:v>
                </c:pt>
                <c:pt idx="9">
                  <c:v>15.85</c:v>
                </c:pt>
                <c:pt idx="10">
                  <c:v>16.559999999999999</c:v>
                </c:pt>
                <c:pt idx="11">
                  <c:v>17.03</c:v>
                </c:pt>
                <c:pt idx="12">
                  <c:v>17.02</c:v>
                </c:pt>
                <c:pt idx="13">
                  <c:v>16.86</c:v>
                </c:pt>
                <c:pt idx="14">
                  <c:v>16.95</c:v>
                </c:pt>
                <c:pt idx="15">
                  <c:v>38.51</c:v>
                </c:pt>
                <c:pt idx="16">
                  <c:v>40.25</c:v>
                </c:pt>
                <c:pt idx="17">
                  <c:v>42.31</c:v>
                </c:pt>
                <c:pt idx="18">
                  <c:v>44.74</c:v>
                </c:pt>
                <c:pt idx="19">
                  <c:v>20</c:v>
                </c:pt>
                <c:pt idx="20">
                  <c:v>20.34</c:v>
                </c:pt>
                <c:pt idx="21">
                  <c:v>20.39</c:v>
                </c:pt>
                <c:pt idx="22">
                  <c:v>19.82</c:v>
                </c:pt>
                <c:pt idx="23">
                  <c:v>19.489999999999998</c:v>
                </c:pt>
                <c:pt idx="24">
                  <c:v>19.29</c:v>
                </c:pt>
                <c:pt idx="25">
                  <c:v>19.28</c:v>
                </c:pt>
                <c:pt idx="26">
                  <c:v>19.48</c:v>
                </c:pt>
                <c:pt idx="27">
                  <c:v>19.68</c:v>
                </c:pt>
                <c:pt idx="28">
                  <c:v>19.350000000000001</c:v>
                </c:pt>
                <c:pt idx="29">
                  <c:v>19.09</c:v>
                </c:pt>
                <c:pt idx="30">
                  <c:v>39.26</c:v>
                </c:pt>
                <c:pt idx="31">
                  <c:v>41.18</c:v>
                </c:pt>
                <c:pt idx="32">
                  <c:v>41.06</c:v>
                </c:pt>
                <c:pt idx="33">
                  <c:v>41.77</c:v>
                </c:pt>
                <c:pt idx="34">
                  <c:v>21.52</c:v>
                </c:pt>
                <c:pt idx="35">
                  <c:v>20.8</c:v>
                </c:pt>
                <c:pt idx="36">
                  <c:v>23.62</c:v>
                </c:pt>
                <c:pt idx="37">
                  <c:v>24.26</c:v>
                </c:pt>
                <c:pt idx="38">
                  <c:v>24.46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A-A345-9B75-99AF63D0ECBD}"/>
            </c:ext>
          </c:extLst>
        </c:ser>
        <c:ser>
          <c:idx val="9"/>
          <c:order val="9"/>
          <c:tx>
            <c:strRef>
              <c:f>'28'!$K$1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'28'!$K$2:$K$40</c:f>
              <c:numCache>
                <c:formatCode>General</c:formatCode>
                <c:ptCount val="39"/>
                <c:pt idx="0">
                  <c:v>315</c:v>
                </c:pt>
                <c:pt idx="1">
                  <c:v>173</c:v>
                </c:pt>
                <c:pt idx="2">
                  <c:v>405</c:v>
                </c:pt>
                <c:pt idx="3">
                  <c:v>329</c:v>
                </c:pt>
                <c:pt idx="4">
                  <c:v>350</c:v>
                </c:pt>
                <c:pt idx="5">
                  <c:v>275</c:v>
                </c:pt>
                <c:pt idx="6">
                  <c:v>426</c:v>
                </c:pt>
                <c:pt idx="7">
                  <c:v>265</c:v>
                </c:pt>
                <c:pt idx="8">
                  <c:v>183</c:v>
                </c:pt>
                <c:pt idx="9">
                  <c:v>261</c:v>
                </c:pt>
                <c:pt idx="10">
                  <c:v>322</c:v>
                </c:pt>
                <c:pt idx="11">
                  <c:v>347</c:v>
                </c:pt>
                <c:pt idx="12">
                  <c:v>379</c:v>
                </c:pt>
                <c:pt idx="13">
                  <c:v>218</c:v>
                </c:pt>
                <c:pt idx="14">
                  <c:v>280</c:v>
                </c:pt>
                <c:pt idx="15">
                  <c:v>400</c:v>
                </c:pt>
                <c:pt idx="16">
                  <c:v>326</c:v>
                </c:pt>
                <c:pt idx="17">
                  <c:v>273</c:v>
                </c:pt>
                <c:pt idx="18">
                  <c:v>293</c:v>
                </c:pt>
                <c:pt idx="19">
                  <c:v>293</c:v>
                </c:pt>
                <c:pt idx="20">
                  <c:v>268</c:v>
                </c:pt>
                <c:pt idx="21">
                  <c:v>194</c:v>
                </c:pt>
                <c:pt idx="22">
                  <c:v>361</c:v>
                </c:pt>
                <c:pt idx="23">
                  <c:v>308</c:v>
                </c:pt>
                <c:pt idx="24">
                  <c:v>334</c:v>
                </c:pt>
                <c:pt idx="25">
                  <c:v>224</c:v>
                </c:pt>
                <c:pt idx="26">
                  <c:v>283</c:v>
                </c:pt>
                <c:pt idx="27">
                  <c:v>300</c:v>
                </c:pt>
                <c:pt idx="28">
                  <c:v>396</c:v>
                </c:pt>
                <c:pt idx="29">
                  <c:v>387</c:v>
                </c:pt>
                <c:pt idx="30">
                  <c:v>453</c:v>
                </c:pt>
                <c:pt idx="31">
                  <c:v>517</c:v>
                </c:pt>
                <c:pt idx="32">
                  <c:v>426</c:v>
                </c:pt>
                <c:pt idx="33">
                  <c:v>314</c:v>
                </c:pt>
                <c:pt idx="34">
                  <c:v>485</c:v>
                </c:pt>
                <c:pt idx="35">
                  <c:v>220</c:v>
                </c:pt>
                <c:pt idx="36">
                  <c:v>633</c:v>
                </c:pt>
                <c:pt idx="37">
                  <c:v>426</c:v>
                </c:pt>
                <c:pt idx="38">
                  <c:v>-681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0768"/>
        <c:axId val="78882304"/>
      </c:lineChart>
      <c:lineChart>
        <c:grouping val="standard"/>
        <c:varyColors val="0"/>
        <c:ser>
          <c:idx val="7"/>
          <c:order val="7"/>
          <c:tx>
            <c:strRef>
              <c:f>'28'!$I$1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'28'!$A$2:$A$40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'28'!$I$2:$I$40</c:f>
              <c:numCache>
                <c:formatCode>General</c:formatCode>
                <c:ptCount val="39"/>
                <c:pt idx="0">
                  <c:v>8.9600000000000009</c:v>
                </c:pt>
                <c:pt idx="1">
                  <c:v>8.08</c:v>
                </c:pt>
                <c:pt idx="2">
                  <c:v>-16.329999999999998</c:v>
                </c:pt>
                <c:pt idx="3">
                  <c:v>8.19</c:v>
                </c:pt>
                <c:pt idx="4">
                  <c:v>8.27</c:v>
                </c:pt>
                <c:pt idx="5">
                  <c:v>8.76</c:v>
                </c:pt>
                <c:pt idx="6">
                  <c:v>8.8000000000000007</c:v>
                </c:pt>
                <c:pt idx="7">
                  <c:v>8.1</c:v>
                </c:pt>
                <c:pt idx="8">
                  <c:v>8.4</c:v>
                </c:pt>
                <c:pt idx="9">
                  <c:v>8.1</c:v>
                </c:pt>
                <c:pt idx="10">
                  <c:v>8.5500000000000007</c:v>
                </c:pt>
                <c:pt idx="11">
                  <c:v>8.77</c:v>
                </c:pt>
                <c:pt idx="12">
                  <c:v>9.14</c:v>
                </c:pt>
                <c:pt idx="13">
                  <c:v>8.4700000000000006</c:v>
                </c:pt>
                <c:pt idx="14">
                  <c:v>-10.59</c:v>
                </c:pt>
                <c:pt idx="15">
                  <c:v>8.0399999999999991</c:v>
                </c:pt>
                <c:pt idx="16">
                  <c:v>8.3000000000000007</c:v>
                </c:pt>
                <c:pt idx="17">
                  <c:v>7.67</c:v>
                </c:pt>
                <c:pt idx="18">
                  <c:v>8.31</c:v>
                </c:pt>
                <c:pt idx="19">
                  <c:v>7.73</c:v>
                </c:pt>
                <c:pt idx="20">
                  <c:v>8.58</c:v>
                </c:pt>
                <c:pt idx="21">
                  <c:v>8.5399999999999991</c:v>
                </c:pt>
                <c:pt idx="22">
                  <c:v>8.8699999999999992</c:v>
                </c:pt>
                <c:pt idx="23">
                  <c:v>8.19</c:v>
                </c:pt>
                <c:pt idx="24">
                  <c:v>8.69</c:v>
                </c:pt>
                <c:pt idx="25">
                  <c:v>8.9499999999999993</c:v>
                </c:pt>
                <c:pt idx="26">
                  <c:v>9.4</c:v>
                </c:pt>
                <c:pt idx="27">
                  <c:v>9.43</c:v>
                </c:pt>
                <c:pt idx="28">
                  <c:v>9.8800000000000008</c:v>
                </c:pt>
                <c:pt idx="29">
                  <c:v>-9.7200000000000006</c:v>
                </c:pt>
                <c:pt idx="30">
                  <c:v>8.65</c:v>
                </c:pt>
                <c:pt idx="31">
                  <c:v>9.4</c:v>
                </c:pt>
                <c:pt idx="32">
                  <c:v>9.32</c:v>
                </c:pt>
                <c:pt idx="33">
                  <c:v>8.18</c:v>
                </c:pt>
                <c:pt idx="34">
                  <c:v>9.76</c:v>
                </c:pt>
                <c:pt idx="35">
                  <c:v>5.6</c:v>
                </c:pt>
                <c:pt idx="36">
                  <c:v>8.7799999999999994</c:v>
                </c:pt>
                <c:pt idx="37">
                  <c:v>7.71</c:v>
                </c:pt>
                <c:pt idx="38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A-A345-9B75-99AF63D0E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89728"/>
        <c:axId val="78883840"/>
      </c:lineChart>
      <c:catAx>
        <c:axId val="78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882304"/>
        <c:crosses val="autoZero"/>
        <c:auto val="1"/>
        <c:lblAlgn val="ctr"/>
        <c:lblOffset val="100"/>
        <c:tickMarkSkip val="1"/>
        <c:noMultiLvlLbl val="0"/>
      </c:catAx>
      <c:valAx>
        <c:axId val="788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80768"/>
        <c:crosses val="autoZero"/>
        <c:crossBetween val="between"/>
      </c:valAx>
      <c:valAx>
        <c:axId val="78883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8889728"/>
        <c:crosses val="max"/>
        <c:crossBetween val="between"/>
      </c:valAx>
      <c:catAx>
        <c:axId val="78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8384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'28'!$L$2:$L$39</c:f>
              <c:numCache>
                <c:formatCode>General</c:formatCode>
                <c:ptCount val="38"/>
                <c:pt idx="0">
                  <c:v>0.22222222222222227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0.18181818181818185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0.15384615384615377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0.13333333333333347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0.11764705882352934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5.2631578947368467E-2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0.13043478260869565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0.11538461538461527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1-3749-8D6D-174E84D22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4528"/>
        <c:axId val="83176064"/>
      </c:barChart>
      <c:catAx>
        <c:axId val="83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6064"/>
        <c:crosses val="autoZero"/>
        <c:auto val="1"/>
        <c:lblAlgn val="ctr"/>
        <c:lblOffset val="100"/>
        <c:tickMarkSkip val="1"/>
        <c:noMultiLvlLbl val="0"/>
      </c:catAx>
      <c:valAx>
        <c:axId val="8317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4528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'29'!$B$1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'29'!$B$2:$B$38</c:f>
              <c:numCache>
                <c:formatCode>General</c:formatCode>
                <c:ptCount val="37"/>
                <c:pt idx="0">
                  <c:v>23.88</c:v>
                </c:pt>
                <c:pt idx="1">
                  <c:v>27.69</c:v>
                </c:pt>
                <c:pt idx="2">
                  <c:v>23.93</c:v>
                </c:pt>
                <c:pt idx="3">
                  <c:v>27.34</c:v>
                </c:pt>
                <c:pt idx="4">
                  <c:v>27.28</c:v>
                </c:pt>
                <c:pt idx="5">
                  <c:v>31.4</c:v>
                </c:pt>
                <c:pt idx="6">
                  <c:v>37.99</c:v>
                </c:pt>
                <c:pt idx="7">
                  <c:v>41.22</c:v>
                </c:pt>
                <c:pt idx="8">
                  <c:v>50.86</c:v>
                </c:pt>
                <c:pt idx="9">
                  <c:v>44.78</c:v>
                </c:pt>
                <c:pt idx="10">
                  <c:v>46.87</c:v>
                </c:pt>
                <c:pt idx="11">
                  <c:v>54.59</c:v>
                </c:pt>
                <c:pt idx="12">
                  <c:v>52.83</c:v>
                </c:pt>
                <c:pt idx="13">
                  <c:v>51.35</c:v>
                </c:pt>
                <c:pt idx="14">
                  <c:v>51.88</c:v>
                </c:pt>
                <c:pt idx="15">
                  <c:v>49.57</c:v>
                </c:pt>
                <c:pt idx="16">
                  <c:v>51.77</c:v>
                </c:pt>
                <c:pt idx="17">
                  <c:v>38.21</c:v>
                </c:pt>
                <c:pt idx="18">
                  <c:v>43.97</c:v>
                </c:pt>
                <c:pt idx="19">
                  <c:v>49.22</c:v>
                </c:pt>
                <c:pt idx="20">
                  <c:v>57.75</c:v>
                </c:pt>
                <c:pt idx="21">
                  <c:v>63.53</c:v>
                </c:pt>
                <c:pt idx="22">
                  <c:v>62.75</c:v>
                </c:pt>
                <c:pt idx="23">
                  <c:v>62.65</c:v>
                </c:pt>
                <c:pt idx="24">
                  <c:v>70.569999999999993</c:v>
                </c:pt>
                <c:pt idx="25">
                  <c:v>62.37</c:v>
                </c:pt>
                <c:pt idx="26">
                  <c:v>55.99</c:v>
                </c:pt>
                <c:pt idx="27">
                  <c:v>55.06</c:v>
                </c:pt>
                <c:pt idx="28">
                  <c:v>49.82</c:v>
                </c:pt>
                <c:pt idx="29">
                  <c:v>52.38</c:v>
                </c:pt>
                <c:pt idx="30">
                  <c:v>51.5</c:v>
                </c:pt>
                <c:pt idx="31">
                  <c:v>52.95</c:v>
                </c:pt>
                <c:pt idx="32">
                  <c:v>54.63</c:v>
                </c:pt>
                <c:pt idx="33">
                  <c:v>44.6</c:v>
                </c:pt>
                <c:pt idx="34">
                  <c:v>38.619999999999997</c:v>
                </c:pt>
                <c:pt idx="35">
                  <c:v>41.75</c:v>
                </c:pt>
                <c:pt idx="36">
                  <c:v>50.027099999999997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AB42-A8C7-E06DE6CEC9AD}"/>
            </c:ext>
          </c:extLst>
        </c:ser>
        <c:ser>
          <c:idx val="1"/>
          <c:order val="1"/>
          <c:tx>
            <c:strRef>
              <c:f>'29'!$C$1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'29'!$C$2:$C$38</c:f>
              <c:numCache>
                <c:formatCode>General</c:formatCode>
                <c:ptCount val="37"/>
                <c:pt idx="0">
                  <c:v>25.72</c:v>
                </c:pt>
                <c:pt idx="1">
                  <c:v>29.84</c:v>
                </c:pt>
                <c:pt idx="2">
                  <c:v>26.24</c:v>
                </c:pt>
                <c:pt idx="3">
                  <c:v>29.2</c:v>
                </c:pt>
                <c:pt idx="4">
                  <c:v>28.71</c:v>
                </c:pt>
                <c:pt idx="5">
                  <c:v>34.58</c:v>
                </c:pt>
                <c:pt idx="6">
                  <c:v>39.049999999999997</c:v>
                </c:pt>
                <c:pt idx="7">
                  <c:v>44.23</c:v>
                </c:pt>
                <c:pt idx="8">
                  <c:v>50.91</c:v>
                </c:pt>
                <c:pt idx="9">
                  <c:v>47.74</c:v>
                </c:pt>
                <c:pt idx="10">
                  <c:v>50.74</c:v>
                </c:pt>
                <c:pt idx="11">
                  <c:v>55.07</c:v>
                </c:pt>
                <c:pt idx="12">
                  <c:v>54.19</c:v>
                </c:pt>
                <c:pt idx="13">
                  <c:v>52.56</c:v>
                </c:pt>
                <c:pt idx="14">
                  <c:v>53.42</c:v>
                </c:pt>
                <c:pt idx="15">
                  <c:v>50</c:v>
                </c:pt>
                <c:pt idx="16">
                  <c:v>52.18</c:v>
                </c:pt>
                <c:pt idx="17">
                  <c:v>41.68</c:v>
                </c:pt>
                <c:pt idx="18">
                  <c:v>44.82</c:v>
                </c:pt>
                <c:pt idx="19">
                  <c:v>51.72</c:v>
                </c:pt>
                <c:pt idx="20">
                  <c:v>61.34</c:v>
                </c:pt>
                <c:pt idx="21">
                  <c:v>64.650000000000006</c:v>
                </c:pt>
                <c:pt idx="22">
                  <c:v>66.12</c:v>
                </c:pt>
                <c:pt idx="23">
                  <c:v>64.75</c:v>
                </c:pt>
                <c:pt idx="24">
                  <c:v>72.040000000000006</c:v>
                </c:pt>
                <c:pt idx="25">
                  <c:v>63.5839</c:v>
                </c:pt>
                <c:pt idx="26">
                  <c:v>57.86</c:v>
                </c:pt>
                <c:pt idx="27">
                  <c:v>60.15</c:v>
                </c:pt>
                <c:pt idx="28">
                  <c:v>50.03</c:v>
                </c:pt>
                <c:pt idx="29">
                  <c:v>53.24</c:v>
                </c:pt>
                <c:pt idx="30">
                  <c:v>58.56</c:v>
                </c:pt>
                <c:pt idx="31">
                  <c:v>58.28</c:v>
                </c:pt>
                <c:pt idx="32">
                  <c:v>55.88</c:v>
                </c:pt>
                <c:pt idx="33">
                  <c:v>47.63</c:v>
                </c:pt>
                <c:pt idx="34">
                  <c:v>49.34</c:v>
                </c:pt>
                <c:pt idx="35">
                  <c:v>44.53</c:v>
                </c:pt>
                <c:pt idx="36">
                  <c:v>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AB42-A8C7-E06DE6CEC9AD}"/>
            </c:ext>
          </c:extLst>
        </c:ser>
        <c:ser>
          <c:idx val="2"/>
          <c:order val="2"/>
          <c:tx>
            <c:strRef>
              <c:f>'29'!$D$1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'29'!$D$2:$D$38</c:f>
              <c:numCache>
                <c:formatCode>General</c:formatCode>
                <c:ptCount val="37"/>
                <c:pt idx="0">
                  <c:v>22.81</c:v>
                </c:pt>
                <c:pt idx="1">
                  <c:v>26.26</c:v>
                </c:pt>
                <c:pt idx="2">
                  <c:v>23.09</c:v>
                </c:pt>
                <c:pt idx="3">
                  <c:v>26.53</c:v>
                </c:pt>
                <c:pt idx="4">
                  <c:v>27.16</c:v>
                </c:pt>
                <c:pt idx="5">
                  <c:v>31.05</c:v>
                </c:pt>
                <c:pt idx="6">
                  <c:v>35.65</c:v>
                </c:pt>
                <c:pt idx="7">
                  <c:v>41.05</c:v>
                </c:pt>
                <c:pt idx="8">
                  <c:v>47.28</c:v>
                </c:pt>
                <c:pt idx="9">
                  <c:v>44.4</c:v>
                </c:pt>
                <c:pt idx="10">
                  <c:v>46.57</c:v>
                </c:pt>
                <c:pt idx="11">
                  <c:v>52.46</c:v>
                </c:pt>
                <c:pt idx="12">
                  <c:v>48.95</c:v>
                </c:pt>
                <c:pt idx="13">
                  <c:v>49.29</c:v>
                </c:pt>
                <c:pt idx="14">
                  <c:v>50.66</c:v>
                </c:pt>
                <c:pt idx="15">
                  <c:v>41.67</c:v>
                </c:pt>
                <c:pt idx="16">
                  <c:v>43.64</c:v>
                </c:pt>
                <c:pt idx="17">
                  <c:v>37.69</c:v>
                </c:pt>
                <c:pt idx="18">
                  <c:v>38.034999999999997</c:v>
                </c:pt>
                <c:pt idx="19">
                  <c:v>47.56</c:v>
                </c:pt>
                <c:pt idx="20">
                  <c:v>57.392000000000003</c:v>
                </c:pt>
                <c:pt idx="21">
                  <c:v>60.18</c:v>
                </c:pt>
                <c:pt idx="22">
                  <c:v>61.95</c:v>
                </c:pt>
                <c:pt idx="23">
                  <c:v>59.62</c:v>
                </c:pt>
                <c:pt idx="24">
                  <c:v>68.28</c:v>
                </c:pt>
                <c:pt idx="25">
                  <c:v>57.62</c:v>
                </c:pt>
                <c:pt idx="26">
                  <c:v>52.31</c:v>
                </c:pt>
                <c:pt idx="27">
                  <c:v>53.93</c:v>
                </c:pt>
                <c:pt idx="28">
                  <c:v>40.42</c:v>
                </c:pt>
                <c:pt idx="29">
                  <c:v>48.84</c:v>
                </c:pt>
                <c:pt idx="30">
                  <c:v>51.364800000000002</c:v>
                </c:pt>
                <c:pt idx="31">
                  <c:v>52.03</c:v>
                </c:pt>
                <c:pt idx="32">
                  <c:v>52.17</c:v>
                </c:pt>
                <c:pt idx="33">
                  <c:v>23.31</c:v>
                </c:pt>
                <c:pt idx="34">
                  <c:v>37.950000000000003</c:v>
                </c:pt>
                <c:pt idx="35">
                  <c:v>37.03</c:v>
                </c:pt>
                <c:pt idx="36">
                  <c:v>46.81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AB42-A8C7-E06DE6CEC9AD}"/>
            </c:ext>
          </c:extLst>
        </c:ser>
        <c:ser>
          <c:idx val="3"/>
          <c:order val="3"/>
          <c:tx>
            <c:strRef>
              <c:f>'29'!$E$1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'29'!$E$2:$E$38</c:f>
              <c:numCache>
                <c:formatCode>General</c:formatCode>
                <c:ptCount val="37"/>
                <c:pt idx="0">
                  <c:v>24.6</c:v>
                </c:pt>
                <c:pt idx="1">
                  <c:v>29.51</c:v>
                </c:pt>
                <c:pt idx="2">
                  <c:v>26.23</c:v>
                </c:pt>
                <c:pt idx="3">
                  <c:v>26.94</c:v>
                </c:pt>
                <c:pt idx="4">
                  <c:v>28.52</c:v>
                </c:pt>
                <c:pt idx="5">
                  <c:v>34.03</c:v>
                </c:pt>
                <c:pt idx="6">
                  <c:v>37.450000000000003</c:v>
                </c:pt>
                <c:pt idx="7">
                  <c:v>42.82</c:v>
                </c:pt>
                <c:pt idx="8">
                  <c:v>49.31</c:v>
                </c:pt>
                <c:pt idx="9">
                  <c:v>45.99</c:v>
                </c:pt>
                <c:pt idx="10">
                  <c:v>50.48</c:v>
                </c:pt>
                <c:pt idx="11">
                  <c:v>52.47</c:v>
                </c:pt>
                <c:pt idx="12">
                  <c:v>51.94</c:v>
                </c:pt>
                <c:pt idx="13">
                  <c:v>51.37</c:v>
                </c:pt>
                <c:pt idx="14">
                  <c:v>51.29</c:v>
                </c:pt>
                <c:pt idx="15">
                  <c:v>47.34</c:v>
                </c:pt>
                <c:pt idx="16">
                  <c:v>44.98</c:v>
                </c:pt>
                <c:pt idx="17">
                  <c:v>39.450000000000003</c:v>
                </c:pt>
                <c:pt idx="18">
                  <c:v>41.11</c:v>
                </c:pt>
                <c:pt idx="19">
                  <c:v>51.51</c:v>
                </c:pt>
                <c:pt idx="20">
                  <c:v>57.86</c:v>
                </c:pt>
                <c:pt idx="21">
                  <c:v>63.11</c:v>
                </c:pt>
                <c:pt idx="22">
                  <c:v>64.069999999999993</c:v>
                </c:pt>
                <c:pt idx="23">
                  <c:v>64.34</c:v>
                </c:pt>
                <c:pt idx="24">
                  <c:v>70.56</c:v>
                </c:pt>
                <c:pt idx="25">
                  <c:v>60.91</c:v>
                </c:pt>
                <c:pt idx="26">
                  <c:v>52.95</c:v>
                </c:pt>
                <c:pt idx="27">
                  <c:v>58.59</c:v>
                </c:pt>
                <c:pt idx="28">
                  <c:v>44.17</c:v>
                </c:pt>
                <c:pt idx="29">
                  <c:v>50.19</c:v>
                </c:pt>
                <c:pt idx="30">
                  <c:v>57.92</c:v>
                </c:pt>
                <c:pt idx="31">
                  <c:v>57.14</c:v>
                </c:pt>
                <c:pt idx="32">
                  <c:v>55</c:v>
                </c:pt>
                <c:pt idx="33">
                  <c:v>31.34</c:v>
                </c:pt>
                <c:pt idx="34">
                  <c:v>41.54</c:v>
                </c:pt>
                <c:pt idx="35">
                  <c:v>40.270000000000003</c:v>
                </c:pt>
                <c:pt idx="36">
                  <c:v>49.61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63-AB42-A8C7-E06DE6CEC9AD}"/>
            </c:ext>
          </c:extLst>
        </c:ser>
        <c:ser>
          <c:idx val="4"/>
          <c:order val="4"/>
          <c:tx>
            <c:strRef>
              <c:f>'29'!$F$1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'29'!$F$2:$F$38</c:f>
              <c:numCache>
                <c:formatCode>General</c:formatCode>
                <c:ptCount val="37"/>
                <c:pt idx="0">
                  <c:v>0.7</c:v>
                </c:pt>
                <c:pt idx="1">
                  <c:v>0.18</c:v>
                </c:pt>
                <c:pt idx="2">
                  <c:v>0.18</c:v>
                </c:pt>
                <c:pt idx="3">
                  <c:v>0.21</c:v>
                </c:pt>
                <c:pt idx="4">
                  <c:v>0.21</c:v>
                </c:pt>
                <c:pt idx="5">
                  <c:v>0.23</c:v>
                </c:pt>
                <c:pt idx="6">
                  <c:v>0.23</c:v>
                </c:pt>
                <c:pt idx="7">
                  <c:v>0.26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0.32</c:v>
                </c:pt>
                <c:pt idx="11">
                  <c:v>0.34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0.41</c:v>
                </c:pt>
                <c:pt idx="20">
                  <c:v>0.43</c:v>
                </c:pt>
                <c:pt idx="21">
                  <c:v>0.45</c:v>
                </c:pt>
                <c:pt idx="22">
                  <c:v>0.46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0.52</c:v>
                </c:pt>
                <c:pt idx="27">
                  <c:v>0.53</c:v>
                </c:pt>
                <c:pt idx="28">
                  <c:v>0.54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0.56000000000000005</c:v>
                </c:pt>
                <c:pt idx="36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63-AB42-A8C7-E06DE6CEC9AD}"/>
            </c:ext>
          </c:extLst>
        </c:ser>
        <c:ser>
          <c:idx val="5"/>
          <c:order val="5"/>
          <c:tx>
            <c:strRef>
              <c:f>'29'!$G$1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'29'!$G$2:$G$38</c:f>
              <c:numCache>
                <c:formatCode>General</c:formatCode>
                <c:ptCount val="37"/>
                <c:pt idx="0">
                  <c:v>2059</c:v>
                </c:pt>
                <c:pt idx="1">
                  <c:v>2096</c:v>
                </c:pt>
                <c:pt idx="2">
                  <c:v>2119</c:v>
                </c:pt>
                <c:pt idx="3">
                  <c:v>2705</c:v>
                </c:pt>
                <c:pt idx="4">
                  <c:v>2296</c:v>
                </c:pt>
                <c:pt idx="5">
                  <c:v>2167</c:v>
                </c:pt>
                <c:pt idx="6">
                  <c:v>2211</c:v>
                </c:pt>
                <c:pt idx="7">
                  <c:v>2240</c:v>
                </c:pt>
                <c:pt idx="8">
                  <c:v>2673</c:v>
                </c:pt>
                <c:pt idx="9">
                  <c:v>2479</c:v>
                </c:pt>
                <c:pt idx="10">
                  <c:v>2607</c:v>
                </c:pt>
                <c:pt idx="11">
                  <c:v>2484</c:v>
                </c:pt>
                <c:pt idx="12">
                  <c:v>2908</c:v>
                </c:pt>
                <c:pt idx="13">
                  <c:v>2657</c:v>
                </c:pt>
                <c:pt idx="14">
                  <c:v>3259</c:v>
                </c:pt>
                <c:pt idx="15">
                  <c:v>3241</c:v>
                </c:pt>
                <c:pt idx="16">
                  <c:v>2807</c:v>
                </c:pt>
                <c:pt idx="17">
                  <c:v>3037</c:v>
                </c:pt>
                <c:pt idx="18">
                  <c:v>3026</c:v>
                </c:pt>
                <c:pt idx="19">
                  <c:v>2818</c:v>
                </c:pt>
                <c:pt idx="20">
                  <c:v>3514</c:v>
                </c:pt>
                <c:pt idx="21">
                  <c:v>3049</c:v>
                </c:pt>
                <c:pt idx="22">
                  <c:v>3178</c:v>
                </c:pt>
                <c:pt idx="23">
                  <c:v>4628</c:v>
                </c:pt>
                <c:pt idx="24">
                  <c:v>3238</c:v>
                </c:pt>
                <c:pt idx="25">
                  <c:v>2884</c:v>
                </c:pt>
                <c:pt idx="26">
                  <c:v>3235</c:v>
                </c:pt>
                <c:pt idx="27">
                  <c:v>4348</c:v>
                </c:pt>
                <c:pt idx="28">
                  <c:v>3771</c:v>
                </c:pt>
                <c:pt idx="29">
                  <c:v>3744</c:v>
                </c:pt>
                <c:pt idx="30">
                  <c:v>3973</c:v>
                </c:pt>
                <c:pt idx="31">
                  <c:v>4458</c:v>
                </c:pt>
                <c:pt idx="32">
                  <c:v>4047</c:v>
                </c:pt>
                <c:pt idx="33">
                  <c:v>4551</c:v>
                </c:pt>
                <c:pt idx="34">
                  <c:v>3115</c:v>
                </c:pt>
                <c:pt idx="35">
                  <c:v>3311</c:v>
                </c:pt>
                <c:pt idx="36">
                  <c:v>3765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63-AB42-A8C7-E06DE6CEC9AD}"/>
            </c:ext>
          </c:extLst>
        </c:ser>
        <c:ser>
          <c:idx val="6"/>
          <c:order val="6"/>
          <c:tx>
            <c:strRef>
              <c:f>'29'!$H$1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'29'!$H$2:$H$38</c:f>
              <c:numCache>
                <c:formatCode>General</c:formatCode>
                <c:ptCount val="37"/>
                <c:pt idx="0">
                  <c:v>172</c:v>
                </c:pt>
                <c:pt idx="1">
                  <c:v>210</c:v>
                </c:pt>
                <c:pt idx="2">
                  <c:v>181</c:v>
                </c:pt>
                <c:pt idx="3">
                  <c:v>188</c:v>
                </c:pt>
                <c:pt idx="4">
                  <c:v>227</c:v>
                </c:pt>
                <c:pt idx="5">
                  <c:v>187</c:v>
                </c:pt>
                <c:pt idx="6">
                  <c:v>231</c:v>
                </c:pt>
                <c:pt idx="7">
                  <c:v>254</c:v>
                </c:pt>
                <c:pt idx="8">
                  <c:v>242</c:v>
                </c:pt>
                <c:pt idx="9">
                  <c:v>302</c:v>
                </c:pt>
                <c:pt idx="10">
                  <c:v>315</c:v>
                </c:pt>
                <c:pt idx="11">
                  <c:v>249</c:v>
                </c:pt>
                <c:pt idx="12">
                  <c:v>279</c:v>
                </c:pt>
                <c:pt idx="13">
                  <c:v>422</c:v>
                </c:pt>
                <c:pt idx="14">
                  <c:v>258</c:v>
                </c:pt>
                <c:pt idx="15">
                  <c:v>300</c:v>
                </c:pt>
                <c:pt idx="16">
                  <c:v>254</c:v>
                </c:pt>
                <c:pt idx="17">
                  <c:v>368</c:v>
                </c:pt>
                <c:pt idx="18">
                  <c:v>322</c:v>
                </c:pt>
                <c:pt idx="19">
                  <c:v>308</c:v>
                </c:pt>
                <c:pt idx="20">
                  <c:v>318</c:v>
                </c:pt>
                <c:pt idx="21">
                  <c:v>349</c:v>
                </c:pt>
                <c:pt idx="22">
                  <c:v>310</c:v>
                </c:pt>
                <c:pt idx="23">
                  <c:v>810</c:v>
                </c:pt>
                <c:pt idx="24">
                  <c:v>842</c:v>
                </c:pt>
                <c:pt idx="25">
                  <c:v>397</c:v>
                </c:pt>
                <c:pt idx="26">
                  <c:v>457</c:v>
                </c:pt>
                <c:pt idx="27">
                  <c:v>456</c:v>
                </c:pt>
                <c:pt idx="28">
                  <c:v>237</c:v>
                </c:pt>
                <c:pt idx="29">
                  <c:v>430</c:v>
                </c:pt>
                <c:pt idx="30">
                  <c:v>386</c:v>
                </c:pt>
                <c:pt idx="31">
                  <c:v>277</c:v>
                </c:pt>
                <c:pt idx="32">
                  <c:v>301</c:v>
                </c:pt>
                <c:pt idx="33">
                  <c:v>289</c:v>
                </c:pt>
                <c:pt idx="34">
                  <c:v>398</c:v>
                </c:pt>
                <c:pt idx="35">
                  <c:v>236</c:v>
                </c:pt>
                <c:pt idx="36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3-AB42-A8C7-E06DE6CEC9AD}"/>
            </c:ext>
          </c:extLst>
        </c:ser>
        <c:ser>
          <c:idx val="8"/>
          <c:order val="8"/>
          <c:tx>
            <c:strRef>
              <c:f>'29'!$J$1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'29'!$J$2:$J$38</c:f>
              <c:numCache>
                <c:formatCode>General</c:formatCode>
                <c:ptCount val="37"/>
                <c:pt idx="0">
                  <c:v>24.77</c:v>
                </c:pt>
                <c:pt idx="1">
                  <c:v>32.56</c:v>
                </c:pt>
                <c:pt idx="2">
                  <c:v>39.11</c:v>
                </c:pt>
                <c:pt idx="3">
                  <c:v>49.07</c:v>
                </c:pt>
                <c:pt idx="4">
                  <c:v>30.35</c:v>
                </c:pt>
                <c:pt idx="5">
                  <c:v>30.35</c:v>
                </c:pt>
                <c:pt idx="6">
                  <c:v>33.200000000000003</c:v>
                </c:pt>
                <c:pt idx="7">
                  <c:v>32.590000000000003</c:v>
                </c:pt>
                <c:pt idx="8">
                  <c:v>32.18</c:v>
                </c:pt>
                <c:pt idx="9">
                  <c:v>33.22</c:v>
                </c:pt>
                <c:pt idx="10">
                  <c:v>31.31</c:v>
                </c:pt>
                <c:pt idx="11">
                  <c:v>31.28</c:v>
                </c:pt>
                <c:pt idx="12">
                  <c:v>33.99</c:v>
                </c:pt>
                <c:pt idx="13">
                  <c:v>35.07</c:v>
                </c:pt>
                <c:pt idx="14">
                  <c:v>33.25</c:v>
                </c:pt>
                <c:pt idx="15">
                  <c:v>36.69</c:v>
                </c:pt>
                <c:pt idx="16">
                  <c:v>35.61</c:v>
                </c:pt>
                <c:pt idx="17">
                  <c:v>36.950000000000003</c:v>
                </c:pt>
                <c:pt idx="18">
                  <c:v>38.78</c:v>
                </c:pt>
                <c:pt idx="19">
                  <c:v>36.340000000000003</c:v>
                </c:pt>
                <c:pt idx="20">
                  <c:v>36.53</c:v>
                </c:pt>
                <c:pt idx="21">
                  <c:v>35.78</c:v>
                </c:pt>
                <c:pt idx="22">
                  <c:v>37.840000000000003</c:v>
                </c:pt>
                <c:pt idx="23">
                  <c:v>39.770000000000003</c:v>
                </c:pt>
                <c:pt idx="24">
                  <c:v>29.62</c:v>
                </c:pt>
                <c:pt idx="25">
                  <c:v>23.73</c:v>
                </c:pt>
                <c:pt idx="26">
                  <c:v>23.98</c:v>
                </c:pt>
                <c:pt idx="27">
                  <c:v>23.25</c:v>
                </c:pt>
                <c:pt idx="28">
                  <c:v>27.78</c:v>
                </c:pt>
                <c:pt idx="29">
                  <c:v>39.18</c:v>
                </c:pt>
                <c:pt idx="30">
                  <c:v>38.520000000000003</c:v>
                </c:pt>
                <c:pt idx="31">
                  <c:v>40.340000000000003</c:v>
                </c:pt>
                <c:pt idx="32">
                  <c:v>45.88</c:v>
                </c:pt>
                <c:pt idx="33">
                  <c:v>43.95</c:v>
                </c:pt>
                <c:pt idx="34">
                  <c:v>49.22</c:v>
                </c:pt>
                <c:pt idx="35">
                  <c:v>48.79</c:v>
                </c:pt>
                <c:pt idx="36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63-AB42-A8C7-E06DE6CEC9AD}"/>
            </c:ext>
          </c:extLst>
        </c:ser>
        <c:ser>
          <c:idx val="9"/>
          <c:order val="9"/>
          <c:tx>
            <c:strRef>
              <c:f>'29'!$K$1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'29'!$K$2:$K$38</c:f>
              <c:numCache>
                <c:formatCode>General</c:formatCode>
                <c:ptCount val="37"/>
                <c:pt idx="0">
                  <c:v>828</c:v>
                </c:pt>
                <c:pt idx="1">
                  <c:v>902</c:v>
                </c:pt>
                <c:pt idx="2">
                  <c:v>600</c:v>
                </c:pt>
                <c:pt idx="3">
                  <c:v>872</c:v>
                </c:pt>
                <c:pt idx="4">
                  <c:v>707</c:v>
                </c:pt>
                <c:pt idx="5">
                  <c:v>596</c:v>
                </c:pt>
                <c:pt idx="6">
                  <c:v>188</c:v>
                </c:pt>
                <c:pt idx="7">
                  <c:v>614</c:v>
                </c:pt>
                <c:pt idx="8">
                  <c:v>823</c:v>
                </c:pt>
                <c:pt idx="9">
                  <c:v>591</c:v>
                </c:pt>
                <c:pt idx="10">
                  <c:v>786</c:v>
                </c:pt>
                <c:pt idx="11">
                  <c:v>820</c:v>
                </c:pt>
                <c:pt idx="12">
                  <c:v>905</c:v>
                </c:pt>
                <c:pt idx="13">
                  <c:v>631</c:v>
                </c:pt>
                <c:pt idx="14">
                  <c:v>1487</c:v>
                </c:pt>
                <c:pt idx="15">
                  <c:v>1206</c:v>
                </c:pt>
                <c:pt idx="16">
                  <c:v>1054</c:v>
                </c:pt>
                <c:pt idx="17">
                  <c:v>896</c:v>
                </c:pt>
                <c:pt idx="18">
                  <c:v>1230</c:v>
                </c:pt>
                <c:pt idx="19">
                  <c:v>802</c:v>
                </c:pt>
                <c:pt idx="20">
                  <c:v>931</c:v>
                </c:pt>
                <c:pt idx="21">
                  <c:v>523</c:v>
                </c:pt>
                <c:pt idx="22">
                  <c:v>1306</c:v>
                </c:pt>
                <c:pt idx="23">
                  <c:v>1800</c:v>
                </c:pt>
                <c:pt idx="24">
                  <c:v>559</c:v>
                </c:pt>
                <c:pt idx="25">
                  <c:v>747</c:v>
                </c:pt>
                <c:pt idx="26">
                  <c:v>892</c:v>
                </c:pt>
                <c:pt idx="27">
                  <c:v>2076</c:v>
                </c:pt>
                <c:pt idx="28">
                  <c:v>1443</c:v>
                </c:pt>
                <c:pt idx="29">
                  <c:v>1176</c:v>
                </c:pt>
                <c:pt idx="30">
                  <c:v>1502</c:v>
                </c:pt>
                <c:pt idx="31">
                  <c:v>1786</c:v>
                </c:pt>
                <c:pt idx="32">
                  <c:v>1028</c:v>
                </c:pt>
                <c:pt idx="33">
                  <c:v>1589</c:v>
                </c:pt>
                <c:pt idx="34">
                  <c:v>457</c:v>
                </c:pt>
                <c:pt idx="35">
                  <c:v>1064</c:v>
                </c:pt>
                <c:pt idx="36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4336"/>
        <c:axId val="83135872"/>
      </c:lineChart>
      <c:lineChart>
        <c:grouping val="standard"/>
        <c:varyColors val="0"/>
        <c:ser>
          <c:idx val="7"/>
          <c:order val="7"/>
          <c:tx>
            <c:strRef>
              <c:f>'29'!$I$1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'29'!$A$2:$A$38</c:f>
              <c:strCache>
                <c:ptCount val="37"/>
                <c:pt idx="0">
                  <c:v>2011/12/01</c:v>
                </c:pt>
                <c:pt idx="1">
                  <c:v>2012/03/01</c:v>
                </c:pt>
                <c:pt idx="2">
                  <c:v>2012/06/01</c:v>
                </c:pt>
                <c:pt idx="3">
                  <c:v>2012/09/04</c:v>
                </c:pt>
                <c:pt idx="4">
                  <c:v>2012/12/03</c:v>
                </c:pt>
                <c:pt idx="5">
                  <c:v>2013/03/01</c:v>
                </c:pt>
                <c:pt idx="6">
                  <c:v>2013/06/03</c:v>
                </c:pt>
                <c:pt idx="7">
                  <c:v>2013/09/03</c:v>
                </c:pt>
                <c:pt idx="8">
                  <c:v>2013/12/02</c:v>
                </c:pt>
                <c:pt idx="9">
                  <c:v>2014/03/03</c:v>
                </c:pt>
                <c:pt idx="10">
                  <c:v>2014/06/02</c:v>
                </c:pt>
                <c:pt idx="11">
                  <c:v>2014/09/02</c:v>
                </c:pt>
                <c:pt idx="12">
                  <c:v>2014/12/01</c:v>
                </c:pt>
                <c:pt idx="13">
                  <c:v>2015/03/02</c:v>
                </c:pt>
                <c:pt idx="14">
                  <c:v>2015/06/01</c:v>
                </c:pt>
                <c:pt idx="15">
                  <c:v>2015/09/01</c:v>
                </c:pt>
                <c:pt idx="16">
                  <c:v>2015/12/01</c:v>
                </c:pt>
                <c:pt idx="17">
                  <c:v>2016/03/01</c:v>
                </c:pt>
                <c:pt idx="18">
                  <c:v>2016/06/01</c:v>
                </c:pt>
                <c:pt idx="19">
                  <c:v>2016/09/01</c:v>
                </c:pt>
                <c:pt idx="20">
                  <c:v>2016/12/01</c:v>
                </c:pt>
                <c:pt idx="21">
                  <c:v>2017/03/01</c:v>
                </c:pt>
                <c:pt idx="22">
                  <c:v>2017/06/01</c:v>
                </c:pt>
                <c:pt idx="23">
                  <c:v>2017/09/01</c:v>
                </c:pt>
                <c:pt idx="24">
                  <c:v>2017/12/01</c:v>
                </c:pt>
                <c:pt idx="25">
                  <c:v>2018/03/01</c:v>
                </c:pt>
                <c:pt idx="26">
                  <c:v>2018/06/01</c:v>
                </c:pt>
                <c:pt idx="27">
                  <c:v>2018/09/04</c:v>
                </c:pt>
                <c:pt idx="28">
                  <c:v>2018/12/03</c:v>
                </c:pt>
                <c:pt idx="29">
                  <c:v>2019/03/01</c:v>
                </c:pt>
                <c:pt idx="30">
                  <c:v>2019/06/03</c:v>
                </c:pt>
                <c:pt idx="31">
                  <c:v>2019/09/03</c:v>
                </c:pt>
                <c:pt idx="32">
                  <c:v>2019/12/02</c:v>
                </c:pt>
                <c:pt idx="33">
                  <c:v>2020/03/02</c:v>
                </c:pt>
                <c:pt idx="34">
                  <c:v>2020/06/01</c:v>
                </c:pt>
                <c:pt idx="35">
                  <c:v>2020/09/01</c:v>
                </c:pt>
                <c:pt idx="36">
                  <c:v>2020/12/01</c:v>
                </c:pt>
              </c:strCache>
            </c:strRef>
          </c:cat>
          <c:val>
            <c:numRef>
              <c:f>'29'!$I$2:$I$38</c:f>
              <c:numCache>
                <c:formatCode>General</c:formatCode>
                <c:ptCount val="37"/>
                <c:pt idx="0">
                  <c:v>7.97</c:v>
                </c:pt>
                <c:pt idx="1">
                  <c:v>9.61</c:v>
                </c:pt>
                <c:pt idx="2">
                  <c:v>8.17</c:v>
                </c:pt>
                <c:pt idx="3">
                  <c:v>6.64</c:v>
                </c:pt>
                <c:pt idx="4">
                  <c:v>9.52</c:v>
                </c:pt>
                <c:pt idx="5">
                  <c:v>8.23</c:v>
                </c:pt>
                <c:pt idx="6">
                  <c:v>10.06</c:v>
                </c:pt>
                <c:pt idx="7">
                  <c:v>10.97</c:v>
                </c:pt>
                <c:pt idx="8">
                  <c:v>8.73</c:v>
                </c:pt>
                <c:pt idx="9">
                  <c:v>11.85</c:v>
                </c:pt>
                <c:pt idx="10">
                  <c:v>11.75</c:v>
                </c:pt>
                <c:pt idx="11">
                  <c:v>9.69</c:v>
                </c:pt>
                <c:pt idx="12">
                  <c:v>9.3000000000000007</c:v>
                </c:pt>
                <c:pt idx="13">
                  <c:v>15.59</c:v>
                </c:pt>
                <c:pt idx="14">
                  <c:v>7.4</c:v>
                </c:pt>
                <c:pt idx="15">
                  <c:v>9.27</c:v>
                </c:pt>
                <c:pt idx="16">
                  <c:v>9.0299999999999994</c:v>
                </c:pt>
                <c:pt idx="17">
                  <c:v>12.12</c:v>
                </c:pt>
                <c:pt idx="18">
                  <c:v>10.65</c:v>
                </c:pt>
                <c:pt idx="19">
                  <c:v>10.94</c:v>
                </c:pt>
                <c:pt idx="20">
                  <c:v>9.0500000000000007</c:v>
                </c:pt>
                <c:pt idx="21">
                  <c:v>11.44</c:v>
                </c:pt>
                <c:pt idx="22">
                  <c:v>9.74</c:v>
                </c:pt>
                <c:pt idx="23">
                  <c:v>17.510000000000002</c:v>
                </c:pt>
                <c:pt idx="24">
                  <c:v>26</c:v>
                </c:pt>
                <c:pt idx="25">
                  <c:v>13.77</c:v>
                </c:pt>
                <c:pt idx="26">
                  <c:v>14.11</c:v>
                </c:pt>
                <c:pt idx="27">
                  <c:v>10.49</c:v>
                </c:pt>
                <c:pt idx="28">
                  <c:v>6.27</c:v>
                </c:pt>
                <c:pt idx="29">
                  <c:v>11.48</c:v>
                </c:pt>
                <c:pt idx="30">
                  <c:v>9.7200000000000006</c:v>
                </c:pt>
                <c:pt idx="31">
                  <c:v>6.22</c:v>
                </c:pt>
                <c:pt idx="32">
                  <c:v>7.43</c:v>
                </c:pt>
                <c:pt idx="33">
                  <c:v>6.35</c:v>
                </c:pt>
                <c:pt idx="34">
                  <c:v>12.79</c:v>
                </c:pt>
                <c:pt idx="35">
                  <c:v>7.13</c:v>
                </c:pt>
                <c:pt idx="36">
                  <c:v>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63-AB42-A8C7-E06DE6CE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51488"/>
        <c:axId val="83149952"/>
      </c:lineChart>
      <c:catAx>
        <c:axId val="83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35872"/>
        <c:crosses val="autoZero"/>
        <c:auto val="1"/>
        <c:lblAlgn val="ctr"/>
        <c:lblOffset val="100"/>
        <c:tickMarkSkip val="1"/>
        <c:noMultiLvlLbl val="0"/>
      </c:catAx>
      <c:valAx>
        <c:axId val="83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4336"/>
        <c:crosses val="autoZero"/>
        <c:crossBetween val="between"/>
      </c:valAx>
      <c:valAx>
        <c:axId val="83149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151488"/>
        <c:crosses val="max"/>
        <c:crossBetween val="between"/>
      </c:valAx>
      <c:catAx>
        <c:axId val="831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499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'29'!$L$3:$L$37</c:f>
              <c:numCache>
                <c:formatCode>General</c:formatCode>
                <c:ptCount val="35"/>
                <c:pt idx="0">
                  <c:v>0</c:v>
                </c:pt>
                <c:pt idx="1">
                  <c:v>0.16666666666666666</c:v>
                </c:pt>
                <c:pt idx="2">
                  <c:v>0</c:v>
                </c:pt>
                <c:pt idx="3">
                  <c:v>9.523809523809533E-2</c:v>
                </c:pt>
                <c:pt idx="4">
                  <c:v>0</c:v>
                </c:pt>
                <c:pt idx="5">
                  <c:v>0.13043478260869565</c:v>
                </c:pt>
                <c:pt idx="6">
                  <c:v>0</c:v>
                </c:pt>
                <c:pt idx="7">
                  <c:v>7.6923076923076983E-2</c:v>
                </c:pt>
                <c:pt idx="8">
                  <c:v>0.14285714285714277</c:v>
                </c:pt>
                <c:pt idx="9">
                  <c:v>6.2500000000000056E-2</c:v>
                </c:pt>
                <c:pt idx="10">
                  <c:v>0</c:v>
                </c:pt>
                <c:pt idx="11">
                  <c:v>5.8823529411764594E-2</c:v>
                </c:pt>
                <c:pt idx="12">
                  <c:v>5.5555555555555608E-2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2.6315789473684233E-2</c:v>
                </c:pt>
                <c:pt idx="17">
                  <c:v>5.1282051282051183E-2</c:v>
                </c:pt>
                <c:pt idx="18">
                  <c:v>4.8780487804878092E-2</c:v>
                </c:pt>
                <c:pt idx="19">
                  <c:v>4.6511627906976785E-2</c:v>
                </c:pt>
                <c:pt idx="20">
                  <c:v>2.222222222222224E-2</c:v>
                </c:pt>
                <c:pt idx="21">
                  <c:v>2.1739130434782507E-2</c:v>
                </c:pt>
                <c:pt idx="22">
                  <c:v>4.2553191489361743E-2</c:v>
                </c:pt>
                <c:pt idx="23">
                  <c:v>4.0816326530612283E-2</c:v>
                </c:pt>
                <c:pt idx="24">
                  <c:v>1.9607843137254919E-2</c:v>
                </c:pt>
                <c:pt idx="25">
                  <c:v>1.9230769230769246E-2</c:v>
                </c:pt>
                <c:pt idx="26">
                  <c:v>1.8867924528301903E-2</c:v>
                </c:pt>
                <c:pt idx="27">
                  <c:v>0</c:v>
                </c:pt>
                <c:pt idx="28">
                  <c:v>0</c:v>
                </c:pt>
                <c:pt idx="29">
                  <c:v>1.8518518518518535E-2</c:v>
                </c:pt>
                <c:pt idx="30">
                  <c:v>0</c:v>
                </c:pt>
                <c:pt idx="31">
                  <c:v>1.8181818181818195E-2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A-314A-AC8E-29F6D793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03424"/>
        <c:axId val="83309312"/>
      </c:barChart>
      <c:catAx>
        <c:axId val="833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309312"/>
        <c:crosses val="autoZero"/>
        <c:auto val="1"/>
        <c:lblAlgn val="ctr"/>
        <c:lblOffset val="100"/>
        <c:tickMarkSkip val="1"/>
        <c:noMultiLvlLbl val="0"/>
      </c:catAx>
      <c:valAx>
        <c:axId val="833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034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'2'!$B$2:$B$40</c:f>
              <c:numCache>
                <c:formatCode>General</c:formatCode>
                <c:ptCount val="39"/>
                <c:pt idx="0">
                  <c:v>18.475000000000001</c:v>
                </c:pt>
                <c:pt idx="1">
                  <c:v>19.745000000000001</c:v>
                </c:pt>
                <c:pt idx="2">
                  <c:v>18.645</c:v>
                </c:pt>
                <c:pt idx="3">
                  <c:v>23.004999999999999</c:v>
                </c:pt>
                <c:pt idx="4">
                  <c:v>27.945</c:v>
                </c:pt>
                <c:pt idx="5">
                  <c:v>26.66</c:v>
                </c:pt>
                <c:pt idx="6">
                  <c:v>25.355</c:v>
                </c:pt>
                <c:pt idx="7">
                  <c:v>26.815000000000001</c:v>
                </c:pt>
                <c:pt idx="8">
                  <c:v>28.475000000000001</c:v>
                </c:pt>
                <c:pt idx="9">
                  <c:v>32.755000000000003</c:v>
                </c:pt>
                <c:pt idx="10">
                  <c:v>38.484999999999999</c:v>
                </c:pt>
                <c:pt idx="11">
                  <c:v>39.195</c:v>
                </c:pt>
                <c:pt idx="12">
                  <c:v>36.69</c:v>
                </c:pt>
                <c:pt idx="13">
                  <c:v>38.69</c:v>
                </c:pt>
                <c:pt idx="14">
                  <c:v>37.729999999999997</c:v>
                </c:pt>
                <c:pt idx="15">
                  <c:v>41.024999999999999</c:v>
                </c:pt>
                <c:pt idx="16">
                  <c:v>47.35</c:v>
                </c:pt>
                <c:pt idx="17">
                  <c:v>53.615000000000002</c:v>
                </c:pt>
                <c:pt idx="18">
                  <c:v>56.84</c:v>
                </c:pt>
                <c:pt idx="19">
                  <c:v>60.03</c:v>
                </c:pt>
                <c:pt idx="20">
                  <c:v>59.7</c:v>
                </c:pt>
                <c:pt idx="21">
                  <c:v>57.12</c:v>
                </c:pt>
                <c:pt idx="22">
                  <c:v>54.14</c:v>
                </c:pt>
                <c:pt idx="23">
                  <c:v>55.52</c:v>
                </c:pt>
                <c:pt idx="24">
                  <c:v>58.39</c:v>
                </c:pt>
                <c:pt idx="25">
                  <c:v>58.31</c:v>
                </c:pt>
                <c:pt idx="26">
                  <c:v>53.71</c:v>
                </c:pt>
                <c:pt idx="27">
                  <c:v>57.43</c:v>
                </c:pt>
                <c:pt idx="28">
                  <c:v>57.89</c:v>
                </c:pt>
                <c:pt idx="29">
                  <c:v>48.85</c:v>
                </c:pt>
                <c:pt idx="30">
                  <c:v>56.84</c:v>
                </c:pt>
                <c:pt idx="31">
                  <c:v>64.400000000000006</c:v>
                </c:pt>
                <c:pt idx="32">
                  <c:v>74.34</c:v>
                </c:pt>
                <c:pt idx="33">
                  <c:v>83.83</c:v>
                </c:pt>
                <c:pt idx="34">
                  <c:v>88.42</c:v>
                </c:pt>
                <c:pt idx="35">
                  <c:v>87.92</c:v>
                </c:pt>
                <c:pt idx="36">
                  <c:v>65.739999999999995</c:v>
                </c:pt>
                <c:pt idx="37">
                  <c:v>73.59</c:v>
                </c:pt>
                <c:pt idx="38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4941-BA75-2086AEBFA308}"/>
            </c:ext>
          </c:extLst>
        </c:ser>
        <c:ser>
          <c:idx val="2"/>
          <c:order val="2"/>
          <c:tx>
            <c:strRef>
              <c:f>'2'!$D$1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'2'!$D$2:$D$40</c:f>
              <c:numCache>
                <c:formatCode>General</c:formatCode>
                <c:ptCount val="39"/>
                <c:pt idx="0">
                  <c:v>2786</c:v>
                </c:pt>
                <c:pt idx="1">
                  <c:v>2932</c:v>
                </c:pt>
                <c:pt idx="2">
                  <c:v>3032</c:v>
                </c:pt>
                <c:pt idx="3">
                  <c:v>3436</c:v>
                </c:pt>
                <c:pt idx="4">
                  <c:v>3196</c:v>
                </c:pt>
                <c:pt idx="5">
                  <c:v>3304</c:v>
                </c:pt>
                <c:pt idx="6">
                  <c:v>3364</c:v>
                </c:pt>
                <c:pt idx="7">
                  <c:v>3800</c:v>
                </c:pt>
                <c:pt idx="8">
                  <c:v>3556</c:v>
                </c:pt>
                <c:pt idx="9">
                  <c:v>3742</c:v>
                </c:pt>
                <c:pt idx="10">
                  <c:v>3795</c:v>
                </c:pt>
                <c:pt idx="11">
                  <c:v>4240</c:v>
                </c:pt>
                <c:pt idx="12">
                  <c:v>3874</c:v>
                </c:pt>
                <c:pt idx="13">
                  <c:v>4154</c:v>
                </c:pt>
                <c:pt idx="14">
                  <c:v>4181</c:v>
                </c:pt>
                <c:pt idx="15">
                  <c:v>4803</c:v>
                </c:pt>
                <c:pt idx="16">
                  <c:v>4564</c:v>
                </c:pt>
                <c:pt idx="17">
                  <c:v>4881</c:v>
                </c:pt>
                <c:pt idx="18">
                  <c:v>4915</c:v>
                </c:pt>
                <c:pt idx="19">
                  <c:v>5374</c:v>
                </c:pt>
                <c:pt idx="20">
                  <c:v>4993</c:v>
                </c:pt>
                <c:pt idx="21">
                  <c:v>5238</c:v>
                </c:pt>
                <c:pt idx="22">
                  <c:v>5711</c:v>
                </c:pt>
                <c:pt idx="23">
                  <c:v>5733</c:v>
                </c:pt>
                <c:pt idx="24">
                  <c:v>5294</c:v>
                </c:pt>
                <c:pt idx="25">
                  <c:v>5662</c:v>
                </c:pt>
                <c:pt idx="26">
                  <c:v>5698</c:v>
                </c:pt>
                <c:pt idx="27">
                  <c:v>6074</c:v>
                </c:pt>
                <c:pt idx="28">
                  <c:v>6032</c:v>
                </c:pt>
                <c:pt idx="29">
                  <c:v>6310</c:v>
                </c:pt>
                <c:pt idx="30">
                  <c:v>6304</c:v>
                </c:pt>
                <c:pt idx="31">
                  <c:v>6633</c:v>
                </c:pt>
                <c:pt idx="32">
                  <c:v>6306</c:v>
                </c:pt>
                <c:pt idx="33">
                  <c:v>6823</c:v>
                </c:pt>
                <c:pt idx="34">
                  <c:v>6747</c:v>
                </c:pt>
                <c:pt idx="35">
                  <c:v>7097</c:v>
                </c:pt>
                <c:pt idx="36">
                  <c:v>5996</c:v>
                </c:pt>
                <c:pt idx="37">
                  <c:v>4222</c:v>
                </c:pt>
                <c:pt idx="38">
                  <c:v>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4941-BA75-2086AEBFA308}"/>
            </c:ext>
          </c:extLst>
        </c:ser>
        <c:ser>
          <c:idx val="3"/>
          <c:order val="3"/>
          <c:tx>
            <c:strRef>
              <c:f>'2'!$E$1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'2'!$E$2:$E$40</c:f>
              <c:numCache>
                <c:formatCode>General</c:formatCode>
                <c:ptCount val="39"/>
                <c:pt idx="0">
                  <c:v>338</c:v>
                </c:pt>
                <c:pt idx="1">
                  <c:v>460</c:v>
                </c:pt>
                <c:pt idx="2">
                  <c:v>65</c:v>
                </c:pt>
                <c:pt idx="3">
                  <c:v>511</c:v>
                </c:pt>
                <c:pt idx="4">
                  <c:v>378</c:v>
                </c:pt>
                <c:pt idx="5">
                  <c:v>546</c:v>
                </c:pt>
                <c:pt idx="6">
                  <c:v>140</c:v>
                </c:pt>
                <c:pt idx="7">
                  <c:v>576</c:v>
                </c:pt>
                <c:pt idx="8">
                  <c:v>492</c:v>
                </c:pt>
                <c:pt idx="9">
                  <c:v>552</c:v>
                </c:pt>
                <c:pt idx="10">
                  <c:v>588</c:v>
                </c:pt>
                <c:pt idx="11">
                  <c:v>742</c:v>
                </c:pt>
                <c:pt idx="12">
                  <c:v>584</c:v>
                </c:pt>
                <c:pt idx="13">
                  <c:v>696</c:v>
                </c:pt>
                <c:pt idx="14">
                  <c:v>770</c:v>
                </c:pt>
                <c:pt idx="15">
                  <c:v>863</c:v>
                </c:pt>
                <c:pt idx="16">
                  <c:v>723</c:v>
                </c:pt>
                <c:pt idx="17">
                  <c:v>878</c:v>
                </c:pt>
                <c:pt idx="18">
                  <c:v>888</c:v>
                </c:pt>
                <c:pt idx="19">
                  <c:v>994</c:v>
                </c:pt>
                <c:pt idx="20">
                  <c:v>799</c:v>
                </c:pt>
                <c:pt idx="21">
                  <c:v>940</c:v>
                </c:pt>
                <c:pt idx="22">
                  <c:v>1122</c:v>
                </c:pt>
                <c:pt idx="23">
                  <c:v>1048</c:v>
                </c:pt>
                <c:pt idx="24">
                  <c:v>851</c:v>
                </c:pt>
                <c:pt idx="25">
                  <c:v>1063</c:v>
                </c:pt>
                <c:pt idx="26">
                  <c:v>934</c:v>
                </c:pt>
                <c:pt idx="27">
                  <c:v>1054</c:v>
                </c:pt>
                <c:pt idx="28">
                  <c:v>855</c:v>
                </c:pt>
                <c:pt idx="29">
                  <c:v>984</c:v>
                </c:pt>
                <c:pt idx="30">
                  <c:v>914</c:v>
                </c:pt>
                <c:pt idx="31">
                  <c:v>991</c:v>
                </c:pt>
                <c:pt idx="32">
                  <c:v>838</c:v>
                </c:pt>
                <c:pt idx="33">
                  <c:v>1083</c:v>
                </c:pt>
                <c:pt idx="34">
                  <c:v>1003</c:v>
                </c:pt>
                <c:pt idx="35">
                  <c:v>1152</c:v>
                </c:pt>
                <c:pt idx="36">
                  <c:v>419</c:v>
                </c:pt>
                <c:pt idx="37">
                  <c:v>-694</c:v>
                </c:pt>
                <c:pt idx="38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3-4941-BA75-2086AEBFA308}"/>
            </c:ext>
          </c:extLst>
        </c:ser>
        <c:ser>
          <c:idx val="4"/>
          <c:order val="4"/>
          <c:tx>
            <c:strRef>
              <c:f>'2'!$F$1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'2'!$F$2:$F$40</c:f>
              <c:numCache>
                <c:formatCode>General</c:formatCode>
                <c:ptCount val="39"/>
                <c:pt idx="0">
                  <c:v>262</c:v>
                </c:pt>
                <c:pt idx="1">
                  <c:v>279</c:v>
                </c:pt>
                <c:pt idx="2">
                  <c:v>358</c:v>
                </c:pt>
                <c:pt idx="3">
                  <c:v>382</c:v>
                </c:pt>
                <c:pt idx="4">
                  <c:v>310</c:v>
                </c:pt>
                <c:pt idx="5">
                  <c:v>333</c:v>
                </c:pt>
                <c:pt idx="6">
                  <c:v>359</c:v>
                </c:pt>
                <c:pt idx="7">
                  <c:v>432</c:v>
                </c:pt>
                <c:pt idx="8">
                  <c:v>390</c:v>
                </c:pt>
                <c:pt idx="9">
                  <c:v>418</c:v>
                </c:pt>
                <c:pt idx="10">
                  <c:v>-1232</c:v>
                </c:pt>
                <c:pt idx="11">
                  <c:v>541</c:v>
                </c:pt>
                <c:pt idx="12">
                  <c:v>427</c:v>
                </c:pt>
                <c:pt idx="13">
                  <c:v>513</c:v>
                </c:pt>
                <c:pt idx="14">
                  <c:v>588</c:v>
                </c:pt>
                <c:pt idx="15">
                  <c:v>983</c:v>
                </c:pt>
                <c:pt idx="16">
                  <c:v>495</c:v>
                </c:pt>
                <c:pt idx="17">
                  <c:v>627</c:v>
                </c:pt>
                <c:pt idx="18">
                  <c:v>653</c:v>
                </c:pt>
                <c:pt idx="19">
                  <c:v>688</c:v>
                </c:pt>
                <c:pt idx="20">
                  <c:v>575</c:v>
                </c:pt>
                <c:pt idx="21">
                  <c:v>754</c:v>
                </c:pt>
                <c:pt idx="22">
                  <c:v>801</c:v>
                </c:pt>
                <c:pt idx="23">
                  <c:v>752</c:v>
                </c:pt>
                <c:pt idx="24">
                  <c:v>653</c:v>
                </c:pt>
                <c:pt idx="25">
                  <c:v>692</c:v>
                </c:pt>
                <c:pt idx="26">
                  <c:v>789</c:v>
                </c:pt>
                <c:pt idx="27">
                  <c:v>2250</c:v>
                </c:pt>
                <c:pt idx="28">
                  <c:v>660</c:v>
                </c:pt>
                <c:pt idx="29">
                  <c:v>853</c:v>
                </c:pt>
                <c:pt idx="30">
                  <c:v>756</c:v>
                </c:pt>
                <c:pt idx="31">
                  <c:v>761</c:v>
                </c:pt>
                <c:pt idx="32">
                  <c:v>663</c:v>
                </c:pt>
                <c:pt idx="33">
                  <c:v>1373</c:v>
                </c:pt>
                <c:pt idx="34">
                  <c:v>803</c:v>
                </c:pt>
                <c:pt idx="35">
                  <c:v>886</c:v>
                </c:pt>
                <c:pt idx="36">
                  <c:v>328</c:v>
                </c:pt>
                <c:pt idx="37">
                  <c:v>-678</c:v>
                </c:pt>
                <c:pt idx="38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3-4941-BA75-2086AEBFA308}"/>
            </c:ext>
          </c:extLst>
        </c:ser>
        <c:ser>
          <c:idx val="7"/>
          <c:order val="7"/>
          <c:tx>
            <c:strRef>
              <c:f>'2'!$I$1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'2'!$I$2:$I$40</c:f>
              <c:numCache>
                <c:formatCode>General</c:formatCode>
                <c:ptCount val="39"/>
                <c:pt idx="0">
                  <c:v>27.27</c:v>
                </c:pt>
                <c:pt idx="1">
                  <c:v>34.21</c:v>
                </c:pt>
                <c:pt idx="2">
                  <c:v>32.1</c:v>
                </c:pt>
                <c:pt idx="3">
                  <c:v>32.1</c:v>
                </c:pt>
                <c:pt idx="4">
                  <c:v>33.53</c:v>
                </c:pt>
                <c:pt idx="5">
                  <c:v>34.68</c:v>
                </c:pt>
                <c:pt idx="6">
                  <c:v>35.56</c:v>
                </c:pt>
                <c:pt idx="7">
                  <c:v>38.71</c:v>
                </c:pt>
                <c:pt idx="8">
                  <c:v>38.71</c:v>
                </c:pt>
                <c:pt idx="9">
                  <c:v>38.58</c:v>
                </c:pt>
                <c:pt idx="10">
                  <c:v>38.28</c:v>
                </c:pt>
                <c:pt idx="11">
                  <c:v>8400</c:v>
                </c:pt>
                <c:pt idx="12">
                  <c:v>593.33000000000004</c:v>
                </c:pt>
                <c:pt idx="13">
                  <c:v>494.74</c:v>
                </c:pt>
                <c:pt idx="14">
                  <c:v>319.35000000000002</c:v>
                </c:pt>
                <c:pt idx="15">
                  <c:v>38.380000000000003</c:v>
                </c:pt>
                <c:pt idx="16">
                  <c:v>33.33</c:v>
                </c:pt>
                <c:pt idx="17">
                  <c:v>34.22</c:v>
                </c:pt>
                <c:pt idx="18">
                  <c:v>34.369999999999997</c:v>
                </c:pt>
                <c:pt idx="19">
                  <c:v>35.159999999999997</c:v>
                </c:pt>
                <c:pt idx="20">
                  <c:v>41.72</c:v>
                </c:pt>
                <c:pt idx="21">
                  <c:v>42.6</c:v>
                </c:pt>
                <c:pt idx="22">
                  <c:v>42.7</c:v>
                </c:pt>
                <c:pt idx="23">
                  <c:v>42.11</c:v>
                </c:pt>
                <c:pt idx="24">
                  <c:v>43.59</c:v>
                </c:pt>
                <c:pt idx="25">
                  <c:v>44.55</c:v>
                </c:pt>
                <c:pt idx="26">
                  <c:v>47.98</c:v>
                </c:pt>
                <c:pt idx="27">
                  <c:v>50.76</c:v>
                </c:pt>
                <c:pt idx="28">
                  <c:v>34.65</c:v>
                </c:pt>
                <c:pt idx="29">
                  <c:v>35.950000000000003</c:v>
                </c:pt>
                <c:pt idx="30">
                  <c:v>35.83</c:v>
                </c:pt>
                <c:pt idx="31">
                  <c:v>38.89</c:v>
                </c:pt>
                <c:pt idx="32">
                  <c:v>57.89</c:v>
                </c:pt>
                <c:pt idx="33">
                  <c:v>59.23</c:v>
                </c:pt>
                <c:pt idx="34">
                  <c:v>51.06</c:v>
                </c:pt>
                <c:pt idx="35">
                  <c:v>49.32</c:v>
                </c:pt>
                <c:pt idx="36">
                  <c:v>48.85</c:v>
                </c:pt>
                <c:pt idx="37">
                  <c:v>55</c:v>
                </c:pt>
                <c:pt idx="38">
                  <c:v>141.96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0032"/>
        <c:axId val="142941568"/>
      </c:lineChart>
      <c:lineChart>
        <c:grouping val="standard"/>
        <c:varyColors val="0"/>
        <c:ser>
          <c:idx val="1"/>
          <c:order val="1"/>
          <c:tx>
            <c:strRef>
              <c:f>'2'!$C$1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'2'!$C$2:$C$40</c:f>
              <c:numCache>
                <c:formatCode>General</c:formatCode>
                <c:ptCount val="39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0.36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0.41</c:v>
                </c:pt>
                <c:pt idx="36">
                  <c:v>0.41</c:v>
                </c:pt>
                <c:pt idx="37">
                  <c:v>0.41</c:v>
                </c:pt>
                <c:pt idx="38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3-4941-BA75-2086AEBFA308}"/>
            </c:ext>
          </c:extLst>
        </c:ser>
        <c:ser>
          <c:idx val="5"/>
          <c:order val="5"/>
          <c:tx>
            <c:strRef>
              <c:f>'2'!$G$1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'2'!$G$2:$G$40</c:f>
              <c:numCache>
                <c:formatCode>General</c:formatCode>
                <c:ptCount val="39"/>
                <c:pt idx="0">
                  <c:v>12.13</c:v>
                </c:pt>
                <c:pt idx="1">
                  <c:v>15.7</c:v>
                </c:pt>
                <c:pt idx="2">
                  <c:v>2.14</c:v>
                </c:pt>
                <c:pt idx="3">
                  <c:v>14.88</c:v>
                </c:pt>
                <c:pt idx="4">
                  <c:v>11.83</c:v>
                </c:pt>
                <c:pt idx="5">
                  <c:v>16.52</c:v>
                </c:pt>
                <c:pt idx="6">
                  <c:v>4.1500000000000004</c:v>
                </c:pt>
                <c:pt idx="7">
                  <c:v>15.16</c:v>
                </c:pt>
                <c:pt idx="8">
                  <c:v>13.82</c:v>
                </c:pt>
                <c:pt idx="9">
                  <c:v>14.75</c:v>
                </c:pt>
                <c:pt idx="10">
                  <c:v>15.49</c:v>
                </c:pt>
                <c:pt idx="11">
                  <c:v>17.510000000000002</c:v>
                </c:pt>
                <c:pt idx="12">
                  <c:v>15.08</c:v>
                </c:pt>
                <c:pt idx="13">
                  <c:v>16.75</c:v>
                </c:pt>
                <c:pt idx="14">
                  <c:v>18.43</c:v>
                </c:pt>
                <c:pt idx="15">
                  <c:v>17.96</c:v>
                </c:pt>
                <c:pt idx="16">
                  <c:v>15.83</c:v>
                </c:pt>
                <c:pt idx="17">
                  <c:v>17.989999999999998</c:v>
                </c:pt>
                <c:pt idx="18">
                  <c:v>18.059999999999999</c:v>
                </c:pt>
                <c:pt idx="19">
                  <c:v>18.5</c:v>
                </c:pt>
                <c:pt idx="20">
                  <c:v>15.99</c:v>
                </c:pt>
                <c:pt idx="21">
                  <c:v>17.940000000000001</c:v>
                </c:pt>
                <c:pt idx="22">
                  <c:v>19.64</c:v>
                </c:pt>
                <c:pt idx="23">
                  <c:v>18.28</c:v>
                </c:pt>
                <c:pt idx="24">
                  <c:v>16.079999999999998</c:v>
                </c:pt>
                <c:pt idx="25">
                  <c:v>18.78</c:v>
                </c:pt>
                <c:pt idx="26">
                  <c:v>16.39</c:v>
                </c:pt>
                <c:pt idx="27">
                  <c:v>17.36</c:v>
                </c:pt>
                <c:pt idx="28">
                  <c:v>14.17</c:v>
                </c:pt>
                <c:pt idx="29">
                  <c:v>15.59</c:v>
                </c:pt>
                <c:pt idx="30">
                  <c:v>14.5</c:v>
                </c:pt>
                <c:pt idx="31">
                  <c:v>14.94</c:v>
                </c:pt>
                <c:pt idx="32">
                  <c:v>13.3</c:v>
                </c:pt>
                <c:pt idx="33">
                  <c:v>15.87</c:v>
                </c:pt>
                <c:pt idx="34">
                  <c:v>14.87</c:v>
                </c:pt>
                <c:pt idx="35">
                  <c:v>16.23</c:v>
                </c:pt>
                <c:pt idx="36">
                  <c:v>6.99</c:v>
                </c:pt>
                <c:pt idx="37">
                  <c:v>-16.440000000000001</c:v>
                </c:pt>
                <c:pt idx="38">
                  <c:v>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3-4941-BA75-2086AEBFA308}"/>
            </c:ext>
          </c:extLst>
        </c:ser>
        <c:ser>
          <c:idx val="6"/>
          <c:order val="6"/>
          <c:tx>
            <c:strRef>
              <c:f>'2'!$H$1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'2'!$A$2:$A$40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'2'!$H$2:$H$40</c:f>
              <c:numCache>
                <c:formatCode>General</c:formatCode>
                <c:ptCount val="39"/>
                <c:pt idx="0">
                  <c:v>9.39</c:v>
                </c:pt>
                <c:pt idx="1">
                  <c:v>9.52</c:v>
                </c:pt>
                <c:pt idx="2">
                  <c:v>11.82</c:v>
                </c:pt>
                <c:pt idx="3">
                  <c:v>11.12</c:v>
                </c:pt>
                <c:pt idx="4">
                  <c:v>9.6999999999999993</c:v>
                </c:pt>
                <c:pt idx="5">
                  <c:v>10.08</c:v>
                </c:pt>
                <c:pt idx="6">
                  <c:v>10.66</c:v>
                </c:pt>
                <c:pt idx="7">
                  <c:v>11.37</c:v>
                </c:pt>
                <c:pt idx="8">
                  <c:v>10.98</c:v>
                </c:pt>
                <c:pt idx="9">
                  <c:v>11.17</c:v>
                </c:pt>
                <c:pt idx="10">
                  <c:v>-32.46</c:v>
                </c:pt>
                <c:pt idx="11">
                  <c:v>12.75</c:v>
                </c:pt>
                <c:pt idx="12">
                  <c:v>11.02</c:v>
                </c:pt>
                <c:pt idx="13">
                  <c:v>12.34</c:v>
                </c:pt>
                <c:pt idx="14">
                  <c:v>14.06</c:v>
                </c:pt>
                <c:pt idx="15">
                  <c:v>20.47</c:v>
                </c:pt>
                <c:pt idx="16">
                  <c:v>10.84</c:v>
                </c:pt>
                <c:pt idx="17">
                  <c:v>12.84</c:v>
                </c:pt>
                <c:pt idx="18">
                  <c:v>13.28</c:v>
                </c:pt>
                <c:pt idx="19">
                  <c:v>12.8</c:v>
                </c:pt>
                <c:pt idx="20">
                  <c:v>11.52</c:v>
                </c:pt>
                <c:pt idx="21">
                  <c:v>14.4</c:v>
                </c:pt>
                <c:pt idx="22">
                  <c:v>14.02</c:v>
                </c:pt>
                <c:pt idx="23">
                  <c:v>13.11</c:v>
                </c:pt>
                <c:pt idx="24">
                  <c:v>12.33</c:v>
                </c:pt>
                <c:pt idx="25">
                  <c:v>12.22</c:v>
                </c:pt>
                <c:pt idx="26">
                  <c:v>13.84</c:v>
                </c:pt>
                <c:pt idx="27">
                  <c:v>37.049999999999997</c:v>
                </c:pt>
                <c:pt idx="28">
                  <c:v>10.94</c:v>
                </c:pt>
                <c:pt idx="29">
                  <c:v>13.51</c:v>
                </c:pt>
                <c:pt idx="30">
                  <c:v>11.99</c:v>
                </c:pt>
                <c:pt idx="31">
                  <c:v>11.47</c:v>
                </c:pt>
                <c:pt idx="32">
                  <c:v>10.52</c:v>
                </c:pt>
                <c:pt idx="33">
                  <c:v>20.12</c:v>
                </c:pt>
                <c:pt idx="34">
                  <c:v>11.9</c:v>
                </c:pt>
                <c:pt idx="35">
                  <c:v>12.48</c:v>
                </c:pt>
                <c:pt idx="36">
                  <c:v>5.48</c:v>
                </c:pt>
                <c:pt idx="37">
                  <c:v>-16.07</c:v>
                </c:pt>
                <c:pt idx="38">
                  <c:v>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A3-4941-BA75-2086AEBF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3088"/>
        <c:axId val="142951552"/>
      </c:lineChart>
      <c:catAx>
        <c:axId val="142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941568"/>
        <c:crosses val="autoZero"/>
        <c:auto val="1"/>
        <c:lblAlgn val="ctr"/>
        <c:lblOffset val="100"/>
        <c:tickMarkSkip val="1"/>
        <c:noMultiLvlLbl val="0"/>
      </c:catAx>
      <c:valAx>
        <c:axId val="14294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40032"/>
        <c:crosses val="autoZero"/>
        <c:crossBetween val="between"/>
      </c:valAx>
      <c:valAx>
        <c:axId val="142951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2953088"/>
        <c:crosses val="max"/>
        <c:crossBetween val="between"/>
      </c:valAx>
      <c:catAx>
        <c:axId val="14295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5155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'30'!$B$2:$B$40</c:f>
              <c:numCache>
                <c:formatCode>General</c:formatCode>
                <c:ptCount val="39"/>
                <c:pt idx="0">
                  <c:v>31.39</c:v>
                </c:pt>
                <c:pt idx="1">
                  <c:v>27.19</c:v>
                </c:pt>
                <c:pt idx="2">
                  <c:v>17.98</c:v>
                </c:pt>
                <c:pt idx="3">
                  <c:v>22.06</c:v>
                </c:pt>
                <c:pt idx="4">
                  <c:v>20.03</c:v>
                </c:pt>
                <c:pt idx="5">
                  <c:v>23.37</c:v>
                </c:pt>
                <c:pt idx="6">
                  <c:v>27.42</c:v>
                </c:pt>
                <c:pt idx="7">
                  <c:v>27.84</c:v>
                </c:pt>
                <c:pt idx="8">
                  <c:v>29.31</c:v>
                </c:pt>
                <c:pt idx="9">
                  <c:v>30.72</c:v>
                </c:pt>
                <c:pt idx="10">
                  <c:v>34.5</c:v>
                </c:pt>
                <c:pt idx="11">
                  <c:v>34.28</c:v>
                </c:pt>
                <c:pt idx="12">
                  <c:v>33.79</c:v>
                </c:pt>
                <c:pt idx="13">
                  <c:v>37.090000000000003</c:v>
                </c:pt>
                <c:pt idx="14">
                  <c:v>37.270000000000003</c:v>
                </c:pt>
                <c:pt idx="15">
                  <c:v>30.81</c:v>
                </c:pt>
                <c:pt idx="16">
                  <c:v>31.85</c:v>
                </c:pt>
                <c:pt idx="17">
                  <c:v>31.38</c:v>
                </c:pt>
                <c:pt idx="18">
                  <c:v>32.94</c:v>
                </c:pt>
                <c:pt idx="19">
                  <c:v>30.01</c:v>
                </c:pt>
                <c:pt idx="20">
                  <c:v>34.46</c:v>
                </c:pt>
                <c:pt idx="21">
                  <c:v>31.41</c:v>
                </c:pt>
                <c:pt idx="22">
                  <c:v>38.74</c:v>
                </c:pt>
                <c:pt idx="23">
                  <c:v>36.56</c:v>
                </c:pt>
                <c:pt idx="24">
                  <c:v>32.83</c:v>
                </c:pt>
                <c:pt idx="25">
                  <c:v>38.72</c:v>
                </c:pt>
                <c:pt idx="26">
                  <c:v>39.89</c:v>
                </c:pt>
                <c:pt idx="27">
                  <c:v>41.11</c:v>
                </c:pt>
                <c:pt idx="28">
                  <c:v>41.64</c:v>
                </c:pt>
                <c:pt idx="29">
                  <c:v>39.42</c:v>
                </c:pt>
                <c:pt idx="30">
                  <c:v>37.409999999999997</c:v>
                </c:pt>
                <c:pt idx="31">
                  <c:v>37.83</c:v>
                </c:pt>
                <c:pt idx="32">
                  <c:v>38.86</c:v>
                </c:pt>
                <c:pt idx="33">
                  <c:v>40.67</c:v>
                </c:pt>
                <c:pt idx="34">
                  <c:v>45.47</c:v>
                </c:pt>
                <c:pt idx="35">
                  <c:v>43.44</c:v>
                </c:pt>
                <c:pt idx="36">
                  <c:v>34.630000000000003</c:v>
                </c:pt>
                <c:pt idx="37">
                  <c:v>41.71</c:v>
                </c:pt>
                <c:pt idx="38">
                  <c:v>44.88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5-6649-A95D-8D1CBBABB1D6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'30'!$C$2:$C$40</c:f>
              <c:numCache>
                <c:formatCode>General</c:formatCode>
                <c:ptCount val="39"/>
                <c:pt idx="0">
                  <c:v>31.41</c:v>
                </c:pt>
                <c:pt idx="1">
                  <c:v>27.38</c:v>
                </c:pt>
                <c:pt idx="2">
                  <c:v>19.559999999999999</c:v>
                </c:pt>
                <c:pt idx="3">
                  <c:v>24.41</c:v>
                </c:pt>
                <c:pt idx="4">
                  <c:v>22.495999999999999</c:v>
                </c:pt>
                <c:pt idx="5">
                  <c:v>25.73</c:v>
                </c:pt>
                <c:pt idx="6">
                  <c:v>28.48</c:v>
                </c:pt>
                <c:pt idx="7">
                  <c:v>28.31</c:v>
                </c:pt>
                <c:pt idx="8">
                  <c:v>30.31</c:v>
                </c:pt>
                <c:pt idx="9">
                  <c:v>32.840000000000003</c:v>
                </c:pt>
                <c:pt idx="10">
                  <c:v>35.58</c:v>
                </c:pt>
                <c:pt idx="11">
                  <c:v>35.44</c:v>
                </c:pt>
                <c:pt idx="12">
                  <c:v>36.869999999999997</c:v>
                </c:pt>
                <c:pt idx="13">
                  <c:v>38.71</c:v>
                </c:pt>
                <c:pt idx="14">
                  <c:v>38.08</c:v>
                </c:pt>
                <c:pt idx="15">
                  <c:v>32.840000000000003</c:v>
                </c:pt>
                <c:pt idx="16">
                  <c:v>35.130000000000003</c:v>
                </c:pt>
                <c:pt idx="17">
                  <c:v>33.03</c:v>
                </c:pt>
                <c:pt idx="18">
                  <c:v>33.770000000000003</c:v>
                </c:pt>
                <c:pt idx="19">
                  <c:v>32.9</c:v>
                </c:pt>
                <c:pt idx="20">
                  <c:v>35.43</c:v>
                </c:pt>
                <c:pt idx="21">
                  <c:v>33.119999999999997</c:v>
                </c:pt>
                <c:pt idx="22">
                  <c:v>39.630000000000003</c:v>
                </c:pt>
                <c:pt idx="23">
                  <c:v>37.43</c:v>
                </c:pt>
                <c:pt idx="24">
                  <c:v>35.905000000000001</c:v>
                </c:pt>
                <c:pt idx="25">
                  <c:v>40.04</c:v>
                </c:pt>
                <c:pt idx="26">
                  <c:v>41.4</c:v>
                </c:pt>
                <c:pt idx="27">
                  <c:v>43.2</c:v>
                </c:pt>
                <c:pt idx="28">
                  <c:v>42.75</c:v>
                </c:pt>
                <c:pt idx="29">
                  <c:v>40.89</c:v>
                </c:pt>
                <c:pt idx="30">
                  <c:v>37.43</c:v>
                </c:pt>
                <c:pt idx="31">
                  <c:v>39.340000000000003</c:v>
                </c:pt>
                <c:pt idx="32">
                  <c:v>41.58</c:v>
                </c:pt>
                <c:pt idx="33">
                  <c:v>45.02</c:v>
                </c:pt>
                <c:pt idx="34">
                  <c:v>45.9</c:v>
                </c:pt>
                <c:pt idx="35">
                  <c:v>44.71</c:v>
                </c:pt>
                <c:pt idx="36">
                  <c:v>39.81</c:v>
                </c:pt>
                <c:pt idx="37">
                  <c:v>42.89</c:v>
                </c:pt>
                <c:pt idx="38">
                  <c:v>45.38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6649-A95D-8D1CBBABB1D6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'30'!$D$2:$D$40</c:f>
              <c:numCache>
                <c:formatCode>General</c:formatCode>
                <c:ptCount val="39"/>
                <c:pt idx="0">
                  <c:v>28.251000000000001</c:v>
                </c:pt>
                <c:pt idx="1">
                  <c:v>22.62</c:v>
                </c:pt>
                <c:pt idx="2">
                  <c:v>17.59</c:v>
                </c:pt>
                <c:pt idx="3">
                  <c:v>20.4801</c:v>
                </c:pt>
                <c:pt idx="4">
                  <c:v>18.940000000000001</c:v>
                </c:pt>
                <c:pt idx="5">
                  <c:v>22.4922</c:v>
                </c:pt>
                <c:pt idx="6">
                  <c:v>26.03</c:v>
                </c:pt>
                <c:pt idx="7">
                  <c:v>26.65</c:v>
                </c:pt>
                <c:pt idx="8">
                  <c:v>28.1</c:v>
                </c:pt>
                <c:pt idx="9">
                  <c:v>30.46</c:v>
                </c:pt>
                <c:pt idx="10">
                  <c:v>33.46</c:v>
                </c:pt>
                <c:pt idx="11">
                  <c:v>33.799999999999997</c:v>
                </c:pt>
                <c:pt idx="12">
                  <c:v>33.67</c:v>
                </c:pt>
                <c:pt idx="13">
                  <c:v>36.130099999999999</c:v>
                </c:pt>
                <c:pt idx="14">
                  <c:v>34.69</c:v>
                </c:pt>
                <c:pt idx="15">
                  <c:v>30.309799999999999</c:v>
                </c:pt>
                <c:pt idx="16">
                  <c:v>31.43</c:v>
                </c:pt>
                <c:pt idx="17">
                  <c:v>30.57</c:v>
                </c:pt>
                <c:pt idx="18">
                  <c:v>30.59</c:v>
                </c:pt>
                <c:pt idx="19">
                  <c:v>29.79</c:v>
                </c:pt>
                <c:pt idx="20">
                  <c:v>30.79</c:v>
                </c:pt>
                <c:pt idx="21">
                  <c:v>30.38</c:v>
                </c:pt>
                <c:pt idx="22">
                  <c:v>37.781599999999997</c:v>
                </c:pt>
                <c:pt idx="23">
                  <c:v>35.03</c:v>
                </c:pt>
                <c:pt idx="24">
                  <c:v>32.369999999999997</c:v>
                </c:pt>
                <c:pt idx="25">
                  <c:v>37.97</c:v>
                </c:pt>
                <c:pt idx="26">
                  <c:v>39.82</c:v>
                </c:pt>
                <c:pt idx="27">
                  <c:v>40.200000000000003</c:v>
                </c:pt>
                <c:pt idx="28">
                  <c:v>39.08</c:v>
                </c:pt>
                <c:pt idx="29">
                  <c:v>38.25</c:v>
                </c:pt>
                <c:pt idx="30">
                  <c:v>31.49</c:v>
                </c:pt>
                <c:pt idx="31">
                  <c:v>37.25</c:v>
                </c:pt>
                <c:pt idx="32">
                  <c:v>38.75</c:v>
                </c:pt>
                <c:pt idx="33">
                  <c:v>40.49</c:v>
                </c:pt>
                <c:pt idx="34">
                  <c:v>43.92</c:v>
                </c:pt>
                <c:pt idx="35">
                  <c:v>24.37</c:v>
                </c:pt>
                <c:pt idx="36">
                  <c:v>34.524900000000002</c:v>
                </c:pt>
                <c:pt idx="37">
                  <c:v>39.270000000000003</c:v>
                </c:pt>
                <c:pt idx="38">
                  <c:v>42.503999999999998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6649-A95D-8D1CBBABB1D6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'30'!$E$2:$E$40</c:f>
              <c:numCache>
                <c:formatCode>General</c:formatCode>
                <c:ptCount val="39"/>
                <c:pt idx="0">
                  <c:v>30.08</c:v>
                </c:pt>
                <c:pt idx="1">
                  <c:v>23.79</c:v>
                </c:pt>
                <c:pt idx="2">
                  <c:v>18.52</c:v>
                </c:pt>
                <c:pt idx="3">
                  <c:v>23.69</c:v>
                </c:pt>
                <c:pt idx="4">
                  <c:v>21.76</c:v>
                </c:pt>
                <c:pt idx="5">
                  <c:v>23.23</c:v>
                </c:pt>
                <c:pt idx="6">
                  <c:v>26.53</c:v>
                </c:pt>
                <c:pt idx="7">
                  <c:v>27.29</c:v>
                </c:pt>
                <c:pt idx="8">
                  <c:v>29.62</c:v>
                </c:pt>
                <c:pt idx="9">
                  <c:v>31.97</c:v>
                </c:pt>
                <c:pt idx="10">
                  <c:v>35.33</c:v>
                </c:pt>
                <c:pt idx="11">
                  <c:v>34.630000000000003</c:v>
                </c:pt>
                <c:pt idx="12">
                  <c:v>36.71</c:v>
                </c:pt>
                <c:pt idx="13">
                  <c:v>36.270000000000003</c:v>
                </c:pt>
                <c:pt idx="14">
                  <c:v>36.06</c:v>
                </c:pt>
                <c:pt idx="15">
                  <c:v>30.82</c:v>
                </c:pt>
                <c:pt idx="16">
                  <c:v>33.4</c:v>
                </c:pt>
                <c:pt idx="17">
                  <c:v>32.26</c:v>
                </c:pt>
                <c:pt idx="18">
                  <c:v>31.2</c:v>
                </c:pt>
                <c:pt idx="19">
                  <c:v>32.270000000000003</c:v>
                </c:pt>
                <c:pt idx="20">
                  <c:v>32.83</c:v>
                </c:pt>
                <c:pt idx="21">
                  <c:v>32.54</c:v>
                </c:pt>
                <c:pt idx="22">
                  <c:v>38.409999999999997</c:v>
                </c:pt>
                <c:pt idx="23">
                  <c:v>36.549999999999997</c:v>
                </c:pt>
                <c:pt idx="24">
                  <c:v>35.75</c:v>
                </c:pt>
                <c:pt idx="25">
                  <c:v>39.82</c:v>
                </c:pt>
                <c:pt idx="26">
                  <c:v>41.26</c:v>
                </c:pt>
                <c:pt idx="27">
                  <c:v>41.12</c:v>
                </c:pt>
                <c:pt idx="28">
                  <c:v>40.14</c:v>
                </c:pt>
                <c:pt idx="29">
                  <c:v>39.76</c:v>
                </c:pt>
                <c:pt idx="30">
                  <c:v>33.19</c:v>
                </c:pt>
                <c:pt idx="31">
                  <c:v>38.409999999999997</c:v>
                </c:pt>
                <c:pt idx="32">
                  <c:v>41.36</c:v>
                </c:pt>
                <c:pt idx="33">
                  <c:v>44.81</c:v>
                </c:pt>
                <c:pt idx="34">
                  <c:v>45.57</c:v>
                </c:pt>
                <c:pt idx="35">
                  <c:v>32.090000000000003</c:v>
                </c:pt>
                <c:pt idx="36">
                  <c:v>36.75</c:v>
                </c:pt>
                <c:pt idx="37">
                  <c:v>40.729999999999997</c:v>
                </c:pt>
                <c:pt idx="38">
                  <c:v>44.46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5-6649-A95D-8D1CBBABB1D6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'30'!$F$2:$F$40</c:f>
              <c:numCache>
                <c:formatCode>General</c:formatCode>
                <c:ptCount val="39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0.38</c:v>
                </c:pt>
                <c:pt idx="17">
                  <c:v>0.38</c:v>
                </c:pt>
                <c:pt idx="18">
                  <c:v>0.39</c:v>
                </c:pt>
                <c:pt idx="19">
                  <c:v>0.39</c:v>
                </c:pt>
                <c:pt idx="20">
                  <c:v>0.41</c:v>
                </c:pt>
                <c:pt idx="21">
                  <c:v>0.41</c:v>
                </c:pt>
                <c:pt idx="22">
                  <c:v>0.42</c:v>
                </c:pt>
                <c:pt idx="23">
                  <c:v>0.42</c:v>
                </c:pt>
                <c:pt idx="24">
                  <c:v>0.44</c:v>
                </c:pt>
                <c:pt idx="25">
                  <c:v>0.44</c:v>
                </c:pt>
                <c:pt idx="26">
                  <c:v>0.46</c:v>
                </c:pt>
                <c:pt idx="27">
                  <c:v>0.46</c:v>
                </c:pt>
                <c:pt idx="28">
                  <c:v>0.48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0.53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5-6649-A95D-8D1CBBABB1D6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'30'!$G$2:$G$40</c:f>
              <c:numCache>
                <c:formatCode>General</c:formatCode>
                <c:ptCount val="39"/>
                <c:pt idx="0">
                  <c:v>5157</c:v>
                </c:pt>
                <c:pt idx="1">
                  <c:v>7506</c:v>
                </c:pt>
                <c:pt idx="2">
                  <c:v>5715</c:v>
                </c:pt>
                <c:pt idx="3">
                  <c:v>3140</c:v>
                </c:pt>
                <c:pt idx="4">
                  <c:v>6050</c:v>
                </c:pt>
                <c:pt idx="5">
                  <c:v>5236</c:v>
                </c:pt>
                <c:pt idx="6">
                  <c:v>3133</c:v>
                </c:pt>
                <c:pt idx="7">
                  <c:v>3790</c:v>
                </c:pt>
                <c:pt idx="8">
                  <c:v>1218</c:v>
                </c:pt>
                <c:pt idx="9">
                  <c:v>4156</c:v>
                </c:pt>
                <c:pt idx="10">
                  <c:v>4710</c:v>
                </c:pt>
                <c:pt idx="11">
                  <c:v>6460</c:v>
                </c:pt>
                <c:pt idx="12">
                  <c:v>6315</c:v>
                </c:pt>
                <c:pt idx="13">
                  <c:v>5614</c:v>
                </c:pt>
                <c:pt idx="14">
                  <c:v>7375</c:v>
                </c:pt>
                <c:pt idx="15">
                  <c:v>7332</c:v>
                </c:pt>
                <c:pt idx="16">
                  <c:v>1682</c:v>
                </c:pt>
                <c:pt idx="17">
                  <c:v>4693</c:v>
                </c:pt>
                <c:pt idx="18">
                  <c:v>5567</c:v>
                </c:pt>
                <c:pt idx="19">
                  <c:v>8782</c:v>
                </c:pt>
                <c:pt idx="20">
                  <c:v>9533</c:v>
                </c:pt>
                <c:pt idx="21">
                  <c:v>7892</c:v>
                </c:pt>
                <c:pt idx="22">
                  <c:v>2366</c:v>
                </c:pt>
                <c:pt idx="23">
                  <c:v>7009</c:v>
                </c:pt>
                <c:pt idx="24">
                  <c:v>8122</c:v>
                </c:pt>
                <c:pt idx="25">
                  <c:v>5555</c:v>
                </c:pt>
                <c:pt idx="26">
                  <c:v>8648</c:v>
                </c:pt>
                <c:pt idx="27">
                  <c:v>5993</c:v>
                </c:pt>
                <c:pt idx="28">
                  <c:v>6826</c:v>
                </c:pt>
                <c:pt idx="29">
                  <c:v>5998</c:v>
                </c:pt>
                <c:pt idx="30">
                  <c:v>8180</c:v>
                </c:pt>
                <c:pt idx="31">
                  <c:v>11392</c:v>
                </c:pt>
                <c:pt idx="32">
                  <c:v>10146</c:v>
                </c:pt>
                <c:pt idx="33">
                  <c:v>9616</c:v>
                </c:pt>
                <c:pt idx="34">
                  <c:v>8525</c:v>
                </c:pt>
                <c:pt idx="35">
                  <c:v>6487</c:v>
                </c:pt>
                <c:pt idx="36">
                  <c:v>15203</c:v>
                </c:pt>
                <c:pt idx="37">
                  <c:v>10049</c:v>
                </c:pt>
                <c:pt idx="38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5-6649-A95D-8D1CBBABB1D6}"/>
            </c:ext>
          </c:extLst>
        </c:ser>
        <c:ser>
          <c:idx val="6"/>
          <c:order val="6"/>
          <c:tx>
            <c:strRef>
              <c:f>'30'!$H$1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'30'!$H$2:$H$40</c:f>
              <c:numCache>
                <c:formatCode>General</c:formatCode>
                <c:ptCount val="39"/>
                <c:pt idx="0">
                  <c:v>432</c:v>
                </c:pt>
                <c:pt idx="1">
                  <c:v>-596</c:v>
                </c:pt>
                <c:pt idx="2">
                  <c:v>-491</c:v>
                </c:pt>
                <c:pt idx="3">
                  <c:v>717</c:v>
                </c:pt>
                <c:pt idx="4">
                  <c:v>81</c:v>
                </c:pt>
                <c:pt idx="5">
                  <c:v>412</c:v>
                </c:pt>
                <c:pt idx="6">
                  <c:v>471</c:v>
                </c:pt>
                <c:pt idx="7">
                  <c:v>536</c:v>
                </c:pt>
                <c:pt idx="8">
                  <c:v>428</c:v>
                </c:pt>
                <c:pt idx="9">
                  <c:v>-488</c:v>
                </c:pt>
                <c:pt idx="10">
                  <c:v>579</c:v>
                </c:pt>
                <c:pt idx="11">
                  <c:v>433</c:v>
                </c:pt>
                <c:pt idx="12">
                  <c:v>455</c:v>
                </c:pt>
                <c:pt idx="13">
                  <c:v>460</c:v>
                </c:pt>
                <c:pt idx="14">
                  <c:v>534</c:v>
                </c:pt>
                <c:pt idx="15">
                  <c:v>462</c:v>
                </c:pt>
                <c:pt idx="16">
                  <c:v>750</c:v>
                </c:pt>
                <c:pt idx="17">
                  <c:v>527</c:v>
                </c:pt>
                <c:pt idx="18">
                  <c:v>561</c:v>
                </c:pt>
                <c:pt idx="19">
                  <c:v>570</c:v>
                </c:pt>
                <c:pt idx="20">
                  <c:v>511</c:v>
                </c:pt>
                <c:pt idx="21">
                  <c:v>917</c:v>
                </c:pt>
                <c:pt idx="22">
                  <c:v>828</c:v>
                </c:pt>
                <c:pt idx="23">
                  <c:v>749</c:v>
                </c:pt>
                <c:pt idx="24">
                  <c:v>642</c:v>
                </c:pt>
                <c:pt idx="25">
                  <c:v>850</c:v>
                </c:pt>
                <c:pt idx="26">
                  <c:v>246</c:v>
                </c:pt>
                <c:pt idx="27">
                  <c:v>605</c:v>
                </c:pt>
                <c:pt idx="28">
                  <c:v>770</c:v>
                </c:pt>
                <c:pt idx="29">
                  <c:v>877</c:v>
                </c:pt>
                <c:pt idx="30">
                  <c:v>662</c:v>
                </c:pt>
                <c:pt idx="31">
                  <c:v>714</c:v>
                </c:pt>
                <c:pt idx="32">
                  <c:v>664</c:v>
                </c:pt>
                <c:pt idx="33">
                  <c:v>756</c:v>
                </c:pt>
                <c:pt idx="34">
                  <c:v>809</c:v>
                </c:pt>
                <c:pt idx="35">
                  <c:v>380</c:v>
                </c:pt>
                <c:pt idx="36">
                  <c:v>648</c:v>
                </c:pt>
                <c:pt idx="37">
                  <c:v>889</c:v>
                </c:pt>
                <c:pt idx="38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5-6649-A95D-8D1CBBABB1D6}"/>
            </c:ext>
          </c:extLst>
        </c:ser>
        <c:ser>
          <c:idx val="8"/>
          <c:order val="8"/>
          <c:tx>
            <c:strRef>
              <c:f>'30'!$J$1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'30'!$J$2:$J$40</c:f>
              <c:numCache>
                <c:formatCode>General</c:formatCode>
                <c:ptCount val="39"/>
                <c:pt idx="0">
                  <c:v>43.24</c:v>
                </c:pt>
                <c:pt idx="1">
                  <c:v>90.57</c:v>
                </c:pt>
                <c:pt idx="2">
                  <c:v>90.57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63.3</c:v>
                </c:pt>
                <c:pt idx="7">
                  <c:v>63.3</c:v>
                </c:pt>
                <c:pt idx="8">
                  <c:v>63.38</c:v>
                </c:pt>
                <c:pt idx="9">
                  <c:v>57.51</c:v>
                </c:pt>
                <c:pt idx="10">
                  <c:v>62.55</c:v>
                </c:pt>
                <c:pt idx="11">
                  <c:v>51.83</c:v>
                </c:pt>
                <c:pt idx="12">
                  <c:v>52.3</c:v>
                </c:pt>
                <c:pt idx="13">
                  <c:v>51.38</c:v>
                </c:pt>
                <c:pt idx="14">
                  <c:v>48.34</c:v>
                </c:pt>
                <c:pt idx="15">
                  <c:v>50.3</c:v>
                </c:pt>
                <c:pt idx="16">
                  <c:v>49.1</c:v>
                </c:pt>
                <c:pt idx="17">
                  <c:v>42.66</c:v>
                </c:pt>
                <c:pt idx="18">
                  <c:v>42.37</c:v>
                </c:pt>
                <c:pt idx="19">
                  <c:v>42.54</c:v>
                </c:pt>
                <c:pt idx="20">
                  <c:v>41.51</c:v>
                </c:pt>
                <c:pt idx="21">
                  <c:v>47.28</c:v>
                </c:pt>
                <c:pt idx="22">
                  <c:v>42.74</c:v>
                </c:pt>
                <c:pt idx="23">
                  <c:v>40.200000000000003</c:v>
                </c:pt>
                <c:pt idx="24">
                  <c:v>40.840000000000003</c:v>
                </c:pt>
                <c:pt idx="25">
                  <c:v>40</c:v>
                </c:pt>
                <c:pt idx="26">
                  <c:v>39.4</c:v>
                </c:pt>
                <c:pt idx="27">
                  <c:v>50</c:v>
                </c:pt>
                <c:pt idx="28">
                  <c:v>48.24</c:v>
                </c:pt>
                <c:pt idx="29">
                  <c:v>46.55</c:v>
                </c:pt>
                <c:pt idx="30">
                  <c:v>52.99</c:v>
                </c:pt>
                <c:pt idx="31">
                  <c:v>46.01</c:v>
                </c:pt>
                <c:pt idx="32">
                  <c:v>47.68</c:v>
                </c:pt>
                <c:pt idx="33">
                  <c:v>50.89</c:v>
                </c:pt>
                <c:pt idx="34">
                  <c:v>49.4</c:v>
                </c:pt>
                <c:pt idx="35">
                  <c:v>47.73</c:v>
                </c:pt>
                <c:pt idx="36">
                  <c:v>53.35</c:v>
                </c:pt>
                <c:pt idx="37">
                  <c:v>55.63</c:v>
                </c:pt>
                <c:pt idx="38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C5-6649-A95D-8D1CBBABB1D6}"/>
            </c:ext>
          </c:extLst>
        </c:ser>
        <c:ser>
          <c:idx val="9"/>
          <c:order val="9"/>
          <c:tx>
            <c:strRef>
              <c:f>'30'!$K$1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'30'!$K$2:$K$40</c:f>
              <c:numCache>
                <c:formatCode>General</c:formatCode>
                <c:ptCount val="39"/>
                <c:pt idx="0">
                  <c:v>2081</c:v>
                </c:pt>
                <c:pt idx="1">
                  <c:v>-428</c:v>
                </c:pt>
                <c:pt idx="2">
                  <c:v>529</c:v>
                </c:pt>
                <c:pt idx="3">
                  <c:v>-752</c:v>
                </c:pt>
                <c:pt idx="4">
                  <c:v>1664</c:v>
                </c:pt>
                <c:pt idx="5">
                  <c:v>-480</c:v>
                </c:pt>
                <c:pt idx="6">
                  <c:v>310</c:v>
                </c:pt>
                <c:pt idx="7">
                  <c:v>972</c:v>
                </c:pt>
                <c:pt idx="8">
                  <c:v>-847</c:v>
                </c:pt>
                <c:pt idx="9">
                  <c:v>615</c:v>
                </c:pt>
                <c:pt idx="10">
                  <c:v>-113</c:v>
                </c:pt>
                <c:pt idx="11">
                  <c:v>167</c:v>
                </c:pt>
                <c:pt idx="12">
                  <c:v>743</c:v>
                </c:pt>
                <c:pt idx="13">
                  <c:v>958</c:v>
                </c:pt>
                <c:pt idx="14">
                  <c:v>-64</c:v>
                </c:pt>
                <c:pt idx="15">
                  <c:v>890</c:v>
                </c:pt>
                <c:pt idx="16">
                  <c:v>570</c:v>
                </c:pt>
                <c:pt idx="17">
                  <c:v>1265</c:v>
                </c:pt>
                <c:pt idx="18">
                  <c:v>1736</c:v>
                </c:pt>
                <c:pt idx="19">
                  <c:v>321</c:v>
                </c:pt>
                <c:pt idx="20">
                  <c:v>1330</c:v>
                </c:pt>
                <c:pt idx="21">
                  <c:v>640</c:v>
                </c:pt>
                <c:pt idx="22">
                  <c:v>1377</c:v>
                </c:pt>
                <c:pt idx="23">
                  <c:v>-618</c:v>
                </c:pt>
                <c:pt idx="24">
                  <c:v>1322</c:v>
                </c:pt>
                <c:pt idx="25">
                  <c:v>630</c:v>
                </c:pt>
                <c:pt idx="26">
                  <c:v>650</c:v>
                </c:pt>
                <c:pt idx="27">
                  <c:v>430</c:v>
                </c:pt>
                <c:pt idx="28">
                  <c:v>403</c:v>
                </c:pt>
                <c:pt idx="29">
                  <c:v>1118</c:v>
                </c:pt>
                <c:pt idx="30">
                  <c:v>1883</c:v>
                </c:pt>
                <c:pt idx="31">
                  <c:v>-1227</c:v>
                </c:pt>
                <c:pt idx="32">
                  <c:v>1901</c:v>
                </c:pt>
                <c:pt idx="33">
                  <c:v>193</c:v>
                </c:pt>
                <c:pt idx="34">
                  <c:v>1680</c:v>
                </c:pt>
                <c:pt idx="35">
                  <c:v>83</c:v>
                </c:pt>
                <c:pt idx="36">
                  <c:v>3056</c:v>
                </c:pt>
                <c:pt idx="37">
                  <c:v>3155</c:v>
                </c:pt>
                <c:pt idx="38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17440"/>
        <c:axId val="83518976"/>
      </c:lineChart>
      <c:lineChart>
        <c:grouping val="standard"/>
        <c:varyColors val="0"/>
        <c:ser>
          <c:idx val="7"/>
          <c:order val="7"/>
          <c:tx>
            <c:strRef>
              <c:f>'30'!$I$1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'30'!$A$2:$A$40</c:f>
              <c:strCache>
                <c:ptCount val="39"/>
                <c:pt idx="0">
                  <c:v>2011/06/01</c:v>
                </c:pt>
                <c:pt idx="1">
                  <c:v>2011/09/01</c:v>
                </c:pt>
                <c:pt idx="2">
                  <c:v>2011/12/01</c:v>
                </c:pt>
                <c:pt idx="3">
                  <c:v>2012/03/01</c:v>
                </c:pt>
                <c:pt idx="4">
                  <c:v>2012/06/01</c:v>
                </c:pt>
                <c:pt idx="5">
                  <c:v>2012/09/04</c:v>
                </c:pt>
                <c:pt idx="6">
                  <c:v>2012/12/03</c:v>
                </c:pt>
                <c:pt idx="7">
                  <c:v>2013/03/01</c:v>
                </c:pt>
                <c:pt idx="8">
                  <c:v>2013/06/03</c:v>
                </c:pt>
                <c:pt idx="9">
                  <c:v>2013/09/03</c:v>
                </c:pt>
                <c:pt idx="10">
                  <c:v>2013/12/02</c:v>
                </c:pt>
                <c:pt idx="11">
                  <c:v>2014/03/03</c:v>
                </c:pt>
                <c:pt idx="12">
                  <c:v>2014/06/02</c:v>
                </c:pt>
                <c:pt idx="13">
                  <c:v>2014/09/02</c:v>
                </c:pt>
                <c:pt idx="14">
                  <c:v>2014/12/01</c:v>
                </c:pt>
                <c:pt idx="15">
                  <c:v>2015/03/02</c:v>
                </c:pt>
                <c:pt idx="16">
                  <c:v>2015/06/01</c:v>
                </c:pt>
                <c:pt idx="17">
                  <c:v>2015/09/01</c:v>
                </c:pt>
                <c:pt idx="18">
                  <c:v>2015/12/01</c:v>
                </c:pt>
                <c:pt idx="19">
                  <c:v>2016/03/01</c:v>
                </c:pt>
                <c:pt idx="20">
                  <c:v>2016/06/01</c:v>
                </c:pt>
                <c:pt idx="21">
                  <c:v>2016/09/01</c:v>
                </c:pt>
                <c:pt idx="22">
                  <c:v>2016/12/01</c:v>
                </c:pt>
                <c:pt idx="23">
                  <c:v>2017/03/01</c:v>
                </c:pt>
                <c:pt idx="24">
                  <c:v>2017/06/01</c:v>
                </c:pt>
                <c:pt idx="25">
                  <c:v>2017/09/01</c:v>
                </c:pt>
                <c:pt idx="26">
                  <c:v>2017/12/01</c:v>
                </c:pt>
                <c:pt idx="27">
                  <c:v>2018/03/01</c:v>
                </c:pt>
                <c:pt idx="28">
                  <c:v>2018/06/01</c:v>
                </c:pt>
                <c:pt idx="29">
                  <c:v>2018/09/04</c:v>
                </c:pt>
                <c:pt idx="30">
                  <c:v>2018/12/03</c:v>
                </c:pt>
                <c:pt idx="31">
                  <c:v>2019/03/01</c:v>
                </c:pt>
                <c:pt idx="32">
                  <c:v>2019/06/03</c:v>
                </c:pt>
                <c:pt idx="33">
                  <c:v>2019/09/03</c:v>
                </c:pt>
                <c:pt idx="34">
                  <c:v>2019/12/02</c:v>
                </c:pt>
                <c:pt idx="35">
                  <c:v>2020/03/02</c:v>
                </c:pt>
                <c:pt idx="36">
                  <c:v>2020/06/01</c:v>
                </c:pt>
                <c:pt idx="37">
                  <c:v>2020/09/01</c:v>
                </c:pt>
                <c:pt idx="38">
                  <c:v>2020/12/01</c:v>
                </c:pt>
              </c:strCache>
            </c:strRef>
          </c:cat>
          <c:val>
            <c:numRef>
              <c:f>'30'!$I$2:$I$40</c:f>
              <c:numCache>
                <c:formatCode>General</c:formatCode>
                <c:ptCount val="39"/>
                <c:pt idx="0">
                  <c:v>7.91</c:v>
                </c:pt>
                <c:pt idx="1">
                  <c:v>-8.27</c:v>
                </c:pt>
                <c:pt idx="2">
                  <c:v>-9.19</c:v>
                </c:pt>
                <c:pt idx="3">
                  <c:v>21.85</c:v>
                </c:pt>
                <c:pt idx="4">
                  <c:v>0.84</c:v>
                </c:pt>
                <c:pt idx="5">
                  <c:v>7.31</c:v>
                </c:pt>
                <c:pt idx="6">
                  <c:v>13.85</c:v>
                </c:pt>
                <c:pt idx="7">
                  <c:v>13.54</c:v>
                </c:pt>
                <c:pt idx="8">
                  <c:v>32.76</c:v>
                </c:pt>
                <c:pt idx="9">
                  <c:v>-12.51</c:v>
                </c:pt>
                <c:pt idx="10">
                  <c:v>11.68</c:v>
                </c:pt>
                <c:pt idx="11">
                  <c:v>6.19</c:v>
                </c:pt>
                <c:pt idx="12">
                  <c:v>6.73</c:v>
                </c:pt>
                <c:pt idx="13">
                  <c:v>7.75</c:v>
                </c:pt>
                <c:pt idx="14">
                  <c:v>6.81</c:v>
                </c:pt>
                <c:pt idx="15">
                  <c:v>6.01</c:v>
                </c:pt>
                <c:pt idx="16">
                  <c:v>43.16</c:v>
                </c:pt>
                <c:pt idx="17">
                  <c:v>10.27</c:v>
                </c:pt>
                <c:pt idx="18">
                  <c:v>9.6300000000000008</c:v>
                </c:pt>
                <c:pt idx="19">
                  <c:v>6.15</c:v>
                </c:pt>
                <c:pt idx="20">
                  <c:v>5.04</c:v>
                </c:pt>
                <c:pt idx="21">
                  <c:v>9.34</c:v>
                </c:pt>
                <c:pt idx="22">
                  <c:v>30.77</c:v>
                </c:pt>
                <c:pt idx="23">
                  <c:v>7.86</c:v>
                </c:pt>
                <c:pt idx="24">
                  <c:v>7.07</c:v>
                </c:pt>
                <c:pt idx="25">
                  <c:v>14.71</c:v>
                </c:pt>
                <c:pt idx="26">
                  <c:v>2.39</c:v>
                </c:pt>
                <c:pt idx="27">
                  <c:v>11.16</c:v>
                </c:pt>
                <c:pt idx="28">
                  <c:v>10.34</c:v>
                </c:pt>
                <c:pt idx="29">
                  <c:v>9.4499999999999993</c:v>
                </c:pt>
                <c:pt idx="30">
                  <c:v>7.09</c:v>
                </c:pt>
                <c:pt idx="31">
                  <c:v>5.47</c:v>
                </c:pt>
                <c:pt idx="32">
                  <c:v>5.86</c:v>
                </c:pt>
                <c:pt idx="33">
                  <c:v>7.08</c:v>
                </c:pt>
                <c:pt idx="34">
                  <c:v>8.43</c:v>
                </c:pt>
                <c:pt idx="35">
                  <c:v>6.03</c:v>
                </c:pt>
                <c:pt idx="36">
                  <c:v>3.41</c:v>
                </c:pt>
                <c:pt idx="37">
                  <c:v>7.46</c:v>
                </c:pt>
                <c:pt idx="38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5-6649-A95D-8D1CBBAB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22304"/>
        <c:axId val="83520512"/>
      </c:lineChart>
      <c:catAx>
        <c:axId val="8351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18976"/>
        <c:crosses val="autoZero"/>
        <c:auto val="1"/>
        <c:lblAlgn val="ctr"/>
        <c:lblOffset val="100"/>
        <c:tickMarkSkip val="1"/>
        <c:noMultiLvlLbl val="0"/>
      </c:catAx>
      <c:valAx>
        <c:axId val="835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17440"/>
        <c:crosses val="autoZero"/>
        <c:crossBetween val="between"/>
      </c:valAx>
      <c:valAx>
        <c:axId val="8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522304"/>
        <c:crosses val="max"/>
        <c:crossBetween val="between"/>
      </c:valAx>
      <c:catAx>
        <c:axId val="8352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20512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'31'!$B$1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diamond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'31'!$B$2:$B$60</c:f>
              <c:numCache>
                <c:formatCode>General</c:formatCode>
                <c:ptCount val="59"/>
                <c:pt idx="0">
                  <c:v>28.626799999999999</c:v>
                </c:pt>
                <c:pt idx="1">
                  <c:v>27.560099999999998</c:v>
                </c:pt>
                <c:pt idx="2">
                  <c:v>26.13</c:v>
                </c:pt>
                <c:pt idx="3">
                  <c:v>26.13</c:v>
                </c:pt>
                <c:pt idx="4">
                  <c:v>30.48</c:v>
                </c:pt>
                <c:pt idx="5">
                  <c:v>37.020000000000003</c:v>
                </c:pt>
                <c:pt idx="6">
                  <c:v>26.44</c:v>
                </c:pt>
                <c:pt idx="7">
                  <c:v>26.55</c:v>
                </c:pt>
                <c:pt idx="8">
                  <c:v>24.41</c:v>
                </c:pt>
                <c:pt idx="9">
                  <c:v>24.73</c:v>
                </c:pt>
                <c:pt idx="10">
                  <c:v>22.17</c:v>
                </c:pt>
                <c:pt idx="11">
                  <c:v>28.75</c:v>
                </c:pt>
                <c:pt idx="12">
                  <c:v>26.66</c:v>
                </c:pt>
                <c:pt idx="13">
                  <c:v>22.76</c:v>
                </c:pt>
                <c:pt idx="14">
                  <c:v>27.4</c:v>
                </c:pt>
                <c:pt idx="15">
                  <c:v>22.46</c:v>
                </c:pt>
                <c:pt idx="16">
                  <c:v>22.34</c:v>
                </c:pt>
                <c:pt idx="17">
                  <c:v>25.01</c:v>
                </c:pt>
                <c:pt idx="18">
                  <c:v>31.23</c:v>
                </c:pt>
                <c:pt idx="19">
                  <c:v>34.090000000000003</c:v>
                </c:pt>
                <c:pt idx="20">
                  <c:v>31.62</c:v>
                </c:pt>
                <c:pt idx="21">
                  <c:v>30.8</c:v>
                </c:pt>
                <c:pt idx="22">
                  <c:v>28.8</c:v>
                </c:pt>
                <c:pt idx="23">
                  <c:v>32.96</c:v>
                </c:pt>
                <c:pt idx="24">
                  <c:v>34.11</c:v>
                </c:pt>
                <c:pt idx="25">
                  <c:v>31.05</c:v>
                </c:pt>
                <c:pt idx="26">
                  <c:v>36.31</c:v>
                </c:pt>
                <c:pt idx="27">
                  <c:v>26.61</c:v>
                </c:pt>
                <c:pt idx="28">
                  <c:v>27.02</c:v>
                </c:pt>
                <c:pt idx="29">
                  <c:v>30.35</c:v>
                </c:pt>
                <c:pt idx="30">
                  <c:v>27.57</c:v>
                </c:pt>
                <c:pt idx="31">
                  <c:v>35.450000000000003</c:v>
                </c:pt>
                <c:pt idx="32">
                  <c:v>32.65</c:v>
                </c:pt>
                <c:pt idx="33">
                  <c:v>38.659999999999997</c:v>
                </c:pt>
                <c:pt idx="34">
                  <c:v>36.479999999999997</c:v>
                </c:pt>
                <c:pt idx="35">
                  <c:v>31</c:v>
                </c:pt>
                <c:pt idx="36">
                  <c:v>31.02</c:v>
                </c:pt>
                <c:pt idx="37">
                  <c:v>27.01</c:v>
                </c:pt>
                <c:pt idx="38">
                  <c:v>33.909999999999997</c:v>
                </c:pt>
                <c:pt idx="39">
                  <c:v>39.83</c:v>
                </c:pt>
                <c:pt idx="40">
                  <c:v>37.53</c:v>
                </c:pt>
                <c:pt idx="41">
                  <c:v>32.479999999999997</c:v>
                </c:pt>
                <c:pt idx="42">
                  <c:v>35.67</c:v>
                </c:pt>
                <c:pt idx="43">
                  <c:v>34.36</c:v>
                </c:pt>
                <c:pt idx="44">
                  <c:v>38.9</c:v>
                </c:pt>
                <c:pt idx="45">
                  <c:v>37.729999999999997</c:v>
                </c:pt>
                <c:pt idx="46">
                  <c:v>32.86</c:v>
                </c:pt>
                <c:pt idx="47">
                  <c:v>35.01</c:v>
                </c:pt>
                <c:pt idx="48">
                  <c:v>34.520000000000003</c:v>
                </c:pt>
                <c:pt idx="49">
                  <c:v>32.409999999999997</c:v>
                </c:pt>
                <c:pt idx="50">
                  <c:v>35.46</c:v>
                </c:pt>
                <c:pt idx="51">
                  <c:v>31.3</c:v>
                </c:pt>
                <c:pt idx="52">
                  <c:v>32.39</c:v>
                </c:pt>
                <c:pt idx="53">
                  <c:v>31.87</c:v>
                </c:pt>
                <c:pt idx="54">
                  <c:v>23.8</c:v>
                </c:pt>
                <c:pt idx="55">
                  <c:v>26.1</c:v>
                </c:pt>
                <c:pt idx="56">
                  <c:v>26.79</c:v>
                </c:pt>
                <c:pt idx="57">
                  <c:v>29.48</c:v>
                </c:pt>
                <c:pt idx="58">
                  <c:v>37.01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5-1C4B-95E8-281B3773832B}"/>
            </c:ext>
          </c:extLst>
        </c:ser>
        <c:ser>
          <c:idx val="1"/>
          <c:order val="1"/>
          <c:tx>
            <c:strRef>
              <c:f>'31'!$C$1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squar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'31'!$C$2:$C$60</c:f>
              <c:numCache>
                <c:formatCode>General</c:formatCode>
                <c:ptCount val="59"/>
                <c:pt idx="0">
                  <c:v>596</c:v>
                </c:pt>
                <c:pt idx="1">
                  <c:v>610</c:v>
                </c:pt>
                <c:pt idx="2">
                  <c:v>633</c:v>
                </c:pt>
                <c:pt idx="3">
                  <c:v>669</c:v>
                </c:pt>
                <c:pt idx="4">
                  <c:v>702</c:v>
                </c:pt>
                <c:pt idx="5">
                  <c:v>727</c:v>
                </c:pt>
                <c:pt idx="6">
                  <c:v>749</c:v>
                </c:pt>
                <c:pt idx="7">
                  <c:v>769</c:v>
                </c:pt>
                <c:pt idx="8">
                  <c:v>784</c:v>
                </c:pt>
                <c:pt idx="9">
                  <c:v>753</c:v>
                </c:pt>
                <c:pt idx="10">
                  <c:v>723</c:v>
                </c:pt>
                <c:pt idx="11">
                  <c:v>746</c:v>
                </c:pt>
                <c:pt idx="12">
                  <c:v>765</c:v>
                </c:pt>
                <c:pt idx="13">
                  <c:v>779</c:v>
                </c:pt>
                <c:pt idx="14">
                  <c:v>777</c:v>
                </c:pt>
                <c:pt idx="15">
                  <c:v>780</c:v>
                </c:pt>
                <c:pt idx="16">
                  <c:v>783</c:v>
                </c:pt>
                <c:pt idx="17">
                  <c:v>789</c:v>
                </c:pt>
                <c:pt idx="18">
                  <c:v>799</c:v>
                </c:pt>
                <c:pt idx="19">
                  <c:v>763</c:v>
                </c:pt>
                <c:pt idx="20">
                  <c:v>772</c:v>
                </c:pt>
                <c:pt idx="21">
                  <c:v>729</c:v>
                </c:pt>
                <c:pt idx="22">
                  <c:v>746</c:v>
                </c:pt>
                <c:pt idx="23">
                  <c:v>752</c:v>
                </c:pt>
                <c:pt idx="24">
                  <c:v>748</c:v>
                </c:pt>
                <c:pt idx="25">
                  <c:v>758</c:v>
                </c:pt>
                <c:pt idx="26">
                  <c:v>747</c:v>
                </c:pt>
                <c:pt idx="27">
                  <c:v>755</c:v>
                </c:pt>
                <c:pt idx="28">
                  <c:v>756</c:v>
                </c:pt>
                <c:pt idx="29">
                  <c:v>769</c:v>
                </c:pt>
                <c:pt idx="30">
                  <c:v>770</c:v>
                </c:pt>
                <c:pt idx="31">
                  <c:v>787</c:v>
                </c:pt>
                <c:pt idx="32">
                  <c:v>783</c:v>
                </c:pt>
                <c:pt idx="33">
                  <c:v>778</c:v>
                </c:pt>
                <c:pt idx="34">
                  <c:v>749</c:v>
                </c:pt>
                <c:pt idx="35">
                  <c:v>760</c:v>
                </c:pt>
                <c:pt idx="36">
                  <c:v>747</c:v>
                </c:pt>
                <c:pt idx="37">
                  <c:v>752</c:v>
                </c:pt>
                <c:pt idx="38">
                  <c:v>751</c:v>
                </c:pt>
                <c:pt idx="39">
                  <c:v>884</c:v>
                </c:pt>
                <c:pt idx="40">
                  <c:v>943</c:v>
                </c:pt>
                <c:pt idx="41">
                  <c:v>934</c:v>
                </c:pt>
                <c:pt idx="42">
                  <c:v>939</c:v>
                </c:pt>
                <c:pt idx="43">
                  <c:v>950</c:v>
                </c:pt>
                <c:pt idx="44">
                  <c:v>966</c:v>
                </c:pt>
                <c:pt idx="45">
                  <c:v>991</c:v>
                </c:pt>
                <c:pt idx="46">
                  <c:v>1042</c:v>
                </c:pt>
                <c:pt idx="47">
                  <c:v>1061</c:v>
                </c:pt>
                <c:pt idx="48">
                  <c:v>1061</c:v>
                </c:pt>
                <c:pt idx="49">
                  <c:v>1061</c:v>
                </c:pt>
                <c:pt idx="50">
                  <c:v>1054</c:v>
                </c:pt>
                <c:pt idx="51">
                  <c:v>1067</c:v>
                </c:pt>
                <c:pt idx="52">
                  <c:v>1062</c:v>
                </c:pt>
                <c:pt idx="53">
                  <c:v>1080</c:v>
                </c:pt>
                <c:pt idx="54">
                  <c:v>1069</c:v>
                </c:pt>
                <c:pt idx="55">
                  <c:v>982</c:v>
                </c:pt>
                <c:pt idx="56">
                  <c:v>1037</c:v>
                </c:pt>
                <c:pt idx="57">
                  <c:v>1060</c:v>
                </c:pt>
                <c:pt idx="58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1C4B-95E8-281B3773832B}"/>
            </c:ext>
          </c:extLst>
        </c:ser>
        <c:ser>
          <c:idx val="2"/>
          <c:order val="2"/>
          <c:tx>
            <c:strRef>
              <c:f>'31'!$D$1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triang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'31'!$D$2:$D$60</c:f>
              <c:numCache>
                <c:formatCode>General</c:formatCode>
                <c:ptCount val="59"/>
                <c:pt idx="0">
                  <c:v>105</c:v>
                </c:pt>
                <c:pt idx="1">
                  <c:v>95</c:v>
                </c:pt>
                <c:pt idx="2">
                  <c:v>102</c:v>
                </c:pt>
                <c:pt idx="3">
                  <c:v>105</c:v>
                </c:pt>
                <c:pt idx="4">
                  <c:v>121</c:v>
                </c:pt>
                <c:pt idx="5">
                  <c:v>157</c:v>
                </c:pt>
                <c:pt idx="6">
                  <c:v>73</c:v>
                </c:pt>
                <c:pt idx="7">
                  <c:v>117</c:v>
                </c:pt>
                <c:pt idx="8">
                  <c:v>161</c:v>
                </c:pt>
                <c:pt idx="9">
                  <c:v>187</c:v>
                </c:pt>
                <c:pt idx="10">
                  <c:v>127</c:v>
                </c:pt>
                <c:pt idx="11">
                  <c:v>121</c:v>
                </c:pt>
                <c:pt idx="12">
                  <c:v>186</c:v>
                </c:pt>
                <c:pt idx="13">
                  <c:v>183</c:v>
                </c:pt>
                <c:pt idx="14">
                  <c:v>131</c:v>
                </c:pt>
                <c:pt idx="15">
                  <c:v>137</c:v>
                </c:pt>
                <c:pt idx="16">
                  <c:v>177</c:v>
                </c:pt>
                <c:pt idx="17">
                  <c:v>180</c:v>
                </c:pt>
                <c:pt idx="18">
                  <c:v>119</c:v>
                </c:pt>
                <c:pt idx="19">
                  <c:v>124</c:v>
                </c:pt>
                <c:pt idx="20">
                  <c:v>168</c:v>
                </c:pt>
                <c:pt idx="21">
                  <c:v>204</c:v>
                </c:pt>
                <c:pt idx="22">
                  <c:v>75</c:v>
                </c:pt>
                <c:pt idx="23">
                  <c:v>137</c:v>
                </c:pt>
                <c:pt idx="24">
                  <c:v>89</c:v>
                </c:pt>
                <c:pt idx="25">
                  <c:v>132</c:v>
                </c:pt>
                <c:pt idx="26">
                  <c:v>107</c:v>
                </c:pt>
                <c:pt idx="27">
                  <c:v>107</c:v>
                </c:pt>
                <c:pt idx="28">
                  <c:v>121</c:v>
                </c:pt>
                <c:pt idx="29">
                  <c:v>173</c:v>
                </c:pt>
                <c:pt idx="30">
                  <c:v>56</c:v>
                </c:pt>
                <c:pt idx="31">
                  <c:v>140</c:v>
                </c:pt>
                <c:pt idx="32">
                  <c:v>106</c:v>
                </c:pt>
                <c:pt idx="33">
                  <c:v>171</c:v>
                </c:pt>
                <c:pt idx="34">
                  <c:v>6</c:v>
                </c:pt>
                <c:pt idx="35">
                  <c:v>174</c:v>
                </c:pt>
                <c:pt idx="36">
                  <c:v>140</c:v>
                </c:pt>
                <c:pt idx="37">
                  <c:v>222</c:v>
                </c:pt>
                <c:pt idx="38">
                  <c:v>81</c:v>
                </c:pt>
                <c:pt idx="39">
                  <c:v>126</c:v>
                </c:pt>
                <c:pt idx="40">
                  <c:v>216</c:v>
                </c:pt>
                <c:pt idx="41">
                  <c:v>121</c:v>
                </c:pt>
                <c:pt idx="42">
                  <c:v>122</c:v>
                </c:pt>
                <c:pt idx="43">
                  <c:v>198</c:v>
                </c:pt>
                <c:pt idx="44">
                  <c:v>199</c:v>
                </c:pt>
                <c:pt idx="45">
                  <c:v>202</c:v>
                </c:pt>
                <c:pt idx="46">
                  <c:v>92</c:v>
                </c:pt>
                <c:pt idx="47">
                  <c:v>302</c:v>
                </c:pt>
                <c:pt idx="48">
                  <c:v>231</c:v>
                </c:pt>
                <c:pt idx="49">
                  <c:v>311</c:v>
                </c:pt>
                <c:pt idx="50">
                  <c:v>117</c:v>
                </c:pt>
                <c:pt idx="51">
                  <c:v>313</c:v>
                </c:pt>
                <c:pt idx="52">
                  <c:v>218</c:v>
                </c:pt>
                <c:pt idx="53">
                  <c:v>319</c:v>
                </c:pt>
                <c:pt idx="54">
                  <c:v>125</c:v>
                </c:pt>
                <c:pt idx="55">
                  <c:v>314</c:v>
                </c:pt>
                <c:pt idx="56">
                  <c:v>188</c:v>
                </c:pt>
                <c:pt idx="57">
                  <c:v>360</c:v>
                </c:pt>
                <c:pt idx="5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E5-1C4B-95E8-281B3773832B}"/>
            </c:ext>
          </c:extLst>
        </c:ser>
        <c:ser>
          <c:idx val="3"/>
          <c:order val="3"/>
          <c:tx>
            <c:strRef>
              <c:f>'31'!$E$1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x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'31'!$E$2:$E$60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0.19</c:v>
                </c:pt>
                <c:pt idx="18">
                  <c:v>0.19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0.48</c:v>
                </c:pt>
                <c:pt idx="36">
                  <c:v>0.48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0.55000000000000004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E5-1C4B-95E8-281B3773832B}"/>
            </c:ext>
          </c:extLst>
        </c:ser>
        <c:ser>
          <c:idx val="4"/>
          <c:order val="4"/>
          <c:tx>
            <c:strRef>
              <c:f>'31'!$F$1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star"/>
            <c:size val="7"/>
          </c:marker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'31'!$F$2:$F$60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</c:v>
                </c:pt>
                <c:pt idx="15">
                  <c:v>14.88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1718.75</c:v>
                </c:pt>
                <c:pt idx="20">
                  <c:v>1250</c:v>
                </c:pt>
                <c:pt idx="21">
                  <c:v>1250</c:v>
                </c:pt>
                <c:pt idx="22">
                  <c:v>74.400000000000006</c:v>
                </c:pt>
                <c:pt idx="23">
                  <c:v>82.64</c:v>
                </c:pt>
                <c:pt idx="24">
                  <c:v>90.27</c:v>
                </c:pt>
                <c:pt idx="25">
                  <c:v>100.95</c:v>
                </c:pt>
                <c:pt idx="26">
                  <c:v>100.95</c:v>
                </c:pt>
                <c:pt idx="27">
                  <c:v>135</c:v>
                </c:pt>
                <c:pt idx="28">
                  <c:v>156.52000000000001</c:v>
                </c:pt>
                <c:pt idx="29">
                  <c:v>263.41000000000003</c:v>
                </c:pt>
                <c:pt idx="30">
                  <c:v>207.69</c:v>
                </c:pt>
                <c:pt idx="31">
                  <c:v>168.75</c:v>
                </c:pt>
                <c:pt idx="32">
                  <c:v>56.54</c:v>
                </c:pt>
                <c:pt idx="33">
                  <c:v>67.989999999999995</c:v>
                </c:pt>
                <c:pt idx="34">
                  <c:v>89.22</c:v>
                </c:pt>
                <c:pt idx="35">
                  <c:v>102.73</c:v>
                </c:pt>
                <c:pt idx="36">
                  <c:v>387.76</c:v>
                </c:pt>
                <c:pt idx="37">
                  <c:v>316.67</c:v>
                </c:pt>
                <c:pt idx="38">
                  <c:v>323.73</c:v>
                </c:pt>
                <c:pt idx="39">
                  <c:v>278.26</c:v>
                </c:pt>
                <c:pt idx="40">
                  <c:v>551.42999999999995</c:v>
                </c:pt>
                <c:pt idx="41">
                  <c:v>808.33</c:v>
                </c:pt>
                <c:pt idx="42">
                  <c:v>489.02</c:v>
                </c:pt>
                <c:pt idx="43">
                  <c:v>627.27</c:v>
                </c:pt>
                <c:pt idx="44">
                  <c:v>292.47000000000003</c:v>
                </c:pt>
                <c:pt idx="45">
                  <c:v>271.60000000000002</c:v>
                </c:pt>
                <c:pt idx="46">
                  <c:v>315.14</c:v>
                </c:pt>
                <c:pt idx="47">
                  <c:v>350</c:v>
                </c:pt>
                <c:pt idx="48">
                  <c:v>345.15</c:v>
                </c:pt>
                <c:pt idx="49">
                  <c:v>276.47000000000003</c:v>
                </c:pt>
                <c:pt idx="50">
                  <c:v>181.18</c:v>
                </c:pt>
                <c:pt idx="51">
                  <c:v>191.76</c:v>
                </c:pt>
                <c:pt idx="52">
                  <c:v>190.59</c:v>
                </c:pt>
                <c:pt idx="53">
                  <c:v>177.1</c:v>
                </c:pt>
                <c:pt idx="54">
                  <c:v>263.60000000000002</c:v>
                </c:pt>
                <c:pt idx="55">
                  <c:v>234.19</c:v>
                </c:pt>
                <c:pt idx="56">
                  <c:v>352.36</c:v>
                </c:pt>
                <c:pt idx="57">
                  <c:v>537.83000000000004</c:v>
                </c:pt>
                <c:pt idx="58">
                  <c:v>207.9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E5-1C4B-95E8-281B3773832B}"/>
            </c:ext>
          </c:extLst>
        </c:ser>
        <c:ser>
          <c:idx val="7"/>
          <c:order val="7"/>
          <c:tx>
            <c:strRef>
              <c:f>'31'!$I$1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dot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'31'!$I$2:$I$60</c:f>
              <c:numCache>
                <c:formatCode>General</c:formatCode>
                <c:ptCount val="59"/>
                <c:pt idx="0">
                  <c:v>97</c:v>
                </c:pt>
                <c:pt idx="1">
                  <c:v>115</c:v>
                </c:pt>
                <c:pt idx="2">
                  <c:v>100</c:v>
                </c:pt>
                <c:pt idx="3">
                  <c:v>111</c:v>
                </c:pt>
                <c:pt idx="4">
                  <c:v>129</c:v>
                </c:pt>
                <c:pt idx="5">
                  <c:v>115</c:v>
                </c:pt>
                <c:pt idx="6">
                  <c:v>106</c:v>
                </c:pt>
                <c:pt idx="7">
                  <c:v>124</c:v>
                </c:pt>
                <c:pt idx="8">
                  <c:v>136</c:v>
                </c:pt>
                <c:pt idx="9">
                  <c:v>126</c:v>
                </c:pt>
                <c:pt idx="10">
                  <c:v>120</c:v>
                </c:pt>
                <c:pt idx="11">
                  <c:v>139</c:v>
                </c:pt>
                <c:pt idx="12">
                  <c:v>143</c:v>
                </c:pt>
                <c:pt idx="13">
                  <c:v>147</c:v>
                </c:pt>
                <c:pt idx="14">
                  <c:v>133</c:v>
                </c:pt>
                <c:pt idx="15">
                  <c:v>150</c:v>
                </c:pt>
                <c:pt idx="16">
                  <c:v>171</c:v>
                </c:pt>
                <c:pt idx="17">
                  <c:v>147</c:v>
                </c:pt>
                <c:pt idx="18">
                  <c:v>132</c:v>
                </c:pt>
                <c:pt idx="19">
                  <c:v>147</c:v>
                </c:pt>
                <c:pt idx="20">
                  <c:v>174</c:v>
                </c:pt>
                <c:pt idx="21">
                  <c:v>159</c:v>
                </c:pt>
                <c:pt idx="22">
                  <c:v>143</c:v>
                </c:pt>
                <c:pt idx="23">
                  <c:v>158</c:v>
                </c:pt>
                <c:pt idx="24">
                  <c:v>152</c:v>
                </c:pt>
                <c:pt idx="25">
                  <c:v>117</c:v>
                </c:pt>
                <c:pt idx="26">
                  <c:v>125</c:v>
                </c:pt>
                <c:pt idx="27">
                  <c:v>132</c:v>
                </c:pt>
                <c:pt idx="28">
                  <c:v>142</c:v>
                </c:pt>
                <c:pt idx="29">
                  <c:v>103</c:v>
                </c:pt>
                <c:pt idx="30">
                  <c:v>138</c:v>
                </c:pt>
                <c:pt idx="31">
                  <c:v>152</c:v>
                </c:pt>
                <c:pt idx="32">
                  <c:v>147</c:v>
                </c:pt>
                <c:pt idx="33">
                  <c:v>127</c:v>
                </c:pt>
                <c:pt idx="34">
                  <c:v>147</c:v>
                </c:pt>
                <c:pt idx="35">
                  <c:v>139</c:v>
                </c:pt>
                <c:pt idx="36">
                  <c:v>132</c:v>
                </c:pt>
                <c:pt idx="37">
                  <c:v>125</c:v>
                </c:pt>
                <c:pt idx="38">
                  <c:v>130</c:v>
                </c:pt>
                <c:pt idx="39">
                  <c:v>149</c:v>
                </c:pt>
                <c:pt idx="40">
                  <c:v>168</c:v>
                </c:pt>
                <c:pt idx="41">
                  <c:v>167</c:v>
                </c:pt>
                <c:pt idx="42">
                  <c:v>158</c:v>
                </c:pt>
                <c:pt idx="43">
                  <c:v>189</c:v>
                </c:pt>
                <c:pt idx="44">
                  <c:v>195</c:v>
                </c:pt>
                <c:pt idx="45">
                  <c:v>190</c:v>
                </c:pt>
                <c:pt idx="46">
                  <c:v>188</c:v>
                </c:pt>
                <c:pt idx="47">
                  <c:v>217</c:v>
                </c:pt>
                <c:pt idx="48">
                  <c:v>210</c:v>
                </c:pt>
                <c:pt idx="49">
                  <c:v>193</c:v>
                </c:pt>
                <c:pt idx="50">
                  <c:v>166</c:v>
                </c:pt>
                <c:pt idx="51">
                  <c:v>189</c:v>
                </c:pt>
                <c:pt idx="52">
                  <c:v>224</c:v>
                </c:pt>
                <c:pt idx="53">
                  <c:v>220</c:v>
                </c:pt>
                <c:pt idx="54">
                  <c:v>207</c:v>
                </c:pt>
                <c:pt idx="55">
                  <c:v>186</c:v>
                </c:pt>
                <c:pt idx="56">
                  <c:v>217</c:v>
                </c:pt>
                <c:pt idx="57">
                  <c:v>214</c:v>
                </c:pt>
                <c:pt idx="58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1552"/>
        <c:axId val="83593088"/>
      </c:lineChart>
      <c:lineChart>
        <c:grouping val="standard"/>
        <c:varyColors val="0"/>
        <c:ser>
          <c:idx val="5"/>
          <c:order val="5"/>
          <c:tx>
            <c:strRef>
              <c:f>'31'!$G$1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'31'!$G$2:$G$60</c:f>
              <c:numCache>
                <c:formatCode>General</c:formatCode>
                <c:ptCount val="59"/>
                <c:pt idx="0">
                  <c:v>16.309999999999999</c:v>
                </c:pt>
                <c:pt idx="1">
                  <c:v>18.82</c:v>
                </c:pt>
                <c:pt idx="2">
                  <c:v>15.78</c:v>
                </c:pt>
                <c:pt idx="3">
                  <c:v>16.63</c:v>
                </c:pt>
                <c:pt idx="4">
                  <c:v>18.350000000000001</c:v>
                </c:pt>
                <c:pt idx="5">
                  <c:v>15.81</c:v>
                </c:pt>
                <c:pt idx="6">
                  <c:v>14.19</c:v>
                </c:pt>
                <c:pt idx="7">
                  <c:v>16.11</c:v>
                </c:pt>
                <c:pt idx="8">
                  <c:v>17.38</c:v>
                </c:pt>
                <c:pt idx="9">
                  <c:v>16.739999999999998</c:v>
                </c:pt>
                <c:pt idx="10">
                  <c:v>16.55</c:v>
                </c:pt>
                <c:pt idx="11">
                  <c:v>18.600000000000001</c:v>
                </c:pt>
                <c:pt idx="12">
                  <c:v>18.649999999999999</c:v>
                </c:pt>
                <c:pt idx="13">
                  <c:v>18.88</c:v>
                </c:pt>
                <c:pt idx="14">
                  <c:v>17.09</c:v>
                </c:pt>
                <c:pt idx="15">
                  <c:v>19.29</c:v>
                </c:pt>
                <c:pt idx="16">
                  <c:v>21.85</c:v>
                </c:pt>
                <c:pt idx="17">
                  <c:v>18.64</c:v>
                </c:pt>
                <c:pt idx="18">
                  <c:v>16.57</c:v>
                </c:pt>
                <c:pt idx="19">
                  <c:v>19.29</c:v>
                </c:pt>
                <c:pt idx="20">
                  <c:v>22.59</c:v>
                </c:pt>
                <c:pt idx="21">
                  <c:v>21.83</c:v>
                </c:pt>
                <c:pt idx="22">
                  <c:v>19.09</c:v>
                </c:pt>
                <c:pt idx="23">
                  <c:v>21.02</c:v>
                </c:pt>
                <c:pt idx="24">
                  <c:v>20.36</c:v>
                </c:pt>
                <c:pt idx="25">
                  <c:v>15.4</c:v>
                </c:pt>
                <c:pt idx="26">
                  <c:v>16.68</c:v>
                </c:pt>
                <c:pt idx="27">
                  <c:v>17.55</c:v>
                </c:pt>
                <c:pt idx="28">
                  <c:v>18.84</c:v>
                </c:pt>
                <c:pt idx="29">
                  <c:v>13.39</c:v>
                </c:pt>
                <c:pt idx="30">
                  <c:v>17.98</c:v>
                </c:pt>
                <c:pt idx="31">
                  <c:v>19.309999999999999</c:v>
                </c:pt>
                <c:pt idx="32">
                  <c:v>18.760000000000002</c:v>
                </c:pt>
                <c:pt idx="33">
                  <c:v>16.36</c:v>
                </c:pt>
                <c:pt idx="34">
                  <c:v>19.63</c:v>
                </c:pt>
                <c:pt idx="35">
                  <c:v>18.239999999999998</c:v>
                </c:pt>
                <c:pt idx="36">
                  <c:v>17.670000000000002</c:v>
                </c:pt>
                <c:pt idx="37">
                  <c:v>16.64</c:v>
                </c:pt>
                <c:pt idx="38">
                  <c:v>17.28</c:v>
                </c:pt>
                <c:pt idx="39">
                  <c:v>16.87</c:v>
                </c:pt>
                <c:pt idx="40">
                  <c:v>17.78</c:v>
                </c:pt>
                <c:pt idx="41">
                  <c:v>17.86</c:v>
                </c:pt>
                <c:pt idx="42">
                  <c:v>16.78</c:v>
                </c:pt>
                <c:pt idx="43">
                  <c:v>19.93</c:v>
                </c:pt>
                <c:pt idx="44">
                  <c:v>20.22</c:v>
                </c:pt>
                <c:pt idx="45">
                  <c:v>19.170000000000002</c:v>
                </c:pt>
                <c:pt idx="46">
                  <c:v>18.079999999999998</c:v>
                </c:pt>
                <c:pt idx="47">
                  <c:v>20.43</c:v>
                </c:pt>
                <c:pt idx="48">
                  <c:v>19.75</c:v>
                </c:pt>
                <c:pt idx="49">
                  <c:v>18.14</c:v>
                </c:pt>
                <c:pt idx="50">
                  <c:v>15.77</c:v>
                </c:pt>
                <c:pt idx="51">
                  <c:v>17.72</c:v>
                </c:pt>
                <c:pt idx="52">
                  <c:v>21.07</c:v>
                </c:pt>
                <c:pt idx="53">
                  <c:v>20.36</c:v>
                </c:pt>
                <c:pt idx="54">
                  <c:v>19.34</c:v>
                </c:pt>
                <c:pt idx="55">
                  <c:v>18.97</c:v>
                </c:pt>
                <c:pt idx="56">
                  <c:v>20.97</c:v>
                </c:pt>
                <c:pt idx="57">
                  <c:v>20.22</c:v>
                </c:pt>
                <c:pt idx="58">
                  <c:v>19.93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E5-1C4B-95E8-281B3773832B}"/>
            </c:ext>
          </c:extLst>
        </c:ser>
        <c:ser>
          <c:idx val="6"/>
          <c:order val="6"/>
          <c:tx>
            <c:strRef>
              <c:f>'31'!$H$1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plus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'31'!$H$2:$H$60</c:f>
              <c:numCache>
                <c:formatCode>General</c:formatCode>
                <c:ptCount val="59"/>
                <c:pt idx="0">
                  <c:v>4.47</c:v>
                </c:pt>
                <c:pt idx="1">
                  <c:v>6.09</c:v>
                </c:pt>
                <c:pt idx="2">
                  <c:v>5.49</c:v>
                </c:pt>
                <c:pt idx="3">
                  <c:v>5.84</c:v>
                </c:pt>
                <c:pt idx="4">
                  <c:v>7.31</c:v>
                </c:pt>
                <c:pt idx="5">
                  <c:v>3.85</c:v>
                </c:pt>
                <c:pt idx="6">
                  <c:v>4.47</c:v>
                </c:pt>
                <c:pt idx="7">
                  <c:v>4.67</c:v>
                </c:pt>
                <c:pt idx="8">
                  <c:v>1.44</c:v>
                </c:pt>
                <c:pt idx="9">
                  <c:v>0.18</c:v>
                </c:pt>
                <c:pt idx="10">
                  <c:v>3.98</c:v>
                </c:pt>
                <c:pt idx="11">
                  <c:v>11.75</c:v>
                </c:pt>
                <c:pt idx="12">
                  <c:v>5.65</c:v>
                </c:pt>
                <c:pt idx="13">
                  <c:v>7.86</c:v>
                </c:pt>
                <c:pt idx="14">
                  <c:v>3.29</c:v>
                </c:pt>
                <c:pt idx="15">
                  <c:v>5.3</c:v>
                </c:pt>
                <c:pt idx="16">
                  <c:v>-19.649999999999999</c:v>
                </c:pt>
                <c:pt idx="17">
                  <c:v>4.1900000000000004</c:v>
                </c:pt>
                <c:pt idx="18">
                  <c:v>9.19</c:v>
                </c:pt>
                <c:pt idx="19">
                  <c:v>33.119999999999997</c:v>
                </c:pt>
                <c:pt idx="20">
                  <c:v>4.84</c:v>
                </c:pt>
                <c:pt idx="21">
                  <c:v>4.3899999999999997</c:v>
                </c:pt>
                <c:pt idx="22">
                  <c:v>7.41</c:v>
                </c:pt>
                <c:pt idx="23">
                  <c:v>5.0599999999999996</c:v>
                </c:pt>
                <c:pt idx="24">
                  <c:v>7.06</c:v>
                </c:pt>
                <c:pt idx="25">
                  <c:v>3.36</c:v>
                </c:pt>
                <c:pt idx="26">
                  <c:v>2.6</c:v>
                </c:pt>
                <c:pt idx="27">
                  <c:v>3.52</c:v>
                </c:pt>
                <c:pt idx="28">
                  <c:v>0.54</c:v>
                </c:pt>
                <c:pt idx="29">
                  <c:v>6.15</c:v>
                </c:pt>
                <c:pt idx="30">
                  <c:v>5.41</c:v>
                </c:pt>
                <c:pt idx="31">
                  <c:v>34.520000000000003</c:v>
                </c:pt>
                <c:pt idx="32">
                  <c:v>0.01</c:v>
                </c:pt>
                <c:pt idx="33">
                  <c:v>1.64</c:v>
                </c:pt>
                <c:pt idx="34">
                  <c:v>5.48</c:v>
                </c:pt>
                <c:pt idx="35">
                  <c:v>7.02</c:v>
                </c:pt>
                <c:pt idx="36">
                  <c:v>3.1</c:v>
                </c:pt>
                <c:pt idx="37">
                  <c:v>0.76</c:v>
                </c:pt>
                <c:pt idx="38">
                  <c:v>8.36</c:v>
                </c:pt>
                <c:pt idx="39">
                  <c:v>-1.58</c:v>
                </c:pt>
                <c:pt idx="40">
                  <c:v>0.75</c:v>
                </c:pt>
                <c:pt idx="41">
                  <c:v>5.24</c:v>
                </c:pt>
                <c:pt idx="42">
                  <c:v>6.19</c:v>
                </c:pt>
                <c:pt idx="43">
                  <c:v>8.2799999999999994</c:v>
                </c:pt>
                <c:pt idx="44">
                  <c:v>2.52</c:v>
                </c:pt>
                <c:pt idx="45">
                  <c:v>2.29</c:v>
                </c:pt>
                <c:pt idx="46">
                  <c:v>4.29</c:v>
                </c:pt>
                <c:pt idx="47">
                  <c:v>8.8000000000000007</c:v>
                </c:pt>
                <c:pt idx="48">
                  <c:v>6.33</c:v>
                </c:pt>
                <c:pt idx="49">
                  <c:v>14.9</c:v>
                </c:pt>
                <c:pt idx="50">
                  <c:v>2.81</c:v>
                </c:pt>
                <c:pt idx="51">
                  <c:v>8.66</c:v>
                </c:pt>
                <c:pt idx="52">
                  <c:v>10.14</c:v>
                </c:pt>
                <c:pt idx="53">
                  <c:v>3.49</c:v>
                </c:pt>
                <c:pt idx="54">
                  <c:v>5.99</c:v>
                </c:pt>
                <c:pt idx="55">
                  <c:v>-0.72</c:v>
                </c:pt>
                <c:pt idx="56">
                  <c:v>3.7</c:v>
                </c:pt>
                <c:pt idx="57">
                  <c:v>23.35</c:v>
                </c:pt>
                <c:pt idx="58">
                  <c:v>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E5-1C4B-95E8-281B3773832B}"/>
            </c:ext>
          </c:extLst>
        </c:ser>
        <c:ser>
          <c:idx val="8"/>
          <c:order val="8"/>
          <c:tx>
            <c:strRef>
              <c:f>'31'!$J$1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dash"/>
            <c:size val="7"/>
          </c:marker>
          <c:trendline>
            <c:trendlineType val="linear"/>
            <c:dispRSqr val="0"/>
            <c:dispEq val="0"/>
          </c:trendline>
          <c:cat>
            <c:strRef>
              <c:f>'31'!$A$2:$A$60</c:f>
              <c:strCache>
                <c:ptCount val="59"/>
                <c:pt idx="0">
                  <c:v>2006/07/03</c:v>
                </c:pt>
                <c:pt idx="1">
                  <c:v>2006/10/02</c:v>
                </c:pt>
                <c:pt idx="2">
                  <c:v>2007/01/03</c:v>
                </c:pt>
                <c:pt idx="3">
                  <c:v>2007/04/02</c:v>
                </c:pt>
                <c:pt idx="4">
                  <c:v>2007/07/02</c:v>
                </c:pt>
                <c:pt idx="5">
                  <c:v>2007/10/01</c:v>
                </c:pt>
                <c:pt idx="6">
                  <c:v>2008/01/02</c:v>
                </c:pt>
                <c:pt idx="7">
                  <c:v>2008/04/01</c:v>
                </c:pt>
                <c:pt idx="8">
                  <c:v>2008/07/01</c:v>
                </c:pt>
                <c:pt idx="9">
                  <c:v>2008/10/01</c:v>
                </c:pt>
                <c:pt idx="10">
                  <c:v>2009/01/02</c:v>
                </c:pt>
                <c:pt idx="11">
                  <c:v>2009/04/01</c:v>
                </c:pt>
                <c:pt idx="12">
                  <c:v>2009/07/01</c:v>
                </c:pt>
                <c:pt idx="13">
                  <c:v>2009/10/01</c:v>
                </c:pt>
                <c:pt idx="14">
                  <c:v>2010/01/04</c:v>
                </c:pt>
                <c:pt idx="15">
                  <c:v>2010/04/01</c:v>
                </c:pt>
                <c:pt idx="16">
                  <c:v>2010/07/01</c:v>
                </c:pt>
                <c:pt idx="17">
                  <c:v>2010/10/01</c:v>
                </c:pt>
                <c:pt idx="18">
                  <c:v>2011/01/03</c:v>
                </c:pt>
                <c:pt idx="19">
                  <c:v>2011/04/01</c:v>
                </c:pt>
                <c:pt idx="20">
                  <c:v>2011/07/01</c:v>
                </c:pt>
                <c:pt idx="21">
                  <c:v>2011/10/03</c:v>
                </c:pt>
                <c:pt idx="22">
                  <c:v>2012/01/03</c:v>
                </c:pt>
                <c:pt idx="23">
                  <c:v>2012/04/02</c:v>
                </c:pt>
                <c:pt idx="24">
                  <c:v>2012/07/02</c:v>
                </c:pt>
                <c:pt idx="25">
                  <c:v>2012/10/01</c:v>
                </c:pt>
                <c:pt idx="26">
                  <c:v>2013/01/02</c:v>
                </c:pt>
                <c:pt idx="27">
                  <c:v>2013/04/01</c:v>
                </c:pt>
                <c:pt idx="28">
                  <c:v>2013/07/01</c:v>
                </c:pt>
                <c:pt idx="29">
                  <c:v>2013/10/01</c:v>
                </c:pt>
                <c:pt idx="30">
                  <c:v>2014/01/02</c:v>
                </c:pt>
                <c:pt idx="31">
                  <c:v>2014/04/01</c:v>
                </c:pt>
                <c:pt idx="32">
                  <c:v>2014/07/01</c:v>
                </c:pt>
                <c:pt idx="33">
                  <c:v>2014/10/01</c:v>
                </c:pt>
                <c:pt idx="34">
                  <c:v>2015/01/02</c:v>
                </c:pt>
                <c:pt idx="35">
                  <c:v>2015/04/01</c:v>
                </c:pt>
                <c:pt idx="36">
                  <c:v>2015/07/01</c:v>
                </c:pt>
                <c:pt idx="37">
                  <c:v>2015/10/01</c:v>
                </c:pt>
                <c:pt idx="38">
                  <c:v>2016/01/04</c:v>
                </c:pt>
                <c:pt idx="39">
                  <c:v>2016/04/01</c:v>
                </c:pt>
                <c:pt idx="40">
                  <c:v>2016/07/01</c:v>
                </c:pt>
                <c:pt idx="41">
                  <c:v>2016/10/03</c:v>
                </c:pt>
                <c:pt idx="42">
                  <c:v>2017/01/03</c:v>
                </c:pt>
                <c:pt idx="43">
                  <c:v>2017/04/03</c:v>
                </c:pt>
                <c:pt idx="44">
                  <c:v>2017/07/03</c:v>
                </c:pt>
                <c:pt idx="45">
                  <c:v>2017/10/02</c:v>
                </c:pt>
                <c:pt idx="46">
                  <c:v>2018/01/02</c:v>
                </c:pt>
                <c:pt idx="47">
                  <c:v>2018/04/02</c:v>
                </c:pt>
                <c:pt idx="48">
                  <c:v>2018/07/02</c:v>
                </c:pt>
                <c:pt idx="49">
                  <c:v>2018/10/01</c:v>
                </c:pt>
                <c:pt idx="50">
                  <c:v>2019/01/02</c:v>
                </c:pt>
                <c:pt idx="51">
                  <c:v>2019/04/01</c:v>
                </c:pt>
                <c:pt idx="52">
                  <c:v>2019/07/01</c:v>
                </c:pt>
                <c:pt idx="53">
                  <c:v>2019/10/01</c:v>
                </c:pt>
                <c:pt idx="54">
                  <c:v>2020/01/02</c:v>
                </c:pt>
                <c:pt idx="55">
                  <c:v>2020/04/01</c:v>
                </c:pt>
                <c:pt idx="56">
                  <c:v>2020/07/01</c:v>
                </c:pt>
                <c:pt idx="57">
                  <c:v>2020/10/01</c:v>
                </c:pt>
                <c:pt idx="58">
                  <c:v>2021/01/04</c:v>
                </c:pt>
              </c:strCache>
            </c:strRef>
          </c:cat>
          <c:val>
            <c:numRef>
              <c:f>'31'!$J$2:$J$60</c:f>
              <c:numCache>
                <c:formatCode>General</c:formatCode>
                <c:ptCount val="59"/>
                <c:pt idx="0">
                  <c:v>27</c:v>
                </c:pt>
                <c:pt idx="1">
                  <c:v>37</c:v>
                </c:pt>
                <c:pt idx="2">
                  <c:v>35</c:v>
                </c:pt>
                <c:pt idx="3">
                  <c:v>39</c:v>
                </c:pt>
                <c:pt idx="4">
                  <c:v>51</c:v>
                </c:pt>
                <c:pt idx="5">
                  <c:v>28</c:v>
                </c:pt>
                <c:pt idx="6">
                  <c:v>33</c:v>
                </c:pt>
                <c:pt idx="7">
                  <c:v>36</c:v>
                </c:pt>
                <c:pt idx="8">
                  <c:v>11</c:v>
                </c:pt>
                <c:pt idx="9">
                  <c:v>1</c:v>
                </c:pt>
                <c:pt idx="10">
                  <c:v>29</c:v>
                </c:pt>
                <c:pt idx="11">
                  <c:v>88</c:v>
                </c:pt>
                <c:pt idx="12">
                  <c:v>43</c:v>
                </c:pt>
                <c:pt idx="13">
                  <c:v>61</c:v>
                </c:pt>
                <c:pt idx="14">
                  <c:v>26</c:v>
                </c:pt>
                <c:pt idx="15">
                  <c:v>41</c:v>
                </c:pt>
                <c:pt idx="16">
                  <c:v>-154</c:v>
                </c:pt>
                <c:pt idx="17">
                  <c:v>33</c:v>
                </c:pt>
                <c:pt idx="18">
                  <c:v>73</c:v>
                </c:pt>
                <c:pt idx="19">
                  <c:v>253</c:v>
                </c:pt>
                <c:pt idx="20">
                  <c:v>37</c:v>
                </c:pt>
                <c:pt idx="21">
                  <c:v>32</c:v>
                </c:pt>
                <c:pt idx="22">
                  <c:v>55</c:v>
                </c:pt>
                <c:pt idx="23">
                  <c:v>38</c:v>
                </c:pt>
                <c:pt idx="24">
                  <c:v>53</c:v>
                </c:pt>
                <c:pt idx="25">
                  <c:v>25</c:v>
                </c:pt>
                <c:pt idx="26">
                  <c:v>19</c:v>
                </c:pt>
                <c:pt idx="27">
                  <c:v>27</c:v>
                </c:pt>
                <c:pt idx="28">
                  <c:v>4</c:v>
                </c:pt>
                <c:pt idx="29">
                  <c:v>47</c:v>
                </c:pt>
                <c:pt idx="30">
                  <c:v>42</c:v>
                </c:pt>
                <c:pt idx="31">
                  <c:v>272</c:v>
                </c:pt>
                <c:pt idx="32">
                  <c:v>0</c:v>
                </c:pt>
                <c:pt idx="33">
                  <c:v>13</c:v>
                </c:pt>
                <c:pt idx="34">
                  <c:v>41</c:v>
                </c:pt>
                <c:pt idx="35">
                  <c:v>53</c:v>
                </c:pt>
                <c:pt idx="36">
                  <c:v>23</c:v>
                </c:pt>
                <c:pt idx="37">
                  <c:v>6</c:v>
                </c:pt>
                <c:pt idx="38">
                  <c:v>63</c:v>
                </c:pt>
                <c:pt idx="39">
                  <c:v>-14</c:v>
                </c:pt>
                <c:pt idx="40">
                  <c:v>7</c:v>
                </c:pt>
                <c:pt idx="41">
                  <c:v>49</c:v>
                </c:pt>
                <c:pt idx="42">
                  <c:v>58</c:v>
                </c:pt>
                <c:pt idx="43">
                  <c:v>79</c:v>
                </c:pt>
                <c:pt idx="44">
                  <c:v>24</c:v>
                </c:pt>
                <c:pt idx="45">
                  <c:v>23</c:v>
                </c:pt>
                <c:pt idx="46">
                  <c:v>45</c:v>
                </c:pt>
                <c:pt idx="47">
                  <c:v>93</c:v>
                </c:pt>
                <c:pt idx="48">
                  <c:v>67</c:v>
                </c:pt>
                <c:pt idx="49">
                  <c:v>158</c:v>
                </c:pt>
                <c:pt idx="50">
                  <c:v>30</c:v>
                </c:pt>
                <c:pt idx="51">
                  <c:v>92</c:v>
                </c:pt>
                <c:pt idx="52">
                  <c:v>108</c:v>
                </c:pt>
                <c:pt idx="53">
                  <c:v>38</c:v>
                </c:pt>
                <c:pt idx="54">
                  <c:v>64</c:v>
                </c:pt>
                <c:pt idx="55">
                  <c:v>-7</c:v>
                </c:pt>
                <c:pt idx="56">
                  <c:v>38</c:v>
                </c:pt>
                <c:pt idx="57">
                  <c:v>247</c:v>
                </c:pt>
                <c:pt idx="5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E5-1C4B-95E8-281B3773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20992"/>
        <c:axId val="83594624"/>
      </c:lineChart>
      <c:catAx>
        <c:axId val="8359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93088"/>
        <c:crosses val="autoZero"/>
        <c:auto val="1"/>
        <c:lblAlgn val="ctr"/>
        <c:lblOffset val="100"/>
        <c:tickMarkSkip val="1"/>
        <c:noMultiLvlLbl val="0"/>
      </c:catAx>
      <c:valAx>
        <c:axId val="83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91552"/>
        <c:crosses val="autoZero"/>
        <c:crossBetween val="between"/>
      </c:valAx>
      <c:valAx>
        <c:axId val="8359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620992"/>
        <c:crosses val="max"/>
        <c:crossBetween val="between"/>
      </c:valAx>
      <c:catAx>
        <c:axId val="836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5946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'31'!$K$2:$K$59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0.68421052631578949</c:v>
                </c:pt>
                <c:pt idx="17">
                  <c:v>0</c:v>
                </c:pt>
                <c:pt idx="18">
                  <c:v>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7.4074074074074139E-2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0.43749999999999994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2.0408163265306142E-2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0.10909090909090918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6.77966101694914E-2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3.2786885245901669E-2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1.612903225806453E-2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2-B041-B2DA-50E498A1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6624"/>
        <c:axId val="83708160"/>
      </c:lineChart>
      <c:catAx>
        <c:axId val="837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3708160"/>
        <c:crosses val="autoZero"/>
        <c:auto val="1"/>
        <c:lblAlgn val="ctr"/>
        <c:lblOffset val="100"/>
        <c:tickMarkSkip val="1"/>
        <c:noMultiLvlLbl val="0"/>
      </c:cat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'32'!$B$1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'32'!$B$2:$B$58</c:f>
              <c:numCache>
                <c:formatCode>General</c:formatCode>
                <c:ptCount val="57"/>
                <c:pt idx="0">
                  <c:v>77.739999999999995</c:v>
                </c:pt>
                <c:pt idx="1">
                  <c:v>91.82</c:v>
                </c:pt>
                <c:pt idx="2">
                  <c:v>98.79</c:v>
                </c:pt>
                <c:pt idx="3">
                  <c:v>125</c:v>
                </c:pt>
                <c:pt idx="4">
                  <c:v>125</c:v>
                </c:pt>
                <c:pt idx="5">
                  <c:v>99.99</c:v>
                </c:pt>
                <c:pt idx="6">
                  <c:v>95.82</c:v>
                </c:pt>
                <c:pt idx="7">
                  <c:v>103.03</c:v>
                </c:pt>
                <c:pt idx="8">
                  <c:v>97.1</c:v>
                </c:pt>
                <c:pt idx="9">
                  <c:v>88.24</c:v>
                </c:pt>
                <c:pt idx="10">
                  <c:v>134.09</c:v>
                </c:pt>
                <c:pt idx="11">
                  <c:v>144.4</c:v>
                </c:pt>
                <c:pt idx="12">
                  <c:v>155.72</c:v>
                </c:pt>
                <c:pt idx="13">
                  <c:v>143.04</c:v>
                </c:pt>
                <c:pt idx="14">
                  <c:v>135.05000000000001</c:v>
                </c:pt>
                <c:pt idx="15">
                  <c:v>157.51</c:v>
                </c:pt>
                <c:pt idx="16">
                  <c:v>179.46</c:v>
                </c:pt>
                <c:pt idx="17">
                  <c:v>174.47</c:v>
                </c:pt>
                <c:pt idx="18">
                  <c:v>197.8</c:v>
                </c:pt>
                <c:pt idx="19">
                  <c:v>207.39</c:v>
                </c:pt>
                <c:pt idx="20">
                  <c:v>240.23</c:v>
                </c:pt>
                <c:pt idx="21">
                  <c:v>210.21</c:v>
                </c:pt>
                <c:pt idx="22">
                  <c:v>204.98</c:v>
                </c:pt>
                <c:pt idx="23">
                  <c:v>221.5</c:v>
                </c:pt>
                <c:pt idx="24">
                  <c:v>196</c:v>
                </c:pt>
                <c:pt idx="25">
                  <c:v>191.99</c:v>
                </c:pt>
                <c:pt idx="26">
                  <c:v>218.71</c:v>
                </c:pt>
                <c:pt idx="27">
                  <c:v>258.77999999999997</c:v>
                </c:pt>
                <c:pt idx="28">
                  <c:v>296.25</c:v>
                </c:pt>
                <c:pt idx="29">
                  <c:v>306.14</c:v>
                </c:pt>
                <c:pt idx="30">
                  <c:v>326</c:v>
                </c:pt>
                <c:pt idx="31">
                  <c:v>305.01</c:v>
                </c:pt>
                <c:pt idx="32">
                  <c:v>340.01</c:v>
                </c:pt>
                <c:pt idx="33">
                  <c:v>345.51</c:v>
                </c:pt>
                <c:pt idx="34">
                  <c:v>392.31</c:v>
                </c:pt>
                <c:pt idx="35">
                  <c:v>374.96</c:v>
                </c:pt>
                <c:pt idx="36">
                  <c:v>381.2</c:v>
                </c:pt>
                <c:pt idx="37">
                  <c:v>395.36</c:v>
                </c:pt>
                <c:pt idx="38">
                  <c:v>427.86</c:v>
                </c:pt>
                <c:pt idx="39">
                  <c:v>426.6</c:v>
                </c:pt>
                <c:pt idx="40">
                  <c:v>507.2</c:v>
                </c:pt>
                <c:pt idx="41">
                  <c:v>468.2</c:v>
                </c:pt>
                <c:pt idx="42">
                  <c:v>643.29999999999995</c:v>
                </c:pt>
                <c:pt idx="43">
                  <c:v>672</c:v>
                </c:pt>
                <c:pt idx="44">
                  <c:v>630.6</c:v>
                </c:pt>
                <c:pt idx="45">
                  <c:v>631.29999999999995</c:v>
                </c:pt>
                <c:pt idx="46">
                  <c:v>599.4</c:v>
                </c:pt>
                <c:pt idx="47">
                  <c:v>694.8</c:v>
                </c:pt>
                <c:pt idx="48">
                  <c:v>741.08</c:v>
                </c:pt>
                <c:pt idx="49">
                  <c:v>878.68</c:v>
                </c:pt>
                <c:pt idx="50">
                  <c:v>852.74</c:v>
                </c:pt>
                <c:pt idx="51">
                  <c:v>779.17</c:v>
                </c:pt>
                <c:pt idx="52">
                  <c:v>751.5</c:v>
                </c:pt>
                <c:pt idx="53">
                  <c:v>650</c:v>
                </c:pt>
                <c:pt idx="54">
                  <c:v>637.01</c:v>
                </c:pt>
                <c:pt idx="55">
                  <c:v>626</c:v>
                </c:pt>
                <c:pt idx="56">
                  <c:v>642.24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C-2549-8C45-A41F3B925978}"/>
            </c:ext>
          </c:extLst>
        </c:ser>
        <c:ser>
          <c:idx val="0"/>
          <c:order val="1"/>
          <c:tx>
            <c:strRef>
              <c:f>'32'!$C$1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'32'!$C$2:$C$58</c:f>
              <c:numCache>
                <c:formatCode>General</c:formatCode>
                <c:ptCount val="57"/>
                <c:pt idx="0">
                  <c:v>81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89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</c:v>
                </c:pt>
                <c:pt idx="51">
                  <c:v>155</c:v>
                </c:pt>
                <c:pt idx="52">
                  <c:v>155</c:v>
                </c:pt>
                <c:pt idx="53">
                  <c:v>148</c:v>
                </c:pt>
                <c:pt idx="54">
                  <c:v>148</c:v>
                </c:pt>
                <c:pt idx="55">
                  <c:v>148</c:v>
                </c:pt>
                <c:pt idx="5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2549-8C45-A41F3B925978}"/>
            </c:ext>
          </c:extLst>
        </c:ser>
        <c:ser>
          <c:idx val="4"/>
          <c:order val="4"/>
          <c:tx>
            <c:strRef>
              <c:f>'32'!$F$1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'32'!$F$2:$F$58</c:f>
              <c:numCache>
                <c:formatCode>General</c:formatCode>
                <c:ptCount val="57"/>
                <c:pt idx="0">
                  <c:v>14.17</c:v>
                </c:pt>
                <c:pt idx="1">
                  <c:v>12.46</c:v>
                </c:pt>
                <c:pt idx="2">
                  <c:v>12.46</c:v>
                </c:pt>
                <c:pt idx="3">
                  <c:v>12.46</c:v>
                </c:pt>
                <c:pt idx="4">
                  <c:v>12.46</c:v>
                </c:pt>
                <c:pt idx="5">
                  <c:v>13.81</c:v>
                </c:pt>
                <c:pt idx="6">
                  <c:v>13.81</c:v>
                </c:pt>
                <c:pt idx="7">
                  <c:v>13.81</c:v>
                </c:pt>
                <c:pt idx="8">
                  <c:v>13.81</c:v>
                </c:pt>
                <c:pt idx="9">
                  <c:v>15.79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15.12</c:v>
                </c:pt>
                <c:pt idx="14">
                  <c:v>15.12</c:v>
                </c:pt>
                <c:pt idx="15">
                  <c:v>15.12</c:v>
                </c:pt>
                <c:pt idx="16">
                  <c:v>15.12</c:v>
                </c:pt>
                <c:pt idx="17">
                  <c:v>13.63</c:v>
                </c:pt>
                <c:pt idx="18">
                  <c:v>13.63</c:v>
                </c:pt>
                <c:pt idx="19">
                  <c:v>13.63</c:v>
                </c:pt>
                <c:pt idx="20">
                  <c:v>13.63</c:v>
                </c:pt>
                <c:pt idx="21">
                  <c:v>18.010000000000002</c:v>
                </c:pt>
                <c:pt idx="22">
                  <c:v>18.010000000000002</c:v>
                </c:pt>
                <c:pt idx="23">
                  <c:v>18.010000000000002</c:v>
                </c:pt>
                <c:pt idx="24">
                  <c:v>18.010000000000002</c:v>
                </c:pt>
                <c:pt idx="25">
                  <c:v>18.22</c:v>
                </c:pt>
                <c:pt idx="26">
                  <c:v>18.22</c:v>
                </c:pt>
                <c:pt idx="27">
                  <c:v>18.22</c:v>
                </c:pt>
                <c:pt idx="28">
                  <c:v>18.22</c:v>
                </c:pt>
                <c:pt idx="29">
                  <c:v>19.260000000000002</c:v>
                </c:pt>
                <c:pt idx="30">
                  <c:v>19.260000000000002</c:v>
                </c:pt>
                <c:pt idx="31">
                  <c:v>19.260000000000002</c:v>
                </c:pt>
                <c:pt idx="32">
                  <c:v>19.260000000000002</c:v>
                </c:pt>
                <c:pt idx="33">
                  <c:v>20.62</c:v>
                </c:pt>
                <c:pt idx="34">
                  <c:v>20.62</c:v>
                </c:pt>
                <c:pt idx="35">
                  <c:v>20.62</c:v>
                </c:pt>
                <c:pt idx="36">
                  <c:v>20.62</c:v>
                </c:pt>
                <c:pt idx="37">
                  <c:v>24.77</c:v>
                </c:pt>
                <c:pt idx="38">
                  <c:v>24.77</c:v>
                </c:pt>
                <c:pt idx="39">
                  <c:v>24.77</c:v>
                </c:pt>
                <c:pt idx="40">
                  <c:v>24.77</c:v>
                </c:pt>
                <c:pt idx="41">
                  <c:v>24.1</c:v>
                </c:pt>
                <c:pt idx="42">
                  <c:v>24.1</c:v>
                </c:pt>
                <c:pt idx="43">
                  <c:v>24.1</c:v>
                </c:pt>
                <c:pt idx="44">
                  <c:v>24.1</c:v>
                </c:pt>
                <c:pt idx="45">
                  <c:v>26.16</c:v>
                </c:pt>
                <c:pt idx="46">
                  <c:v>26.16</c:v>
                </c:pt>
                <c:pt idx="47">
                  <c:v>26.16</c:v>
                </c:pt>
                <c:pt idx="48">
                  <c:v>26.16</c:v>
                </c:pt>
                <c:pt idx="49">
                  <c:v>28.62</c:v>
                </c:pt>
                <c:pt idx="50">
                  <c:v>28.62</c:v>
                </c:pt>
                <c:pt idx="51">
                  <c:v>28.62</c:v>
                </c:pt>
                <c:pt idx="52">
                  <c:v>28.62</c:v>
                </c:pt>
                <c:pt idx="53">
                  <c:v>36.06</c:v>
                </c:pt>
                <c:pt idx="54">
                  <c:v>36.06</c:v>
                </c:pt>
                <c:pt idx="55">
                  <c:v>36.06</c:v>
                </c:pt>
                <c:pt idx="56">
                  <c:v>36.06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88928"/>
        <c:axId val="83790464"/>
      </c:lineChart>
      <c:lineChart>
        <c:grouping val="standard"/>
        <c:varyColors val="0"/>
        <c:ser>
          <c:idx val="2"/>
          <c:order val="2"/>
          <c:tx>
            <c:strRef>
              <c:f>'32'!$D$1</c:f>
              <c:strCache>
                <c:ptCount val="1"/>
                <c:pt idx="0">
                  <c:v>영업활동순현금흐름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'32'!$D$2:$D$58</c:f>
              <c:numCache>
                <c:formatCode>General</c:formatCode>
                <c:ptCount val="57"/>
                <c:pt idx="0">
                  <c:v>13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C-2549-8C45-A41F3B925978}"/>
            </c:ext>
          </c:extLst>
        </c:ser>
        <c:ser>
          <c:idx val="3"/>
          <c:order val="3"/>
          <c:tx>
            <c:strRef>
              <c:f>'32'!$E$1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'32'!$E$2:$E$58</c:f>
              <c:numCache>
                <c:formatCode>General</c:formatCode>
                <c:ptCount val="57"/>
                <c:pt idx="0">
                  <c:v>0.74</c:v>
                </c:pt>
                <c:pt idx="1">
                  <c:v>0.88</c:v>
                </c:pt>
                <c:pt idx="2">
                  <c:v>0.88</c:v>
                </c:pt>
                <c:pt idx="3">
                  <c:v>0.88</c:v>
                </c:pt>
                <c:pt idx="4">
                  <c:v>0.88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1.32</c:v>
                </c:pt>
                <c:pt idx="10">
                  <c:v>1.32</c:v>
                </c:pt>
                <c:pt idx="11">
                  <c:v>1.32</c:v>
                </c:pt>
                <c:pt idx="12">
                  <c:v>1.32</c:v>
                </c:pt>
                <c:pt idx="13">
                  <c:v>1.56</c:v>
                </c:pt>
                <c:pt idx="14">
                  <c:v>1.56</c:v>
                </c:pt>
                <c:pt idx="15">
                  <c:v>1.56</c:v>
                </c:pt>
                <c:pt idx="16">
                  <c:v>1.56</c:v>
                </c:pt>
                <c:pt idx="17">
                  <c:v>1.82</c:v>
                </c:pt>
                <c:pt idx="18">
                  <c:v>1.82</c:v>
                </c:pt>
                <c:pt idx="19">
                  <c:v>1.82</c:v>
                </c:pt>
                <c:pt idx="20">
                  <c:v>1.82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2.78</c:v>
                </c:pt>
                <c:pt idx="30">
                  <c:v>2.78</c:v>
                </c:pt>
                <c:pt idx="31">
                  <c:v>2.78</c:v>
                </c:pt>
                <c:pt idx="32">
                  <c:v>2.78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6.6</c:v>
                </c:pt>
                <c:pt idx="54">
                  <c:v>6.6</c:v>
                </c:pt>
                <c:pt idx="55">
                  <c:v>6.6</c:v>
                </c:pt>
                <c:pt idx="56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C-2549-8C45-A41F3B925978}"/>
            </c:ext>
          </c:extLst>
        </c:ser>
        <c:ser>
          <c:idx val="5"/>
          <c:order val="5"/>
          <c:tx>
            <c:strRef>
              <c:f>'32'!$G$1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'32'!$G$2:$G$58</c:f>
              <c:numCache>
                <c:formatCode>General</c:formatCode>
                <c:ptCount val="57"/>
                <c:pt idx="0">
                  <c:v>17.7</c:v>
                </c:pt>
                <c:pt idx="1">
                  <c:v>22.81</c:v>
                </c:pt>
                <c:pt idx="2">
                  <c:v>22.81</c:v>
                </c:pt>
                <c:pt idx="3">
                  <c:v>22.81</c:v>
                </c:pt>
                <c:pt idx="4">
                  <c:v>22.81</c:v>
                </c:pt>
                <c:pt idx="5">
                  <c:v>23.96</c:v>
                </c:pt>
                <c:pt idx="6">
                  <c:v>23.96</c:v>
                </c:pt>
                <c:pt idx="7">
                  <c:v>23.96</c:v>
                </c:pt>
                <c:pt idx="8">
                  <c:v>23.96</c:v>
                </c:pt>
                <c:pt idx="9">
                  <c:v>24.84</c:v>
                </c:pt>
                <c:pt idx="10">
                  <c:v>24.84</c:v>
                </c:pt>
                <c:pt idx="11">
                  <c:v>24.84</c:v>
                </c:pt>
                <c:pt idx="12">
                  <c:v>24.84</c:v>
                </c:pt>
                <c:pt idx="13">
                  <c:v>28.53</c:v>
                </c:pt>
                <c:pt idx="14">
                  <c:v>28.53</c:v>
                </c:pt>
                <c:pt idx="15">
                  <c:v>28.53</c:v>
                </c:pt>
                <c:pt idx="16">
                  <c:v>28.53</c:v>
                </c:pt>
                <c:pt idx="17">
                  <c:v>32.43</c:v>
                </c:pt>
                <c:pt idx="18">
                  <c:v>32.43</c:v>
                </c:pt>
                <c:pt idx="19">
                  <c:v>32.43</c:v>
                </c:pt>
                <c:pt idx="20">
                  <c:v>32.43</c:v>
                </c:pt>
                <c:pt idx="21">
                  <c:v>28.24</c:v>
                </c:pt>
                <c:pt idx="22">
                  <c:v>28.24</c:v>
                </c:pt>
                <c:pt idx="23">
                  <c:v>28.24</c:v>
                </c:pt>
                <c:pt idx="24">
                  <c:v>28.24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29.17</c:v>
                </c:pt>
                <c:pt idx="34">
                  <c:v>29.17</c:v>
                </c:pt>
                <c:pt idx="35">
                  <c:v>29.17</c:v>
                </c:pt>
                <c:pt idx="36">
                  <c:v>29.17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28.16</c:v>
                </c:pt>
                <c:pt idx="42">
                  <c:v>28.16</c:v>
                </c:pt>
                <c:pt idx="43">
                  <c:v>28.16</c:v>
                </c:pt>
                <c:pt idx="44">
                  <c:v>28.16</c:v>
                </c:pt>
                <c:pt idx="45">
                  <c:v>27.36</c:v>
                </c:pt>
                <c:pt idx="46">
                  <c:v>27.36</c:v>
                </c:pt>
                <c:pt idx="47">
                  <c:v>27.36</c:v>
                </c:pt>
                <c:pt idx="48">
                  <c:v>27.36</c:v>
                </c:pt>
                <c:pt idx="49">
                  <c:v>26.14</c:v>
                </c:pt>
                <c:pt idx="50">
                  <c:v>26.14</c:v>
                </c:pt>
                <c:pt idx="51">
                  <c:v>26.14</c:v>
                </c:pt>
                <c:pt idx="52">
                  <c:v>26.14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C-2549-8C45-A41F3B925978}"/>
            </c:ext>
          </c:extLst>
        </c:ser>
        <c:ser>
          <c:idx val="6"/>
          <c:order val="6"/>
          <c:tx>
            <c:strRef>
              <c:f>'32'!$H$1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'32'!$H$2:$H$58</c:f>
              <c:numCache>
                <c:formatCode>General</c:formatCode>
                <c:ptCount val="57"/>
                <c:pt idx="0">
                  <c:v>13.29</c:v>
                </c:pt>
                <c:pt idx="1">
                  <c:v>15.82</c:v>
                </c:pt>
                <c:pt idx="2">
                  <c:v>15.82</c:v>
                </c:pt>
                <c:pt idx="3">
                  <c:v>15.82</c:v>
                </c:pt>
                <c:pt idx="4">
                  <c:v>15.82</c:v>
                </c:pt>
                <c:pt idx="5">
                  <c:v>16.34</c:v>
                </c:pt>
                <c:pt idx="6">
                  <c:v>16.34</c:v>
                </c:pt>
                <c:pt idx="7">
                  <c:v>16.34</c:v>
                </c:pt>
                <c:pt idx="8">
                  <c:v>16.34</c:v>
                </c:pt>
                <c:pt idx="9">
                  <c:v>16.739999999999998</c:v>
                </c:pt>
                <c:pt idx="10">
                  <c:v>16.739999999999998</c:v>
                </c:pt>
                <c:pt idx="11">
                  <c:v>16.739999999999998</c:v>
                </c:pt>
                <c:pt idx="12">
                  <c:v>16.739999999999998</c:v>
                </c:pt>
                <c:pt idx="13">
                  <c:v>19.3</c:v>
                </c:pt>
                <c:pt idx="14">
                  <c:v>19.3</c:v>
                </c:pt>
                <c:pt idx="15">
                  <c:v>19.3</c:v>
                </c:pt>
                <c:pt idx="16">
                  <c:v>19.3</c:v>
                </c:pt>
                <c:pt idx="17">
                  <c:v>22.12</c:v>
                </c:pt>
                <c:pt idx="18">
                  <c:v>22.12</c:v>
                </c:pt>
                <c:pt idx="19">
                  <c:v>22.12</c:v>
                </c:pt>
                <c:pt idx="20">
                  <c:v>22.12</c:v>
                </c:pt>
                <c:pt idx="21">
                  <c:v>19.850000000000001</c:v>
                </c:pt>
                <c:pt idx="22">
                  <c:v>19.850000000000001</c:v>
                </c:pt>
                <c:pt idx="23">
                  <c:v>19.850000000000001</c:v>
                </c:pt>
                <c:pt idx="24">
                  <c:v>19.850000000000001</c:v>
                </c:pt>
                <c:pt idx="25">
                  <c:v>20.14</c:v>
                </c:pt>
                <c:pt idx="26">
                  <c:v>20.14</c:v>
                </c:pt>
                <c:pt idx="27">
                  <c:v>20.14</c:v>
                </c:pt>
                <c:pt idx="28">
                  <c:v>20.14</c:v>
                </c:pt>
                <c:pt idx="29">
                  <c:v>19.760000000000002</c:v>
                </c:pt>
                <c:pt idx="30">
                  <c:v>19.760000000000002</c:v>
                </c:pt>
                <c:pt idx="31">
                  <c:v>19.760000000000002</c:v>
                </c:pt>
                <c:pt idx="32">
                  <c:v>19.760000000000002</c:v>
                </c:pt>
                <c:pt idx="33">
                  <c:v>19.850000000000001</c:v>
                </c:pt>
                <c:pt idx="34">
                  <c:v>19.850000000000001</c:v>
                </c:pt>
                <c:pt idx="35">
                  <c:v>19.850000000000001</c:v>
                </c:pt>
                <c:pt idx="36">
                  <c:v>19.850000000000001</c:v>
                </c:pt>
                <c:pt idx="37">
                  <c:v>19.22</c:v>
                </c:pt>
                <c:pt idx="38">
                  <c:v>19.22</c:v>
                </c:pt>
                <c:pt idx="39">
                  <c:v>19.22</c:v>
                </c:pt>
                <c:pt idx="40">
                  <c:v>19.22</c:v>
                </c:pt>
                <c:pt idx="41">
                  <c:v>24.96</c:v>
                </c:pt>
                <c:pt idx="42">
                  <c:v>24.96</c:v>
                </c:pt>
                <c:pt idx="43">
                  <c:v>24.96</c:v>
                </c:pt>
                <c:pt idx="44">
                  <c:v>24.96</c:v>
                </c:pt>
                <c:pt idx="45">
                  <c:v>22.47</c:v>
                </c:pt>
                <c:pt idx="46">
                  <c:v>22.47</c:v>
                </c:pt>
                <c:pt idx="47">
                  <c:v>22.47</c:v>
                </c:pt>
                <c:pt idx="48">
                  <c:v>22.47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C-2549-8C45-A41F3B925978}"/>
            </c:ext>
          </c:extLst>
        </c:ser>
        <c:ser>
          <c:idx val="7"/>
          <c:order val="7"/>
          <c:tx>
            <c:strRef>
              <c:f>'32'!$I$1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'32'!$I$2:$I$58</c:f>
              <c:numCache>
                <c:formatCode>General</c:formatCode>
                <c:ptCount val="57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C-2549-8C45-A41F3B925978}"/>
            </c:ext>
          </c:extLst>
        </c:ser>
        <c:ser>
          <c:idx val="8"/>
          <c:order val="8"/>
          <c:tx>
            <c:strRef>
              <c:f>'32'!$J$1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'32'!$A$2:$A$58</c:f>
              <c:strCache>
                <c:ptCount val="57"/>
                <c:pt idx="0">
                  <c:v>2006/10/02</c:v>
                </c:pt>
                <c:pt idx="1">
                  <c:v>2007/01/03</c:v>
                </c:pt>
                <c:pt idx="2">
                  <c:v>2007/04/02</c:v>
                </c:pt>
                <c:pt idx="3">
                  <c:v>2007/07/02</c:v>
                </c:pt>
                <c:pt idx="4">
                  <c:v>2007/10/01</c:v>
                </c:pt>
                <c:pt idx="5">
                  <c:v>2008/01/02</c:v>
                </c:pt>
                <c:pt idx="6">
                  <c:v>2008/04/01</c:v>
                </c:pt>
                <c:pt idx="7">
                  <c:v>2008/07/01</c:v>
                </c:pt>
                <c:pt idx="8">
                  <c:v>2008/10/01</c:v>
                </c:pt>
                <c:pt idx="9">
                  <c:v>2009/01/02</c:v>
                </c:pt>
                <c:pt idx="10">
                  <c:v>2009/04/01</c:v>
                </c:pt>
                <c:pt idx="11">
                  <c:v>2009/07/01</c:v>
                </c:pt>
                <c:pt idx="12">
                  <c:v>2009/10/01</c:v>
                </c:pt>
                <c:pt idx="13">
                  <c:v>2010/01/04</c:v>
                </c:pt>
                <c:pt idx="14">
                  <c:v>2010/04/01</c:v>
                </c:pt>
                <c:pt idx="15">
                  <c:v>2010/07/01</c:v>
                </c:pt>
                <c:pt idx="16">
                  <c:v>2010/10/01</c:v>
                </c:pt>
                <c:pt idx="17">
                  <c:v>2011/01/03</c:v>
                </c:pt>
                <c:pt idx="18">
                  <c:v>2011/04/01</c:v>
                </c:pt>
                <c:pt idx="19">
                  <c:v>2011/07/01</c:v>
                </c:pt>
                <c:pt idx="20">
                  <c:v>2011/10/03</c:v>
                </c:pt>
                <c:pt idx="21">
                  <c:v>2012/01/03</c:v>
                </c:pt>
                <c:pt idx="22">
                  <c:v>2012/04/02</c:v>
                </c:pt>
                <c:pt idx="23">
                  <c:v>2012/07/02</c:v>
                </c:pt>
                <c:pt idx="24">
                  <c:v>2012/10/01</c:v>
                </c:pt>
                <c:pt idx="25">
                  <c:v>2013/01/02</c:v>
                </c:pt>
                <c:pt idx="26">
                  <c:v>2013/04/01</c:v>
                </c:pt>
                <c:pt idx="27">
                  <c:v>2013/07/01</c:v>
                </c:pt>
                <c:pt idx="28">
                  <c:v>2013/10/01</c:v>
                </c:pt>
                <c:pt idx="29">
                  <c:v>2014/01/02</c:v>
                </c:pt>
                <c:pt idx="30">
                  <c:v>2014/04/01</c:v>
                </c:pt>
                <c:pt idx="31">
                  <c:v>2014/07/01</c:v>
                </c:pt>
                <c:pt idx="32">
                  <c:v>2014/10/01</c:v>
                </c:pt>
                <c:pt idx="33">
                  <c:v>2015/01/02</c:v>
                </c:pt>
                <c:pt idx="34">
                  <c:v>2015/04/01</c:v>
                </c:pt>
                <c:pt idx="35">
                  <c:v>2015/07/01</c:v>
                </c:pt>
                <c:pt idx="36">
                  <c:v>2015/10/01</c:v>
                </c:pt>
                <c:pt idx="37">
                  <c:v>2016/01/04</c:v>
                </c:pt>
                <c:pt idx="38">
                  <c:v>2016/04/01</c:v>
                </c:pt>
                <c:pt idx="39">
                  <c:v>2016/07/01</c:v>
                </c:pt>
                <c:pt idx="40">
                  <c:v>2016/10/03</c:v>
                </c:pt>
                <c:pt idx="41">
                  <c:v>2017/01/03</c:v>
                </c:pt>
                <c:pt idx="42">
                  <c:v>2017/04/03</c:v>
                </c:pt>
                <c:pt idx="43">
                  <c:v>2017/07/03</c:v>
                </c:pt>
                <c:pt idx="44">
                  <c:v>2017/10/02</c:v>
                </c:pt>
                <c:pt idx="45">
                  <c:v>2018/01/02</c:v>
                </c:pt>
                <c:pt idx="46">
                  <c:v>2018/04/02</c:v>
                </c:pt>
                <c:pt idx="47">
                  <c:v>2018/07/02</c:v>
                </c:pt>
                <c:pt idx="48">
                  <c:v>2018/10/01</c:v>
                </c:pt>
                <c:pt idx="49">
                  <c:v>2019/01/02</c:v>
                </c:pt>
                <c:pt idx="50">
                  <c:v>2019/04/01</c:v>
                </c:pt>
                <c:pt idx="51">
                  <c:v>2019/07/01</c:v>
                </c:pt>
                <c:pt idx="52">
                  <c:v>2019/10/01</c:v>
                </c:pt>
                <c:pt idx="53">
                  <c:v>2020/01/02</c:v>
                </c:pt>
                <c:pt idx="54">
                  <c:v>2020/04/01</c:v>
                </c:pt>
                <c:pt idx="55">
                  <c:v>2020/07/01</c:v>
                </c:pt>
                <c:pt idx="56">
                  <c:v>2020/10/01</c:v>
                </c:pt>
              </c:strCache>
            </c:strRef>
          </c:cat>
          <c:val>
            <c:numRef>
              <c:f>'32'!$J$2:$J$58</c:f>
              <c:numCache>
                <c:formatCode>General</c:formatCode>
                <c:ptCount val="57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C-2549-8C45-A41F3B9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4272"/>
        <c:axId val="83812736"/>
      </c:lineChart>
      <c:catAx>
        <c:axId val="8378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790464"/>
        <c:crosses val="autoZero"/>
        <c:auto val="1"/>
        <c:lblAlgn val="ctr"/>
        <c:lblOffset val="100"/>
        <c:tickMarkSkip val="1"/>
        <c:noMultiLvlLbl val="0"/>
      </c:catAx>
      <c:valAx>
        <c:axId val="8379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8928"/>
        <c:crosses val="autoZero"/>
        <c:crossBetween val="between"/>
      </c:valAx>
      <c:valAx>
        <c:axId val="83812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3814272"/>
        <c:crosses val="max"/>
        <c:crossBetween val="between"/>
      </c:valAx>
      <c:catAx>
        <c:axId val="838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12736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'32'!$K$2:$K$58</c:f>
              <c:numCache>
                <c:formatCode>General</c:formatCode>
                <c:ptCount val="57"/>
                <c:pt idx="0">
                  <c:v>8.98876404494382E-2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7.2916666666666671E-2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4.9504950495049507E-2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7.3394495412844041E-2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7.6271186440677971E-2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9.8484848484848481E-2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6.3829787234042548E-2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3.4246575342465752E-2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-2.097902097902098E-2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2.7210884353741496E-2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3.2894736842105261E-2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1.935483870967742E-2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-4.72972972972973E-2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2-564D-B24F-503DCE52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64"/>
        <c:axId val="83914752"/>
      </c:lineChart>
      <c:catAx>
        <c:axId val="83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83914752"/>
        <c:crosses val="autoZero"/>
        <c:auto val="1"/>
        <c:lblAlgn val="ctr"/>
        <c:lblOffset val="100"/>
        <c:tickMarkSkip val="1"/>
        <c:noMultiLvlLbl val="0"/>
      </c:catAx>
      <c:valAx>
        <c:axId val="839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8864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시가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'3'!$B$2:$B$40</c:f>
              <c:numCache>
                <c:formatCode>General</c:formatCode>
                <c:ptCount val="39"/>
                <c:pt idx="0">
                  <c:v>28.45</c:v>
                </c:pt>
                <c:pt idx="1">
                  <c:v>31.43</c:v>
                </c:pt>
                <c:pt idx="2">
                  <c:v>28.59</c:v>
                </c:pt>
                <c:pt idx="3">
                  <c:v>28.93</c:v>
                </c:pt>
                <c:pt idx="4">
                  <c:v>30.54</c:v>
                </c:pt>
                <c:pt idx="5">
                  <c:v>34.1</c:v>
                </c:pt>
                <c:pt idx="6">
                  <c:v>36.58</c:v>
                </c:pt>
                <c:pt idx="7">
                  <c:v>34.229999999999997</c:v>
                </c:pt>
                <c:pt idx="8">
                  <c:v>35.69</c:v>
                </c:pt>
                <c:pt idx="9">
                  <c:v>34.99</c:v>
                </c:pt>
                <c:pt idx="10">
                  <c:v>34.01</c:v>
                </c:pt>
                <c:pt idx="11">
                  <c:v>35.18</c:v>
                </c:pt>
                <c:pt idx="12">
                  <c:v>31.8</c:v>
                </c:pt>
                <c:pt idx="13">
                  <c:v>35.5</c:v>
                </c:pt>
                <c:pt idx="14">
                  <c:v>34.93</c:v>
                </c:pt>
                <c:pt idx="15">
                  <c:v>35.28</c:v>
                </c:pt>
                <c:pt idx="16">
                  <c:v>34.369999999999997</c:v>
                </c:pt>
                <c:pt idx="17">
                  <c:v>34.53</c:v>
                </c:pt>
                <c:pt idx="18">
                  <c:v>32.6</c:v>
                </c:pt>
                <c:pt idx="19">
                  <c:v>33.78</c:v>
                </c:pt>
                <c:pt idx="20">
                  <c:v>37.1</c:v>
                </c:pt>
                <c:pt idx="21">
                  <c:v>39.1</c:v>
                </c:pt>
                <c:pt idx="22">
                  <c:v>40.85</c:v>
                </c:pt>
                <c:pt idx="23">
                  <c:v>38.630000000000003</c:v>
                </c:pt>
                <c:pt idx="24">
                  <c:v>41.78</c:v>
                </c:pt>
                <c:pt idx="25">
                  <c:v>38.68</c:v>
                </c:pt>
                <c:pt idx="26">
                  <c:v>37.590000000000003</c:v>
                </c:pt>
                <c:pt idx="27">
                  <c:v>36.35</c:v>
                </c:pt>
                <c:pt idx="28">
                  <c:v>36.31</c:v>
                </c:pt>
                <c:pt idx="29">
                  <c:v>32.479999999999997</c:v>
                </c:pt>
                <c:pt idx="30">
                  <c:v>31.78</c:v>
                </c:pt>
                <c:pt idx="31">
                  <c:v>31.74</c:v>
                </c:pt>
                <c:pt idx="32">
                  <c:v>31.2</c:v>
                </c:pt>
                <c:pt idx="33">
                  <c:v>30.72</c:v>
                </c:pt>
                <c:pt idx="34">
                  <c:v>35.08</c:v>
                </c:pt>
                <c:pt idx="35">
                  <c:v>37.479999999999997</c:v>
                </c:pt>
                <c:pt idx="36">
                  <c:v>35.369999999999997</c:v>
                </c:pt>
                <c:pt idx="37">
                  <c:v>30.75</c:v>
                </c:pt>
                <c:pt idx="38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7745-94FF-ADE0C71C6BA6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고가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'3'!$C$2:$C$40</c:f>
              <c:numCache>
                <c:formatCode>General</c:formatCode>
                <c:ptCount val="39"/>
                <c:pt idx="0">
                  <c:v>30.97</c:v>
                </c:pt>
                <c:pt idx="1">
                  <c:v>31.58</c:v>
                </c:pt>
                <c:pt idx="2">
                  <c:v>29.18</c:v>
                </c:pt>
                <c:pt idx="3">
                  <c:v>30.3</c:v>
                </c:pt>
                <c:pt idx="4">
                  <c:v>31.97</c:v>
                </c:pt>
                <c:pt idx="5">
                  <c:v>36</c:v>
                </c:pt>
                <c:pt idx="6">
                  <c:v>38.58</c:v>
                </c:pt>
                <c:pt idx="7">
                  <c:v>34.69</c:v>
                </c:pt>
                <c:pt idx="8">
                  <c:v>36.869999999999997</c:v>
                </c:pt>
                <c:pt idx="9">
                  <c:v>36.39</c:v>
                </c:pt>
                <c:pt idx="10">
                  <c:v>35.01</c:v>
                </c:pt>
                <c:pt idx="11">
                  <c:v>35.3001</c:v>
                </c:pt>
                <c:pt idx="12">
                  <c:v>35.5</c:v>
                </c:pt>
                <c:pt idx="13">
                  <c:v>35.75</c:v>
                </c:pt>
                <c:pt idx="14">
                  <c:v>35.549999999999997</c:v>
                </c:pt>
                <c:pt idx="15">
                  <c:v>35.369999999999997</c:v>
                </c:pt>
                <c:pt idx="16">
                  <c:v>34.65</c:v>
                </c:pt>
                <c:pt idx="17">
                  <c:v>36.450000000000003</c:v>
                </c:pt>
                <c:pt idx="18">
                  <c:v>33.5</c:v>
                </c:pt>
                <c:pt idx="19">
                  <c:v>34.99</c:v>
                </c:pt>
                <c:pt idx="20">
                  <c:v>39.72</c:v>
                </c:pt>
                <c:pt idx="21">
                  <c:v>43.42</c:v>
                </c:pt>
                <c:pt idx="22">
                  <c:v>41.7</c:v>
                </c:pt>
                <c:pt idx="23">
                  <c:v>42.84</c:v>
                </c:pt>
                <c:pt idx="24">
                  <c:v>42.7</c:v>
                </c:pt>
                <c:pt idx="25">
                  <c:v>39.369999999999997</c:v>
                </c:pt>
                <c:pt idx="26">
                  <c:v>39.31</c:v>
                </c:pt>
                <c:pt idx="27">
                  <c:v>39.325000000000003</c:v>
                </c:pt>
                <c:pt idx="28">
                  <c:v>37.81</c:v>
                </c:pt>
                <c:pt idx="29">
                  <c:v>34.53</c:v>
                </c:pt>
                <c:pt idx="30">
                  <c:v>34.28</c:v>
                </c:pt>
                <c:pt idx="31">
                  <c:v>32.01</c:v>
                </c:pt>
                <c:pt idx="32">
                  <c:v>31.64</c:v>
                </c:pt>
                <c:pt idx="33">
                  <c:v>33.549999999999997</c:v>
                </c:pt>
                <c:pt idx="34">
                  <c:v>38.75</c:v>
                </c:pt>
                <c:pt idx="35">
                  <c:v>39.432000000000002</c:v>
                </c:pt>
                <c:pt idx="36">
                  <c:v>38.22</c:v>
                </c:pt>
                <c:pt idx="37">
                  <c:v>33.24</c:v>
                </c:pt>
                <c:pt idx="38">
                  <c:v>30.175000000000001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7745-94FF-ADE0C71C6BA6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저가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'3'!$D$2:$D$40</c:f>
              <c:numCache>
                <c:formatCode>General</c:formatCode>
                <c:ptCount val="39"/>
                <c:pt idx="0">
                  <c:v>27.27</c:v>
                </c:pt>
                <c:pt idx="1">
                  <c:v>30.11</c:v>
                </c:pt>
                <c:pt idx="2">
                  <c:v>27.29</c:v>
                </c:pt>
                <c:pt idx="3">
                  <c:v>28.51</c:v>
                </c:pt>
                <c:pt idx="4">
                  <c:v>30.15</c:v>
                </c:pt>
                <c:pt idx="5">
                  <c:v>33.78</c:v>
                </c:pt>
                <c:pt idx="6">
                  <c:v>36.54</c:v>
                </c:pt>
                <c:pt idx="7">
                  <c:v>33.1</c:v>
                </c:pt>
                <c:pt idx="8">
                  <c:v>35.630000000000003</c:v>
                </c:pt>
                <c:pt idx="9">
                  <c:v>34.1</c:v>
                </c:pt>
                <c:pt idx="10">
                  <c:v>33.21</c:v>
                </c:pt>
                <c:pt idx="11">
                  <c:v>33.6</c:v>
                </c:pt>
                <c:pt idx="12">
                  <c:v>31.76</c:v>
                </c:pt>
                <c:pt idx="13">
                  <c:v>34.619999999999997</c:v>
                </c:pt>
                <c:pt idx="14">
                  <c:v>34.36</c:v>
                </c:pt>
                <c:pt idx="15">
                  <c:v>32.07</c:v>
                </c:pt>
                <c:pt idx="16">
                  <c:v>32.520000000000003</c:v>
                </c:pt>
                <c:pt idx="17">
                  <c:v>34.24</c:v>
                </c:pt>
                <c:pt idx="18">
                  <c:v>31.85</c:v>
                </c:pt>
                <c:pt idx="19">
                  <c:v>33.01</c:v>
                </c:pt>
                <c:pt idx="20">
                  <c:v>37.06</c:v>
                </c:pt>
                <c:pt idx="21">
                  <c:v>38.58</c:v>
                </c:pt>
                <c:pt idx="22">
                  <c:v>39.549999999999997</c:v>
                </c:pt>
                <c:pt idx="23">
                  <c:v>38.159999999999997</c:v>
                </c:pt>
                <c:pt idx="24">
                  <c:v>41.26</c:v>
                </c:pt>
                <c:pt idx="25">
                  <c:v>37.54</c:v>
                </c:pt>
                <c:pt idx="26">
                  <c:v>35.1</c:v>
                </c:pt>
                <c:pt idx="27">
                  <c:v>35.81</c:v>
                </c:pt>
                <c:pt idx="28">
                  <c:v>34.44</c:v>
                </c:pt>
                <c:pt idx="29">
                  <c:v>31.4</c:v>
                </c:pt>
                <c:pt idx="30">
                  <c:v>31.48</c:v>
                </c:pt>
                <c:pt idx="31">
                  <c:v>26.8</c:v>
                </c:pt>
                <c:pt idx="32">
                  <c:v>29.67</c:v>
                </c:pt>
                <c:pt idx="33">
                  <c:v>30.675000000000001</c:v>
                </c:pt>
                <c:pt idx="34">
                  <c:v>34.914999999999999</c:v>
                </c:pt>
                <c:pt idx="35">
                  <c:v>36.905000000000001</c:v>
                </c:pt>
                <c:pt idx="36">
                  <c:v>26.08</c:v>
                </c:pt>
                <c:pt idx="37">
                  <c:v>28.92</c:v>
                </c:pt>
                <c:pt idx="38">
                  <c:v>27.75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7745-94FF-ADE0C71C6BA6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'3'!$E$2:$E$40</c:f>
              <c:numCache>
                <c:formatCode>General</c:formatCode>
                <c:ptCount val="39"/>
                <c:pt idx="0">
                  <c:v>30.61</c:v>
                </c:pt>
                <c:pt idx="1">
                  <c:v>31.41</c:v>
                </c:pt>
                <c:pt idx="2">
                  <c:v>28.52</c:v>
                </c:pt>
                <c:pt idx="3">
                  <c:v>30.24</c:v>
                </c:pt>
                <c:pt idx="4">
                  <c:v>31.23</c:v>
                </c:pt>
                <c:pt idx="5">
                  <c:v>35.659999999999997</c:v>
                </c:pt>
                <c:pt idx="6">
                  <c:v>37.700000000000003</c:v>
                </c:pt>
                <c:pt idx="7">
                  <c:v>33.71</c:v>
                </c:pt>
                <c:pt idx="8">
                  <c:v>36.69</c:v>
                </c:pt>
                <c:pt idx="9">
                  <c:v>35.4</c:v>
                </c:pt>
                <c:pt idx="10">
                  <c:v>33.82</c:v>
                </c:pt>
                <c:pt idx="11">
                  <c:v>35.159999999999997</c:v>
                </c:pt>
                <c:pt idx="12">
                  <c:v>35.07</c:v>
                </c:pt>
                <c:pt idx="13">
                  <c:v>35.36</c:v>
                </c:pt>
                <c:pt idx="14">
                  <c:v>35.24</c:v>
                </c:pt>
                <c:pt idx="15">
                  <c:v>33.590000000000003</c:v>
                </c:pt>
                <c:pt idx="16">
                  <c:v>32.65</c:v>
                </c:pt>
                <c:pt idx="17">
                  <c:v>35.520000000000003</c:v>
                </c:pt>
                <c:pt idx="18">
                  <c:v>32.58</c:v>
                </c:pt>
                <c:pt idx="19">
                  <c:v>34.409999999999997</c:v>
                </c:pt>
                <c:pt idx="20">
                  <c:v>39.17</c:v>
                </c:pt>
                <c:pt idx="21">
                  <c:v>43.21</c:v>
                </c:pt>
                <c:pt idx="22">
                  <c:v>40.61</c:v>
                </c:pt>
                <c:pt idx="23">
                  <c:v>42.53</c:v>
                </c:pt>
                <c:pt idx="24">
                  <c:v>41.55</c:v>
                </c:pt>
                <c:pt idx="25">
                  <c:v>37.729999999999997</c:v>
                </c:pt>
                <c:pt idx="26">
                  <c:v>39.17</c:v>
                </c:pt>
                <c:pt idx="27">
                  <c:v>38.880000000000003</c:v>
                </c:pt>
                <c:pt idx="28">
                  <c:v>35.65</c:v>
                </c:pt>
                <c:pt idx="29">
                  <c:v>32.11</c:v>
                </c:pt>
                <c:pt idx="30">
                  <c:v>33.58</c:v>
                </c:pt>
                <c:pt idx="31">
                  <c:v>28.54</c:v>
                </c:pt>
                <c:pt idx="32">
                  <c:v>31.36</c:v>
                </c:pt>
                <c:pt idx="33">
                  <c:v>33.51</c:v>
                </c:pt>
                <c:pt idx="34">
                  <c:v>37.840000000000003</c:v>
                </c:pt>
                <c:pt idx="35">
                  <c:v>39.08</c:v>
                </c:pt>
                <c:pt idx="36">
                  <c:v>29.15</c:v>
                </c:pt>
                <c:pt idx="37">
                  <c:v>30.23</c:v>
                </c:pt>
                <c:pt idx="38">
                  <c:v>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54-7745-94FF-ADE0C71C6BA6}"/>
            </c:ext>
          </c:extLst>
        </c:ser>
        <c:ser>
          <c:idx val="5"/>
          <c:order val="5"/>
          <c:tx>
            <c:strRef>
              <c:f>'3'!$G$1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'3'!$G$2:$G$40</c:f>
              <c:numCache>
                <c:formatCode>General</c:formatCode>
                <c:ptCount val="39"/>
                <c:pt idx="0">
                  <c:v>31247</c:v>
                </c:pt>
                <c:pt idx="1">
                  <c:v>31495</c:v>
                </c:pt>
                <c:pt idx="2">
                  <c:v>31478</c:v>
                </c:pt>
                <c:pt idx="3">
                  <c:v>32503</c:v>
                </c:pt>
                <c:pt idx="4">
                  <c:v>31822</c:v>
                </c:pt>
                <c:pt idx="5">
                  <c:v>31575</c:v>
                </c:pt>
                <c:pt idx="6">
                  <c:v>31459</c:v>
                </c:pt>
                <c:pt idx="7">
                  <c:v>32578</c:v>
                </c:pt>
                <c:pt idx="8">
                  <c:v>31356</c:v>
                </c:pt>
                <c:pt idx="9">
                  <c:v>32075</c:v>
                </c:pt>
                <c:pt idx="10">
                  <c:v>32158</c:v>
                </c:pt>
                <c:pt idx="11">
                  <c:v>33163</c:v>
                </c:pt>
                <c:pt idx="12">
                  <c:v>32476</c:v>
                </c:pt>
                <c:pt idx="13">
                  <c:v>32575</c:v>
                </c:pt>
                <c:pt idx="14">
                  <c:v>32957</c:v>
                </c:pt>
                <c:pt idx="15">
                  <c:v>34439</c:v>
                </c:pt>
                <c:pt idx="16">
                  <c:v>32576</c:v>
                </c:pt>
                <c:pt idx="17">
                  <c:v>33015</c:v>
                </c:pt>
                <c:pt idx="18">
                  <c:v>39091</c:v>
                </c:pt>
                <c:pt idx="19">
                  <c:v>42119</c:v>
                </c:pt>
                <c:pt idx="20">
                  <c:v>40535</c:v>
                </c:pt>
                <c:pt idx="21">
                  <c:v>40520</c:v>
                </c:pt>
                <c:pt idx="22">
                  <c:v>40890</c:v>
                </c:pt>
                <c:pt idx="23">
                  <c:v>41841</c:v>
                </c:pt>
                <c:pt idx="24">
                  <c:v>39365</c:v>
                </c:pt>
                <c:pt idx="25">
                  <c:v>39837</c:v>
                </c:pt>
                <c:pt idx="26">
                  <c:v>39668</c:v>
                </c:pt>
                <c:pt idx="27">
                  <c:v>41676</c:v>
                </c:pt>
                <c:pt idx="28">
                  <c:v>38038</c:v>
                </c:pt>
                <c:pt idx="29">
                  <c:v>38986</c:v>
                </c:pt>
                <c:pt idx="30">
                  <c:v>45739</c:v>
                </c:pt>
                <c:pt idx="31">
                  <c:v>47993</c:v>
                </c:pt>
                <c:pt idx="32">
                  <c:v>44827</c:v>
                </c:pt>
                <c:pt idx="33">
                  <c:v>44957</c:v>
                </c:pt>
                <c:pt idx="34">
                  <c:v>44588</c:v>
                </c:pt>
                <c:pt idx="35">
                  <c:v>46821</c:v>
                </c:pt>
                <c:pt idx="36">
                  <c:v>42779</c:v>
                </c:pt>
                <c:pt idx="37">
                  <c:v>40950</c:v>
                </c:pt>
                <c:pt idx="38">
                  <c:v>42340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54-7745-94FF-ADE0C71C6BA6}"/>
            </c:ext>
          </c:extLst>
        </c:ser>
        <c:ser>
          <c:idx val="6"/>
          <c:order val="6"/>
          <c:tx>
            <c:strRef>
              <c:f>'3'!$H$1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'3'!$H$2:$H$40</c:f>
              <c:numCache>
                <c:formatCode>General</c:formatCode>
                <c:ptCount val="39"/>
                <c:pt idx="0">
                  <c:v>5808</c:v>
                </c:pt>
                <c:pt idx="1">
                  <c:v>6165</c:v>
                </c:pt>
                <c:pt idx="2">
                  <c:v>6235</c:v>
                </c:pt>
                <c:pt idx="3">
                  <c:v>-6080</c:v>
                </c:pt>
                <c:pt idx="4">
                  <c:v>6101</c:v>
                </c:pt>
                <c:pt idx="5">
                  <c:v>6817</c:v>
                </c:pt>
                <c:pt idx="6">
                  <c:v>6037</c:v>
                </c:pt>
                <c:pt idx="7">
                  <c:v>-5958</c:v>
                </c:pt>
                <c:pt idx="8">
                  <c:v>5940</c:v>
                </c:pt>
                <c:pt idx="9">
                  <c:v>6113</c:v>
                </c:pt>
                <c:pt idx="10">
                  <c:v>6188</c:v>
                </c:pt>
                <c:pt idx="11">
                  <c:v>12238</c:v>
                </c:pt>
                <c:pt idx="12">
                  <c:v>6278</c:v>
                </c:pt>
                <c:pt idx="13">
                  <c:v>5616</c:v>
                </c:pt>
                <c:pt idx="14">
                  <c:v>5402</c:v>
                </c:pt>
                <c:pt idx="15">
                  <c:v>-3430</c:v>
                </c:pt>
                <c:pt idx="16">
                  <c:v>5456</c:v>
                </c:pt>
                <c:pt idx="17">
                  <c:v>5712</c:v>
                </c:pt>
                <c:pt idx="18">
                  <c:v>5923</c:v>
                </c:pt>
                <c:pt idx="19">
                  <c:v>7532</c:v>
                </c:pt>
                <c:pt idx="20">
                  <c:v>7131</c:v>
                </c:pt>
                <c:pt idx="21">
                  <c:v>6560</c:v>
                </c:pt>
                <c:pt idx="22">
                  <c:v>6408</c:v>
                </c:pt>
                <c:pt idx="23">
                  <c:v>4609</c:v>
                </c:pt>
                <c:pt idx="24">
                  <c:v>6864</c:v>
                </c:pt>
                <c:pt idx="25">
                  <c:v>7323</c:v>
                </c:pt>
                <c:pt idx="26">
                  <c:v>6403</c:v>
                </c:pt>
                <c:pt idx="27">
                  <c:v>3273</c:v>
                </c:pt>
                <c:pt idx="28">
                  <c:v>6201</c:v>
                </c:pt>
                <c:pt idx="29">
                  <c:v>6466</c:v>
                </c:pt>
                <c:pt idx="30">
                  <c:v>7269</c:v>
                </c:pt>
                <c:pt idx="31">
                  <c:v>6206</c:v>
                </c:pt>
                <c:pt idx="32">
                  <c:v>7233</c:v>
                </c:pt>
                <c:pt idx="33">
                  <c:v>7500</c:v>
                </c:pt>
                <c:pt idx="34">
                  <c:v>7901</c:v>
                </c:pt>
                <c:pt idx="35">
                  <c:v>6779</c:v>
                </c:pt>
                <c:pt idx="36">
                  <c:v>7486</c:v>
                </c:pt>
                <c:pt idx="37">
                  <c:v>5851</c:v>
                </c:pt>
                <c:pt idx="38">
                  <c:v>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54-7745-94FF-ADE0C71C6BA6}"/>
            </c:ext>
          </c:extLst>
        </c:ser>
        <c:ser>
          <c:idx val="7"/>
          <c:order val="7"/>
          <c:tx>
            <c:strRef>
              <c:f>'3'!$I$1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'3'!$I$2:$I$40</c:f>
              <c:numCache>
                <c:formatCode>General</c:formatCode>
                <c:ptCount val="39"/>
                <c:pt idx="0">
                  <c:v>3408</c:v>
                </c:pt>
                <c:pt idx="1">
                  <c:v>3591</c:v>
                </c:pt>
                <c:pt idx="2">
                  <c:v>3623</c:v>
                </c:pt>
                <c:pt idx="3">
                  <c:v>-6678</c:v>
                </c:pt>
                <c:pt idx="4">
                  <c:v>3584</c:v>
                </c:pt>
                <c:pt idx="5">
                  <c:v>3902</c:v>
                </c:pt>
                <c:pt idx="6">
                  <c:v>3635</c:v>
                </c:pt>
                <c:pt idx="7">
                  <c:v>-3857</c:v>
                </c:pt>
                <c:pt idx="8">
                  <c:v>3700</c:v>
                </c:pt>
                <c:pt idx="9">
                  <c:v>3822</c:v>
                </c:pt>
                <c:pt idx="10">
                  <c:v>3814</c:v>
                </c:pt>
                <c:pt idx="11">
                  <c:v>6913</c:v>
                </c:pt>
                <c:pt idx="12">
                  <c:v>3652</c:v>
                </c:pt>
                <c:pt idx="13">
                  <c:v>3547</c:v>
                </c:pt>
                <c:pt idx="14">
                  <c:v>3002</c:v>
                </c:pt>
                <c:pt idx="15">
                  <c:v>-3977</c:v>
                </c:pt>
                <c:pt idx="16">
                  <c:v>3200</c:v>
                </c:pt>
                <c:pt idx="17">
                  <c:v>3044</c:v>
                </c:pt>
                <c:pt idx="18">
                  <c:v>2994</c:v>
                </c:pt>
                <c:pt idx="19">
                  <c:v>4006</c:v>
                </c:pt>
                <c:pt idx="20">
                  <c:v>3803</c:v>
                </c:pt>
                <c:pt idx="21">
                  <c:v>3408</c:v>
                </c:pt>
                <c:pt idx="22">
                  <c:v>3328</c:v>
                </c:pt>
                <c:pt idx="23">
                  <c:v>2437</c:v>
                </c:pt>
                <c:pt idx="24">
                  <c:v>3469</c:v>
                </c:pt>
                <c:pt idx="25">
                  <c:v>3915</c:v>
                </c:pt>
                <c:pt idx="26">
                  <c:v>3029</c:v>
                </c:pt>
                <c:pt idx="27">
                  <c:v>19037</c:v>
                </c:pt>
                <c:pt idx="28">
                  <c:v>4662</c:v>
                </c:pt>
                <c:pt idx="29">
                  <c:v>5132</c:v>
                </c:pt>
                <c:pt idx="30">
                  <c:v>4718</c:v>
                </c:pt>
                <c:pt idx="31">
                  <c:v>4858</c:v>
                </c:pt>
                <c:pt idx="32">
                  <c:v>4096</c:v>
                </c:pt>
                <c:pt idx="33">
                  <c:v>3713</c:v>
                </c:pt>
                <c:pt idx="34">
                  <c:v>3700</c:v>
                </c:pt>
                <c:pt idx="35">
                  <c:v>2394</c:v>
                </c:pt>
                <c:pt idx="36">
                  <c:v>4610</c:v>
                </c:pt>
                <c:pt idx="37">
                  <c:v>1281</c:v>
                </c:pt>
                <c:pt idx="38">
                  <c:v>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54-7745-94FF-ADE0C71C6BA6}"/>
            </c:ext>
          </c:extLst>
        </c:ser>
        <c:ser>
          <c:idx val="10"/>
          <c:order val="10"/>
          <c:tx>
            <c:strRef>
              <c:f>'3'!$L$1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'3'!$L$2:$L$40</c:f>
              <c:numCache>
                <c:formatCode>General</c:formatCode>
                <c:ptCount val="39"/>
                <c:pt idx="0">
                  <c:v>50.3</c:v>
                </c:pt>
                <c:pt idx="1">
                  <c:v>51.66</c:v>
                </c:pt>
                <c:pt idx="2">
                  <c:v>87.31</c:v>
                </c:pt>
                <c:pt idx="3">
                  <c:v>87.31</c:v>
                </c:pt>
                <c:pt idx="4">
                  <c:v>262.12</c:v>
                </c:pt>
                <c:pt idx="5">
                  <c:v>252.17</c:v>
                </c:pt>
                <c:pt idx="6">
                  <c:v>233.33</c:v>
                </c:pt>
                <c:pt idx="7">
                  <c:v>141.6</c:v>
                </c:pt>
                <c:pt idx="8">
                  <c:v>141.6</c:v>
                </c:pt>
                <c:pt idx="9">
                  <c:v>134.85</c:v>
                </c:pt>
                <c:pt idx="10">
                  <c:v>131.62</c:v>
                </c:pt>
                <c:pt idx="11">
                  <c:v>125</c:v>
                </c:pt>
                <c:pt idx="12">
                  <c:v>53.39</c:v>
                </c:pt>
                <c:pt idx="13">
                  <c:v>53.22</c:v>
                </c:pt>
                <c:pt idx="14">
                  <c:v>53.98</c:v>
                </c:pt>
                <c:pt idx="15">
                  <c:v>56.62</c:v>
                </c:pt>
                <c:pt idx="16">
                  <c:v>155.46</c:v>
                </c:pt>
                <c:pt idx="17">
                  <c:v>169.09</c:v>
                </c:pt>
                <c:pt idx="18">
                  <c:v>185.15</c:v>
                </c:pt>
                <c:pt idx="19">
                  <c:v>208.89</c:v>
                </c:pt>
                <c:pt idx="20">
                  <c:v>79.75</c:v>
                </c:pt>
                <c:pt idx="21">
                  <c:v>80.849999999999994</c:v>
                </c:pt>
                <c:pt idx="22">
                  <c:v>82.33</c:v>
                </c:pt>
                <c:pt idx="23">
                  <c:v>81.36</c:v>
                </c:pt>
                <c:pt idx="24">
                  <c:v>91.9</c:v>
                </c:pt>
                <c:pt idx="25">
                  <c:v>95.1</c:v>
                </c:pt>
                <c:pt idx="26">
                  <c:v>91.98</c:v>
                </c:pt>
                <c:pt idx="27">
                  <c:v>93.78</c:v>
                </c:pt>
                <c:pt idx="28">
                  <c:v>41.39</c:v>
                </c:pt>
                <c:pt idx="29">
                  <c:v>40</c:v>
                </c:pt>
                <c:pt idx="30">
                  <c:v>38.79</c:v>
                </c:pt>
                <c:pt idx="31">
                  <c:v>38.020000000000003</c:v>
                </c:pt>
                <c:pt idx="32">
                  <c:v>70.53</c:v>
                </c:pt>
                <c:pt idx="33">
                  <c:v>75.94</c:v>
                </c:pt>
                <c:pt idx="34">
                  <c:v>86.38</c:v>
                </c:pt>
                <c:pt idx="35">
                  <c:v>91.48</c:v>
                </c:pt>
                <c:pt idx="36">
                  <c:v>108.47</c:v>
                </c:pt>
                <c:pt idx="37">
                  <c:v>105.1</c:v>
                </c:pt>
                <c:pt idx="38">
                  <c:v>126.22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01952"/>
        <c:axId val="143103488"/>
      </c:lineChart>
      <c:lineChart>
        <c:grouping val="standard"/>
        <c:varyColors val="0"/>
        <c:ser>
          <c:idx val="4"/>
          <c:order val="4"/>
          <c:tx>
            <c:strRef>
              <c:f>'3'!$F$1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'3'!$F$2:$F$40</c:f>
              <c:numCache>
                <c:formatCode>General</c:formatCode>
                <c:ptCount val="39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0.46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  <c:pt idx="15">
                  <c:v>0.47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0.48</c:v>
                </c:pt>
                <c:pt idx="20">
                  <c:v>0.48</c:v>
                </c:pt>
                <c:pt idx="21">
                  <c:v>0.48</c:v>
                </c:pt>
                <c:pt idx="22">
                  <c:v>0.48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54-7745-94FF-ADE0C71C6BA6}"/>
            </c:ext>
          </c:extLst>
        </c:ser>
        <c:ser>
          <c:idx val="8"/>
          <c:order val="8"/>
          <c:tx>
            <c:strRef>
              <c:f>'3'!$J$1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'3'!$J$2:$J$40</c:f>
              <c:numCache>
                <c:formatCode>General</c:formatCode>
                <c:ptCount val="39"/>
                <c:pt idx="0">
                  <c:v>18.59</c:v>
                </c:pt>
                <c:pt idx="1">
                  <c:v>19.57</c:v>
                </c:pt>
                <c:pt idx="2">
                  <c:v>19.809999999999999</c:v>
                </c:pt>
                <c:pt idx="3">
                  <c:v>-18.71</c:v>
                </c:pt>
                <c:pt idx="4">
                  <c:v>19.170000000000002</c:v>
                </c:pt>
                <c:pt idx="5">
                  <c:v>21.59</c:v>
                </c:pt>
                <c:pt idx="6">
                  <c:v>19.190000000000001</c:v>
                </c:pt>
                <c:pt idx="7">
                  <c:v>-18.29</c:v>
                </c:pt>
                <c:pt idx="8">
                  <c:v>18.940000000000001</c:v>
                </c:pt>
                <c:pt idx="9">
                  <c:v>19.059999999999999</c:v>
                </c:pt>
                <c:pt idx="10">
                  <c:v>19.239999999999998</c:v>
                </c:pt>
                <c:pt idx="11">
                  <c:v>36.9</c:v>
                </c:pt>
                <c:pt idx="12">
                  <c:v>19.329999999999998</c:v>
                </c:pt>
                <c:pt idx="13">
                  <c:v>17.239999999999998</c:v>
                </c:pt>
                <c:pt idx="14">
                  <c:v>16.39</c:v>
                </c:pt>
                <c:pt idx="15">
                  <c:v>-9.9600000000000009</c:v>
                </c:pt>
                <c:pt idx="16">
                  <c:v>16.75</c:v>
                </c:pt>
                <c:pt idx="17">
                  <c:v>17.3</c:v>
                </c:pt>
                <c:pt idx="18">
                  <c:v>15.15</c:v>
                </c:pt>
                <c:pt idx="19">
                  <c:v>17.88</c:v>
                </c:pt>
                <c:pt idx="20">
                  <c:v>17.59</c:v>
                </c:pt>
                <c:pt idx="21">
                  <c:v>16.190000000000001</c:v>
                </c:pt>
                <c:pt idx="22">
                  <c:v>15.67</c:v>
                </c:pt>
                <c:pt idx="23">
                  <c:v>11.02</c:v>
                </c:pt>
                <c:pt idx="24">
                  <c:v>17.440000000000001</c:v>
                </c:pt>
                <c:pt idx="25">
                  <c:v>18.38</c:v>
                </c:pt>
                <c:pt idx="26">
                  <c:v>16.14</c:v>
                </c:pt>
                <c:pt idx="27">
                  <c:v>7.85</c:v>
                </c:pt>
                <c:pt idx="28">
                  <c:v>16.3</c:v>
                </c:pt>
                <c:pt idx="29">
                  <c:v>16.59</c:v>
                </c:pt>
                <c:pt idx="30">
                  <c:v>15.89</c:v>
                </c:pt>
                <c:pt idx="31">
                  <c:v>12.93</c:v>
                </c:pt>
                <c:pt idx="32">
                  <c:v>16.14</c:v>
                </c:pt>
                <c:pt idx="33">
                  <c:v>16.68</c:v>
                </c:pt>
                <c:pt idx="34">
                  <c:v>17.72</c:v>
                </c:pt>
                <c:pt idx="35">
                  <c:v>14.48</c:v>
                </c:pt>
                <c:pt idx="36">
                  <c:v>17.5</c:v>
                </c:pt>
                <c:pt idx="37">
                  <c:v>14.29</c:v>
                </c:pt>
                <c:pt idx="38">
                  <c:v>14.66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54-7745-94FF-ADE0C71C6BA6}"/>
            </c:ext>
          </c:extLst>
        </c:ser>
        <c:ser>
          <c:idx val="9"/>
          <c:order val="9"/>
          <c:tx>
            <c:strRef>
              <c:f>'3'!$K$1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cat>
            <c:strRef>
              <c:f>'3'!$A$2:$A$40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'3'!$K$2:$K$40</c:f>
              <c:numCache>
                <c:formatCode>General</c:formatCode>
                <c:ptCount val="39"/>
                <c:pt idx="0">
                  <c:v>10.91</c:v>
                </c:pt>
                <c:pt idx="1">
                  <c:v>11.4</c:v>
                </c:pt>
                <c:pt idx="2">
                  <c:v>11.51</c:v>
                </c:pt>
                <c:pt idx="3">
                  <c:v>-20.55</c:v>
                </c:pt>
                <c:pt idx="4">
                  <c:v>11.26</c:v>
                </c:pt>
                <c:pt idx="5">
                  <c:v>12.36</c:v>
                </c:pt>
                <c:pt idx="6">
                  <c:v>11.55</c:v>
                </c:pt>
                <c:pt idx="7">
                  <c:v>-11.84</c:v>
                </c:pt>
                <c:pt idx="8">
                  <c:v>11.8</c:v>
                </c:pt>
                <c:pt idx="9">
                  <c:v>11.92</c:v>
                </c:pt>
                <c:pt idx="10">
                  <c:v>11.86</c:v>
                </c:pt>
                <c:pt idx="11">
                  <c:v>20.85</c:v>
                </c:pt>
                <c:pt idx="12">
                  <c:v>11.25</c:v>
                </c:pt>
                <c:pt idx="13">
                  <c:v>10.89</c:v>
                </c:pt>
                <c:pt idx="14">
                  <c:v>9.11</c:v>
                </c:pt>
                <c:pt idx="15">
                  <c:v>-11.55</c:v>
                </c:pt>
                <c:pt idx="16">
                  <c:v>9.82</c:v>
                </c:pt>
                <c:pt idx="17">
                  <c:v>9.2200000000000006</c:v>
                </c:pt>
                <c:pt idx="18">
                  <c:v>7.66</c:v>
                </c:pt>
                <c:pt idx="19">
                  <c:v>9.51</c:v>
                </c:pt>
                <c:pt idx="20">
                  <c:v>9.3800000000000008</c:v>
                </c:pt>
                <c:pt idx="21">
                  <c:v>8.41</c:v>
                </c:pt>
                <c:pt idx="22">
                  <c:v>8.14</c:v>
                </c:pt>
                <c:pt idx="23">
                  <c:v>5.82</c:v>
                </c:pt>
                <c:pt idx="24">
                  <c:v>8.81</c:v>
                </c:pt>
                <c:pt idx="25">
                  <c:v>9.83</c:v>
                </c:pt>
                <c:pt idx="26">
                  <c:v>7.64</c:v>
                </c:pt>
                <c:pt idx="27">
                  <c:v>45.68</c:v>
                </c:pt>
                <c:pt idx="28">
                  <c:v>12.26</c:v>
                </c:pt>
                <c:pt idx="29">
                  <c:v>13.16</c:v>
                </c:pt>
                <c:pt idx="30">
                  <c:v>10.32</c:v>
                </c:pt>
                <c:pt idx="31">
                  <c:v>10.119999999999999</c:v>
                </c:pt>
                <c:pt idx="32">
                  <c:v>9.14</c:v>
                </c:pt>
                <c:pt idx="33">
                  <c:v>8.26</c:v>
                </c:pt>
                <c:pt idx="34">
                  <c:v>8.3000000000000007</c:v>
                </c:pt>
                <c:pt idx="35">
                  <c:v>5.1100000000000003</c:v>
                </c:pt>
                <c:pt idx="36">
                  <c:v>10.7</c:v>
                </c:pt>
                <c:pt idx="37">
                  <c:v>3</c:v>
                </c:pt>
                <c:pt idx="38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54-7745-94FF-ADE0C71C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10912"/>
        <c:axId val="143105024"/>
      </c:lineChart>
      <c:catAx>
        <c:axId val="1431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03488"/>
        <c:crosses val="autoZero"/>
        <c:auto val="1"/>
        <c:lblAlgn val="ctr"/>
        <c:lblOffset val="100"/>
        <c:tickMarkSkip val="1"/>
        <c:noMultiLvlLbl val="0"/>
      </c:catAx>
      <c:valAx>
        <c:axId val="14310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01952"/>
        <c:crosses val="autoZero"/>
        <c:crossBetween val="between"/>
      </c:valAx>
      <c:valAx>
        <c:axId val="143105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110912"/>
        <c:crosses val="max"/>
        <c:crossBetween val="between"/>
      </c:valAx>
      <c:catAx>
        <c:axId val="1431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05024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종가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'4'!$B$2:$B$40</c:f>
              <c:numCache>
                <c:formatCode>General</c:formatCode>
                <c:ptCount val="39"/>
                <c:pt idx="0">
                  <c:v>93.5</c:v>
                </c:pt>
                <c:pt idx="1">
                  <c:v>94.85</c:v>
                </c:pt>
                <c:pt idx="2">
                  <c:v>71.790000000000006</c:v>
                </c:pt>
                <c:pt idx="3">
                  <c:v>81.73</c:v>
                </c:pt>
                <c:pt idx="4">
                  <c:v>89.21</c:v>
                </c:pt>
                <c:pt idx="5">
                  <c:v>89.6</c:v>
                </c:pt>
                <c:pt idx="6">
                  <c:v>92.42</c:v>
                </c:pt>
                <c:pt idx="7">
                  <c:v>92.85</c:v>
                </c:pt>
                <c:pt idx="8">
                  <c:v>106.31</c:v>
                </c:pt>
                <c:pt idx="9">
                  <c:v>109.35</c:v>
                </c:pt>
                <c:pt idx="10">
                  <c:v>119.41</c:v>
                </c:pt>
                <c:pt idx="11">
                  <c:v>140.25</c:v>
                </c:pt>
                <c:pt idx="12">
                  <c:v>135.66</c:v>
                </c:pt>
                <c:pt idx="13">
                  <c:v>143.24</c:v>
                </c:pt>
                <c:pt idx="14">
                  <c:v>141.68</c:v>
                </c:pt>
                <c:pt idx="15">
                  <c:v>164.32</c:v>
                </c:pt>
                <c:pt idx="16">
                  <c:v>164.95</c:v>
                </c:pt>
                <c:pt idx="17">
                  <c:v>154.30000000000001</c:v>
                </c:pt>
                <c:pt idx="18">
                  <c:v>141.77000000000001</c:v>
                </c:pt>
                <c:pt idx="19">
                  <c:v>150.63999999999999</c:v>
                </c:pt>
                <c:pt idx="20">
                  <c:v>166.63</c:v>
                </c:pt>
                <c:pt idx="21">
                  <c:v>175.12</c:v>
                </c:pt>
                <c:pt idx="22">
                  <c:v>176.23</c:v>
                </c:pt>
                <c:pt idx="23">
                  <c:v>178.57</c:v>
                </c:pt>
                <c:pt idx="24">
                  <c:v>191.33</c:v>
                </c:pt>
                <c:pt idx="25">
                  <c:v>208.19</c:v>
                </c:pt>
                <c:pt idx="26">
                  <c:v>209.9</c:v>
                </c:pt>
                <c:pt idx="27">
                  <c:v>235.37</c:v>
                </c:pt>
                <c:pt idx="28">
                  <c:v>219.52</c:v>
                </c:pt>
                <c:pt idx="29">
                  <c:v>196.72</c:v>
                </c:pt>
                <c:pt idx="30">
                  <c:v>210.71</c:v>
                </c:pt>
                <c:pt idx="31">
                  <c:v>190.54</c:v>
                </c:pt>
                <c:pt idx="32">
                  <c:v>207.78</c:v>
                </c:pt>
                <c:pt idx="33">
                  <c:v>173.34</c:v>
                </c:pt>
                <c:pt idx="34">
                  <c:v>164.4</c:v>
                </c:pt>
                <c:pt idx="35">
                  <c:v>176.42</c:v>
                </c:pt>
                <c:pt idx="36">
                  <c:v>136.51</c:v>
                </c:pt>
                <c:pt idx="37">
                  <c:v>155.99</c:v>
                </c:pt>
                <c:pt idx="38">
                  <c:v>160.18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A047-BB63-4D68C3194803}"/>
            </c:ext>
          </c:extLst>
        </c:ser>
        <c:ser>
          <c:idx val="2"/>
          <c:order val="2"/>
          <c:tx>
            <c:strRef>
              <c:f>'4'!$D$1</c:f>
              <c:strCache>
                <c:ptCount val="1"/>
                <c:pt idx="0">
                  <c:v>총매출(총수익)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'4'!$D$2:$D$40</c:f>
              <c:numCache>
                <c:formatCode>General</c:formatCode>
                <c:ptCount val="39"/>
                <c:pt idx="0">
                  <c:v>7311</c:v>
                </c:pt>
                <c:pt idx="1">
                  <c:v>7680</c:v>
                </c:pt>
                <c:pt idx="2">
                  <c:v>7531</c:v>
                </c:pt>
                <c:pt idx="3">
                  <c:v>7089</c:v>
                </c:pt>
                <c:pt idx="4">
                  <c:v>7486</c:v>
                </c:pt>
                <c:pt idx="5">
                  <c:v>7534</c:v>
                </c:pt>
                <c:pt idx="6">
                  <c:v>7497</c:v>
                </c:pt>
                <c:pt idx="7">
                  <c:v>7387</c:v>
                </c:pt>
                <c:pt idx="8">
                  <c:v>7634</c:v>
                </c:pt>
                <c:pt idx="9">
                  <c:v>7752</c:v>
                </c:pt>
                <c:pt idx="10">
                  <c:v>7916</c:v>
                </c:pt>
                <c:pt idx="11">
                  <c:v>7569</c:v>
                </c:pt>
                <c:pt idx="12">
                  <c:v>7831</c:v>
                </c:pt>
                <c:pt idx="13">
                  <c:v>8134</c:v>
                </c:pt>
                <c:pt idx="14">
                  <c:v>8137</c:v>
                </c:pt>
                <c:pt idx="15">
                  <c:v>7719</c:v>
                </c:pt>
                <c:pt idx="16">
                  <c:v>7578</c:v>
                </c:pt>
                <c:pt idx="17">
                  <c:v>7686</c:v>
                </c:pt>
                <c:pt idx="18">
                  <c:v>7712</c:v>
                </c:pt>
                <c:pt idx="19">
                  <c:v>7298</c:v>
                </c:pt>
                <c:pt idx="20">
                  <c:v>7409</c:v>
                </c:pt>
                <c:pt idx="21">
                  <c:v>7662</c:v>
                </c:pt>
                <c:pt idx="22">
                  <c:v>7709</c:v>
                </c:pt>
                <c:pt idx="23">
                  <c:v>7329</c:v>
                </c:pt>
                <c:pt idx="24">
                  <c:v>7685</c:v>
                </c:pt>
                <c:pt idx="25">
                  <c:v>7810</c:v>
                </c:pt>
                <c:pt idx="26">
                  <c:v>8172</c:v>
                </c:pt>
                <c:pt idx="27">
                  <c:v>7990</c:v>
                </c:pt>
                <c:pt idx="28">
                  <c:v>8278</c:v>
                </c:pt>
                <c:pt idx="29">
                  <c:v>8390</c:v>
                </c:pt>
                <c:pt idx="30">
                  <c:v>8152</c:v>
                </c:pt>
                <c:pt idx="31">
                  <c:v>7945</c:v>
                </c:pt>
                <c:pt idx="32">
                  <c:v>7863</c:v>
                </c:pt>
                <c:pt idx="33">
                  <c:v>8171</c:v>
                </c:pt>
                <c:pt idx="34">
                  <c:v>7991</c:v>
                </c:pt>
                <c:pt idx="35">
                  <c:v>8111</c:v>
                </c:pt>
                <c:pt idx="36">
                  <c:v>8075</c:v>
                </c:pt>
                <c:pt idx="37">
                  <c:v>7176</c:v>
                </c:pt>
                <c:pt idx="38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A047-BB63-4D68C3194803}"/>
            </c:ext>
          </c:extLst>
        </c:ser>
        <c:ser>
          <c:idx val="3"/>
          <c:order val="3"/>
          <c:tx>
            <c:strRef>
              <c:f>'4'!$E$1</c:f>
              <c:strCache>
                <c:ptCount val="1"/>
                <c:pt idx="0">
                  <c:v>영업이익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'4'!$E$2:$E$40</c:f>
              <c:numCache>
                <c:formatCode>General</c:formatCode>
                <c:ptCount val="39"/>
                <c:pt idx="0">
                  <c:v>1578</c:v>
                </c:pt>
                <c:pt idx="1">
                  <c:v>1655</c:v>
                </c:pt>
                <c:pt idx="2">
                  <c:v>1581</c:v>
                </c:pt>
                <c:pt idx="3">
                  <c:v>1364</c:v>
                </c:pt>
                <c:pt idx="4">
                  <c:v>1634</c:v>
                </c:pt>
                <c:pt idx="5">
                  <c:v>1728</c:v>
                </c:pt>
                <c:pt idx="6">
                  <c:v>1678</c:v>
                </c:pt>
                <c:pt idx="7">
                  <c:v>1443</c:v>
                </c:pt>
                <c:pt idx="8">
                  <c:v>1646</c:v>
                </c:pt>
                <c:pt idx="9">
                  <c:v>1702</c:v>
                </c:pt>
                <c:pt idx="10">
                  <c:v>1739</c:v>
                </c:pt>
                <c:pt idx="11">
                  <c:v>1579</c:v>
                </c:pt>
                <c:pt idx="12">
                  <c:v>1716</c:v>
                </c:pt>
                <c:pt idx="13">
                  <c:v>1856</c:v>
                </c:pt>
                <c:pt idx="14">
                  <c:v>1901</c:v>
                </c:pt>
                <c:pt idx="15">
                  <c:v>1662</c:v>
                </c:pt>
                <c:pt idx="16">
                  <c:v>1730</c:v>
                </c:pt>
                <c:pt idx="17">
                  <c:v>1840</c:v>
                </c:pt>
                <c:pt idx="18">
                  <c:v>1876</c:v>
                </c:pt>
                <c:pt idx="19">
                  <c:v>1500</c:v>
                </c:pt>
                <c:pt idx="20">
                  <c:v>1788</c:v>
                </c:pt>
                <c:pt idx="21">
                  <c:v>1866</c:v>
                </c:pt>
                <c:pt idx="22">
                  <c:v>1904</c:v>
                </c:pt>
                <c:pt idx="23">
                  <c:v>1665</c:v>
                </c:pt>
                <c:pt idx="24">
                  <c:v>1774</c:v>
                </c:pt>
                <c:pt idx="25">
                  <c:v>1723</c:v>
                </c:pt>
                <c:pt idx="26">
                  <c:v>2041</c:v>
                </c:pt>
                <c:pt idx="27">
                  <c:v>1725</c:v>
                </c:pt>
                <c:pt idx="28">
                  <c:v>983</c:v>
                </c:pt>
                <c:pt idx="29">
                  <c:v>1895</c:v>
                </c:pt>
                <c:pt idx="30">
                  <c:v>2016</c:v>
                </c:pt>
                <c:pt idx="31">
                  <c:v>1766</c:v>
                </c:pt>
                <c:pt idx="32">
                  <c:v>1128</c:v>
                </c:pt>
                <c:pt idx="33">
                  <c:v>1702</c:v>
                </c:pt>
                <c:pt idx="34">
                  <c:v>1905</c:v>
                </c:pt>
                <c:pt idx="35">
                  <c:v>1325</c:v>
                </c:pt>
                <c:pt idx="36">
                  <c:v>1661</c:v>
                </c:pt>
                <c:pt idx="37">
                  <c:v>1353</c:v>
                </c:pt>
                <c:pt idx="38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7-A047-BB63-4D68C3194803}"/>
            </c:ext>
          </c:extLst>
        </c:ser>
        <c:ser>
          <c:idx val="4"/>
          <c:order val="4"/>
          <c:tx>
            <c:strRef>
              <c:f>'4'!$F$1</c:f>
              <c:strCache>
                <c:ptCount val="1"/>
                <c:pt idx="0">
                  <c:v>순이익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'4'!$F$2:$F$40</c:f>
              <c:numCache>
                <c:formatCode>General</c:formatCode>
                <c:ptCount val="39"/>
                <c:pt idx="0">
                  <c:v>1081</c:v>
                </c:pt>
                <c:pt idx="1">
                  <c:v>1160</c:v>
                </c:pt>
                <c:pt idx="2">
                  <c:v>1088</c:v>
                </c:pt>
                <c:pt idx="3">
                  <c:v>954</c:v>
                </c:pt>
                <c:pt idx="4">
                  <c:v>1125</c:v>
                </c:pt>
                <c:pt idx="5">
                  <c:v>1167</c:v>
                </c:pt>
                <c:pt idx="6">
                  <c:v>1161</c:v>
                </c:pt>
                <c:pt idx="7">
                  <c:v>991</c:v>
                </c:pt>
                <c:pt idx="8">
                  <c:v>1129</c:v>
                </c:pt>
                <c:pt idx="9">
                  <c:v>1197</c:v>
                </c:pt>
                <c:pt idx="10">
                  <c:v>1230</c:v>
                </c:pt>
                <c:pt idx="11">
                  <c:v>1103</c:v>
                </c:pt>
                <c:pt idx="12">
                  <c:v>1207</c:v>
                </c:pt>
                <c:pt idx="13">
                  <c:v>1267</c:v>
                </c:pt>
                <c:pt idx="14">
                  <c:v>1303</c:v>
                </c:pt>
                <c:pt idx="15">
                  <c:v>1179</c:v>
                </c:pt>
                <c:pt idx="16">
                  <c:v>1199</c:v>
                </c:pt>
                <c:pt idx="17">
                  <c:v>1300</c:v>
                </c:pt>
                <c:pt idx="18">
                  <c:v>1296</c:v>
                </c:pt>
                <c:pt idx="19">
                  <c:v>1038</c:v>
                </c:pt>
                <c:pt idx="20">
                  <c:v>1275</c:v>
                </c:pt>
                <c:pt idx="21">
                  <c:v>1291</c:v>
                </c:pt>
                <c:pt idx="22">
                  <c:v>1329</c:v>
                </c:pt>
                <c:pt idx="23">
                  <c:v>1155</c:v>
                </c:pt>
                <c:pt idx="24">
                  <c:v>1323</c:v>
                </c:pt>
                <c:pt idx="25">
                  <c:v>1583</c:v>
                </c:pt>
                <c:pt idx="26">
                  <c:v>1429</c:v>
                </c:pt>
                <c:pt idx="27">
                  <c:v>523</c:v>
                </c:pt>
                <c:pt idx="28">
                  <c:v>602</c:v>
                </c:pt>
                <c:pt idx="29">
                  <c:v>1857</c:v>
                </c:pt>
                <c:pt idx="30">
                  <c:v>1543</c:v>
                </c:pt>
                <c:pt idx="31">
                  <c:v>1347</c:v>
                </c:pt>
                <c:pt idx="32">
                  <c:v>891</c:v>
                </c:pt>
                <c:pt idx="33">
                  <c:v>1127</c:v>
                </c:pt>
                <c:pt idx="34">
                  <c:v>1583</c:v>
                </c:pt>
                <c:pt idx="35">
                  <c:v>969</c:v>
                </c:pt>
                <c:pt idx="36">
                  <c:v>1292</c:v>
                </c:pt>
                <c:pt idx="37">
                  <c:v>1290</c:v>
                </c:pt>
                <c:pt idx="38">
                  <c:v>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7-A047-BB63-4D68C3194803}"/>
            </c:ext>
          </c:extLst>
        </c:ser>
        <c:ser>
          <c:idx val="7"/>
          <c:order val="7"/>
          <c:tx>
            <c:strRef>
              <c:f>'4'!$I$1</c:f>
              <c:strCache>
                <c:ptCount val="1"/>
                <c:pt idx="0">
                  <c:v>배당성향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'4'!$I$2:$I$40</c:f>
              <c:numCache>
                <c:formatCode>General</c:formatCode>
                <c:ptCount val="39"/>
                <c:pt idx="0">
                  <c:v>36.450000000000003</c:v>
                </c:pt>
                <c:pt idx="1">
                  <c:v>36.5</c:v>
                </c:pt>
                <c:pt idx="2">
                  <c:v>36.99</c:v>
                </c:pt>
                <c:pt idx="3">
                  <c:v>36.99</c:v>
                </c:pt>
                <c:pt idx="4">
                  <c:v>36.909999999999997</c:v>
                </c:pt>
                <c:pt idx="5">
                  <c:v>36.96</c:v>
                </c:pt>
                <c:pt idx="6">
                  <c:v>37.25</c:v>
                </c:pt>
                <c:pt idx="7">
                  <c:v>37.340000000000003</c:v>
                </c:pt>
                <c:pt idx="8">
                  <c:v>37.340000000000003</c:v>
                </c:pt>
                <c:pt idx="9">
                  <c:v>37.93</c:v>
                </c:pt>
                <c:pt idx="10">
                  <c:v>38.340000000000003</c:v>
                </c:pt>
                <c:pt idx="11">
                  <c:v>38.33</c:v>
                </c:pt>
                <c:pt idx="12">
                  <c:v>37.799999999999997</c:v>
                </c:pt>
                <c:pt idx="13">
                  <c:v>40</c:v>
                </c:pt>
                <c:pt idx="14">
                  <c:v>41.97</c:v>
                </c:pt>
                <c:pt idx="15">
                  <c:v>43.9</c:v>
                </c:pt>
                <c:pt idx="16">
                  <c:v>45.66</c:v>
                </c:pt>
                <c:pt idx="17">
                  <c:v>47.55</c:v>
                </c:pt>
                <c:pt idx="18">
                  <c:v>49.09</c:v>
                </c:pt>
                <c:pt idx="19">
                  <c:v>50.78</c:v>
                </c:pt>
                <c:pt idx="20">
                  <c:v>54.09</c:v>
                </c:pt>
                <c:pt idx="21">
                  <c:v>53.79</c:v>
                </c:pt>
                <c:pt idx="22">
                  <c:v>54.46</c:v>
                </c:pt>
                <c:pt idx="23">
                  <c:v>54.85</c:v>
                </c:pt>
                <c:pt idx="24">
                  <c:v>54.41</c:v>
                </c:pt>
                <c:pt idx="25">
                  <c:v>54.47</c:v>
                </c:pt>
                <c:pt idx="26">
                  <c:v>52.11</c:v>
                </c:pt>
                <c:pt idx="27">
                  <c:v>51.73</c:v>
                </c:pt>
                <c:pt idx="28">
                  <c:v>59.27</c:v>
                </c:pt>
                <c:pt idx="29">
                  <c:v>72.37</c:v>
                </c:pt>
                <c:pt idx="30">
                  <c:v>70.12</c:v>
                </c:pt>
                <c:pt idx="31">
                  <c:v>70.44</c:v>
                </c:pt>
                <c:pt idx="32">
                  <c:v>61.19</c:v>
                </c:pt>
                <c:pt idx="33">
                  <c:v>58.6</c:v>
                </c:pt>
                <c:pt idx="34">
                  <c:v>67.55</c:v>
                </c:pt>
                <c:pt idx="35">
                  <c:v>67.38</c:v>
                </c:pt>
                <c:pt idx="36">
                  <c:v>73.75</c:v>
                </c:pt>
                <c:pt idx="37">
                  <c:v>67.959999999999994</c:v>
                </c:pt>
                <c:pt idx="38">
                  <c:v>66.06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4208"/>
        <c:axId val="143455744"/>
      </c:lineChart>
      <c:lineChart>
        <c:grouping val="standard"/>
        <c:varyColors val="0"/>
        <c:ser>
          <c:idx val="1"/>
          <c:order val="1"/>
          <c:tx>
            <c:strRef>
              <c:f>'4'!$C$1</c:f>
              <c:strCache>
                <c:ptCount val="1"/>
                <c:pt idx="0">
                  <c:v>주당배당금</c:v>
                </c:pt>
              </c:strCache>
            </c:strRef>
          </c:tx>
          <c:marker>
            <c:symbol val="none"/>
          </c:marker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'4'!$C$2:$C$40</c:f>
              <c:numCache>
                <c:formatCode>General</c:formatCode>
                <c:ptCount val="39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1.1100000000000001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1.18</c:v>
                </c:pt>
                <c:pt idx="25">
                  <c:v>1.18</c:v>
                </c:pt>
                <c:pt idx="26">
                  <c:v>1.18</c:v>
                </c:pt>
                <c:pt idx="27">
                  <c:v>1.18</c:v>
                </c:pt>
                <c:pt idx="28">
                  <c:v>1.36</c:v>
                </c:pt>
                <c:pt idx="29">
                  <c:v>1.36</c:v>
                </c:pt>
                <c:pt idx="30">
                  <c:v>1.36</c:v>
                </c:pt>
                <c:pt idx="31">
                  <c:v>1.36</c:v>
                </c:pt>
                <c:pt idx="32">
                  <c:v>1.44</c:v>
                </c:pt>
                <c:pt idx="33">
                  <c:v>1.44</c:v>
                </c:pt>
                <c:pt idx="34">
                  <c:v>1.44</c:v>
                </c:pt>
                <c:pt idx="35">
                  <c:v>1.44</c:v>
                </c:pt>
                <c:pt idx="36">
                  <c:v>1.47</c:v>
                </c:pt>
                <c:pt idx="37">
                  <c:v>1.47</c:v>
                </c:pt>
                <c:pt idx="38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7-A047-BB63-4D68C3194803}"/>
            </c:ext>
          </c:extLst>
        </c:ser>
        <c:ser>
          <c:idx val="5"/>
          <c:order val="5"/>
          <c:tx>
            <c:strRef>
              <c:f>'4'!$G$1</c:f>
              <c:strCache>
                <c:ptCount val="1"/>
                <c:pt idx="0">
                  <c:v>영업이익률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'4'!$G$2:$G$40</c:f>
              <c:numCache>
                <c:formatCode>General</c:formatCode>
                <c:ptCount val="39"/>
                <c:pt idx="0">
                  <c:v>21.58</c:v>
                </c:pt>
                <c:pt idx="1">
                  <c:v>21.55</c:v>
                </c:pt>
                <c:pt idx="2">
                  <c:v>20.99</c:v>
                </c:pt>
                <c:pt idx="3">
                  <c:v>19.239999999999998</c:v>
                </c:pt>
                <c:pt idx="4">
                  <c:v>21.83</c:v>
                </c:pt>
                <c:pt idx="5">
                  <c:v>22.94</c:v>
                </c:pt>
                <c:pt idx="6">
                  <c:v>22.38</c:v>
                </c:pt>
                <c:pt idx="7">
                  <c:v>19.53</c:v>
                </c:pt>
                <c:pt idx="8">
                  <c:v>21.56</c:v>
                </c:pt>
                <c:pt idx="9">
                  <c:v>21.96</c:v>
                </c:pt>
                <c:pt idx="10">
                  <c:v>21.97</c:v>
                </c:pt>
                <c:pt idx="11">
                  <c:v>20.86</c:v>
                </c:pt>
                <c:pt idx="12">
                  <c:v>21.91</c:v>
                </c:pt>
                <c:pt idx="13">
                  <c:v>22.82</c:v>
                </c:pt>
                <c:pt idx="14">
                  <c:v>23.36</c:v>
                </c:pt>
                <c:pt idx="15">
                  <c:v>21.53</c:v>
                </c:pt>
                <c:pt idx="16">
                  <c:v>22.83</c:v>
                </c:pt>
                <c:pt idx="17">
                  <c:v>23.94</c:v>
                </c:pt>
                <c:pt idx="18">
                  <c:v>24.33</c:v>
                </c:pt>
                <c:pt idx="19">
                  <c:v>20.55</c:v>
                </c:pt>
                <c:pt idx="20">
                  <c:v>24.13</c:v>
                </c:pt>
                <c:pt idx="21">
                  <c:v>24.35</c:v>
                </c:pt>
                <c:pt idx="22">
                  <c:v>24.7</c:v>
                </c:pt>
                <c:pt idx="23">
                  <c:v>22.72</c:v>
                </c:pt>
                <c:pt idx="24">
                  <c:v>23.08</c:v>
                </c:pt>
                <c:pt idx="25">
                  <c:v>22.06</c:v>
                </c:pt>
                <c:pt idx="26">
                  <c:v>24.98</c:v>
                </c:pt>
                <c:pt idx="27">
                  <c:v>21.59</c:v>
                </c:pt>
                <c:pt idx="28">
                  <c:v>11.87</c:v>
                </c:pt>
                <c:pt idx="29">
                  <c:v>22.59</c:v>
                </c:pt>
                <c:pt idx="30">
                  <c:v>24.73</c:v>
                </c:pt>
                <c:pt idx="31">
                  <c:v>22.23</c:v>
                </c:pt>
                <c:pt idx="32">
                  <c:v>14.35</c:v>
                </c:pt>
                <c:pt idx="33">
                  <c:v>20.83</c:v>
                </c:pt>
                <c:pt idx="34">
                  <c:v>23.84</c:v>
                </c:pt>
                <c:pt idx="35">
                  <c:v>16.34</c:v>
                </c:pt>
                <c:pt idx="36">
                  <c:v>20.57</c:v>
                </c:pt>
                <c:pt idx="37">
                  <c:v>18.850000000000001</c:v>
                </c:pt>
                <c:pt idx="38">
                  <c:v>22.86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7-A047-BB63-4D68C3194803}"/>
            </c:ext>
          </c:extLst>
        </c:ser>
        <c:ser>
          <c:idx val="6"/>
          <c:order val="6"/>
          <c:tx>
            <c:strRef>
              <c:f>'4'!$H$1</c:f>
              <c:strCache>
                <c:ptCount val="1"/>
                <c:pt idx="0">
                  <c:v>순이익률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'4'!$A$2:$A$40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'4'!$H$2:$H$40</c:f>
              <c:numCache>
                <c:formatCode>General</c:formatCode>
                <c:ptCount val="39"/>
                <c:pt idx="0">
                  <c:v>14.79</c:v>
                </c:pt>
                <c:pt idx="1">
                  <c:v>15.1</c:v>
                </c:pt>
                <c:pt idx="2">
                  <c:v>14.45</c:v>
                </c:pt>
                <c:pt idx="3">
                  <c:v>13.46</c:v>
                </c:pt>
                <c:pt idx="4">
                  <c:v>15.03</c:v>
                </c:pt>
                <c:pt idx="5">
                  <c:v>15.49</c:v>
                </c:pt>
                <c:pt idx="6">
                  <c:v>15.49</c:v>
                </c:pt>
                <c:pt idx="7">
                  <c:v>13.42</c:v>
                </c:pt>
                <c:pt idx="8">
                  <c:v>14.79</c:v>
                </c:pt>
                <c:pt idx="9">
                  <c:v>15.44</c:v>
                </c:pt>
                <c:pt idx="10">
                  <c:v>15.54</c:v>
                </c:pt>
                <c:pt idx="11">
                  <c:v>14.57</c:v>
                </c:pt>
                <c:pt idx="12">
                  <c:v>15.41</c:v>
                </c:pt>
                <c:pt idx="13">
                  <c:v>15.58</c:v>
                </c:pt>
                <c:pt idx="14">
                  <c:v>16.010000000000002</c:v>
                </c:pt>
                <c:pt idx="15">
                  <c:v>15.27</c:v>
                </c:pt>
                <c:pt idx="16">
                  <c:v>15.82</c:v>
                </c:pt>
                <c:pt idx="17">
                  <c:v>16.91</c:v>
                </c:pt>
                <c:pt idx="18">
                  <c:v>16.809999999999999</c:v>
                </c:pt>
                <c:pt idx="19">
                  <c:v>14.22</c:v>
                </c:pt>
                <c:pt idx="20">
                  <c:v>17.21</c:v>
                </c:pt>
                <c:pt idx="21">
                  <c:v>16.850000000000001</c:v>
                </c:pt>
                <c:pt idx="22">
                  <c:v>17.239999999999998</c:v>
                </c:pt>
                <c:pt idx="23">
                  <c:v>15.76</c:v>
                </c:pt>
                <c:pt idx="24">
                  <c:v>17.22</c:v>
                </c:pt>
                <c:pt idx="25">
                  <c:v>20.27</c:v>
                </c:pt>
                <c:pt idx="26">
                  <c:v>17.489999999999998</c:v>
                </c:pt>
                <c:pt idx="27">
                  <c:v>6.55</c:v>
                </c:pt>
                <c:pt idx="28">
                  <c:v>7.27</c:v>
                </c:pt>
                <c:pt idx="29">
                  <c:v>22.13</c:v>
                </c:pt>
                <c:pt idx="30">
                  <c:v>18.93</c:v>
                </c:pt>
                <c:pt idx="31">
                  <c:v>16.95</c:v>
                </c:pt>
                <c:pt idx="32">
                  <c:v>11.33</c:v>
                </c:pt>
                <c:pt idx="33">
                  <c:v>13.79</c:v>
                </c:pt>
                <c:pt idx="34">
                  <c:v>19.809999999999999</c:v>
                </c:pt>
                <c:pt idx="35">
                  <c:v>11.95</c:v>
                </c:pt>
                <c:pt idx="36">
                  <c:v>16</c:v>
                </c:pt>
                <c:pt idx="37">
                  <c:v>17.98</c:v>
                </c:pt>
                <c:pt idx="38">
                  <c:v>16.920000000000002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7-A047-BB63-4D68C3194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36192"/>
        <c:axId val="143457280"/>
      </c:lineChart>
      <c:catAx>
        <c:axId val="1434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55744"/>
        <c:crosses val="autoZero"/>
        <c:auto val="1"/>
        <c:lblAlgn val="ctr"/>
        <c:lblOffset val="100"/>
        <c:tickMarkSkip val="1"/>
        <c:noMultiLvlLbl val="0"/>
      </c:catAx>
      <c:valAx>
        <c:axId val="14345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54208"/>
        <c:crosses val="autoZero"/>
        <c:crossBetween val="between"/>
      </c:valAx>
      <c:valAx>
        <c:axId val="14345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43336192"/>
        <c:crosses val="max"/>
        <c:crossBetween val="between"/>
      </c:valAx>
      <c:catAx>
        <c:axId val="1433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457280"/>
        <c:crosses val="autoZero"/>
        <c:auto val="1"/>
        <c:lblAlgn val="ctr"/>
        <c:lblOffset val="100"/>
        <c:tickMarkSkip val="1"/>
        <c:noMultiLvlLbl val="0"/>
      </c:cat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vert="horz" wrap="none" lIns="0" tIns="0" rIns="0" bIns="0" anchor="ctr" anchorCtr="1"/>
        <a:lstStyle/>
        <a:p>
          <a:pPr algn="l">
            <a:defRPr b="1" i="0" u="none"/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'4'!$AF$1</c:f>
              <c:strCache>
                <c:ptCount val="1"/>
                <c:pt idx="0">
                  <c:v>배당성장률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'4'!$AE$2:$AE$40</c:f>
              <c:strCache>
                <c:ptCount val="39"/>
                <c:pt idx="0">
                  <c:v>2011/03/01</c:v>
                </c:pt>
                <c:pt idx="1">
                  <c:v>2011/06/01</c:v>
                </c:pt>
                <c:pt idx="2">
                  <c:v>2011/09/01</c:v>
                </c:pt>
                <c:pt idx="3">
                  <c:v>2011/12/01</c:v>
                </c:pt>
                <c:pt idx="4">
                  <c:v>2012/03/01</c:v>
                </c:pt>
                <c:pt idx="5">
                  <c:v>2012/06/01</c:v>
                </c:pt>
                <c:pt idx="6">
                  <c:v>2012/09/04</c:v>
                </c:pt>
                <c:pt idx="7">
                  <c:v>2012/12/03</c:v>
                </c:pt>
                <c:pt idx="8">
                  <c:v>2013/03/01</c:v>
                </c:pt>
                <c:pt idx="9">
                  <c:v>2013/06/03</c:v>
                </c:pt>
                <c:pt idx="10">
                  <c:v>2013/09/03</c:v>
                </c:pt>
                <c:pt idx="11">
                  <c:v>2013/12/02</c:v>
                </c:pt>
                <c:pt idx="12">
                  <c:v>2014/03/03</c:v>
                </c:pt>
                <c:pt idx="13">
                  <c:v>2014/06/02</c:v>
                </c:pt>
                <c:pt idx="14">
                  <c:v>2014/09/02</c:v>
                </c:pt>
                <c:pt idx="15">
                  <c:v>2014/12/01</c:v>
                </c:pt>
                <c:pt idx="16">
                  <c:v>2015/03/02</c:v>
                </c:pt>
                <c:pt idx="17">
                  <c:v>2015/06/01</c:v>
                </c:pt>
                <c:pt idx="18">
                  <c:v>2015/09/01</c:v>
                </c:pt>
                <c:pt idx="19">
                  <c:v>2015/12/01</c:v>
                </c:pt>
                <c:pt idx="20">
                  <c:v>2016/03/01</c:v>
                </c:pt>
                <c:pt idx="21">
                  <c:v>2016/06/01</c:v>
                </c:pt>
                <c:pt idx="22">
                  <c:v>2016/09/01</c:v>
                </c:pt>
                <c:pt idx="23">
                  <c:v>2016/12/01</c:v>
                </c:pt>
                <c:pt idx="24">
                  <c:v>2017/03/01</c:v>
                </c:pt>
                <c:pt idx="25">
                  <c:v>2017/06/01</c:v>
                </c:pt>
                <c:pt idx="26">
                  <c:v>2017/09/01</c:v>
                </c:pt>
                <c:pt idx="27">
                  <c:v>2017/12/01</c:v>
                </c:pt>
                <c:pt idx="28">
                  <c:v>2018/03/01</c:v>
                </c:pt>
                <c:pt idx="29">
                  <c:v>2018/06/01</c:v>
                </c:pt>
                <c:pt idx="30">
                  <c:v>2018/09/04</c:v>
                </c:pt>
                <c:pt idx="31">
                  <c:v>2018/12/03</c:v>
                </c:pt>
                <c:pt idx="32">
                  <c:v>2019/03/01</c:v>
                </c:pt>
                <c:pt idx="33">
                  <c:v>2019/06/03</c:v>
                </c:pt>
                <c:pt idx="34">
                  <c:v>2019/09/03</c:v>
                </c:pt>
                <c:pt idx="35">
                  <c:v>2019/12/02</c:v>
                </c:pt>
                <c:pt idx="36">
                  <c:v>2020/03/02</c:v>
                </c:pt>
                <c:pt idx="37">
                  <c:v>2020/06/01</c:v>
                </c:pt>
                <c:pt idx="38">
                  <c:v>2020/09/01</c:v>
                </c:pt>
              </c:strCache>
            </c:strRef>
          </c:cat>
          <c:val>
            <c:numRef>
              <c:f>'4'!$AF$2:$AF$40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7.2727272727272585E-2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8.4745762711864486E-2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0.34374999999999994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0.19767441860465121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7.7669902912621422E-2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6.3063063063062919E-2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0.15254237288135608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5.8823529411764594E-2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2.0833333333333353E-2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8-2243-8B58-A58BF622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6880"/>
        <c:axId val="76943360"/>
      </c:lineChart>
      <c:catAx>
        <c:axId val="1433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43360"/>
        <c:crosses val="autoZero"/>
        <c:auto val="1"/>
        <c:lblAlgn val="ctr"/>
        <c:lblOffset val="100"/>
        <c:tickMarkSkip val="1"/>
        <c:noMultiLvlLbl val="0"/>
      </c:catAx>
      <c:valAx>
        <c:axId val="769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38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163587</xdr:colOff>
      <xdr:row>35</xdr:row>
      <xdr:rowOff>71665</xdr:rowOff>
    </xdr:from>
    <xdr:to>
      <xdr:col>17</xdr:col>
      <xdr:colOff>725546</xdr:colOff>
      <xdr:row>63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B887C9-CC5B-0246-93CB-CC948C07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133351</xdr:colOff>
      <xdr:row>2</xdr:row>
      <xdr:rowOff>103111</xdr:rowOff>
    </xdr:from>
    <xdr:to>
      <xdr:col>17</xdr:col>
      <xdr:colOff>744484</xdr:colOff>
      <xdr:row>33</xdr:row>
      <xdr:rowOff>145977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7D6F3E-2CB1-C14B-BA70-00B50E6A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1</xdr:row>
      <xdr:rowOff>104775</xdr:rowOff>
    </xdr:from>
    <xdr:to>
      <xdr:col>30</xdr:col>
      <xdr:colOff>438150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171449</xdr:colOff>
      <xdr:row>1</xdr:row>
      <xdr:rowOff>133350</xdr:rowOff>
    </xdr:from>
    <xdr:to>
      <xdr:col>50</xdr:col>
      <xdr:colOff>76200</xdr:colOff>
      <xdr:row>39</xdr:row>
      <xdr:rowOff>85724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1</xdr:row>
      <xdr:rowOff>76200</xdr:rowOff>
    </xdr:from>
    <xdr:to>
      <xdr:col>28</xdr:col>
      <xdr:colOff>409575</xdr:colOff>
      <xdr:row>33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542925</xdr:colOff>
      <xdr:row>1</xdr:row>
      <xdr:rowOff>85724</xdr:rowOff>
    </xdr:from>
    <xdr:to>
      <xdr:col>44</xdr:col>
      <xdr:colOff>257175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28575</xdr:rowOff>
    </xdr:from>
    <xdr:to>
      <xdr:col>31</xdr:col>
      <xdr:colOff>104775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257175</xdr:colOff>
      <xdr:row>1</xdr:row>
      <xdr:rowOff>180975</xdr:rowOff>
    </xdr:from>
    <xdr:to>
      <xdr:col>49</xdr:col>
      <xdr:colOff>85724</xdr:colOff>
      <xdr:row>37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190500</xdr:rowOff>
    </xdr:from>
    <xdr:to>
      <xdr:col>31</xdr:col>
      <xdr:colOff>28575</xdr:colOff>
      <xdr:row>40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142875</xdr:colOff>
      <xdr:row>1</xdr:row>
      <xdr:rowOff>152400</xdr:rowOff>
    </xdr:from>
    <xdr:to>
      <xdr:col>45</xdr:col>
      <xdr:colOff>600075</xdr:colOff>
      <xdr:row>31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85724</xdr:rowOff>
    </xdr:from>
    <xdr:to>
      <xdr:col>31</xdr:col>
      <xdr:colOff>342899</xdr:colOff>
      <xdr:row>40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9525</xdr:colOff>
      <xdr:row>1</xdr:row>
      <xdr:rowOff>190500</xdr:rowOff>
    </xdr:from>
    <xdr:to>
      <xdr:col>49</xdr:col>
      <xdr:colOff>600075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1</xdr:row>
      <xdr:rowOff>133350</xdr:rowOff>
    </xdr:from>
    <xdr:to>
      <xdr:col>30</xdr:col>
      <xdr:colOff>438150</xdr:colOff>
      <xdr:row>38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266700</xdr:colOff>
      <xdr:row>1</xdr:row>
      <xdr:rowOff>114300</xdr:rowOff>
    </xdr:from>
    <xdr:to>
      <xdr:col>47</xdr:col>
      <xdr:colOff>161925</xdr:colOff>
      <xdr:row>32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161925</xdr:rowOff>
    </xdr:from>
    <xdr:to>
      <xdr:col>30</xdr:col>
      <xdr:colOff>514350</xdr:colOff>
      <xdr:row>39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1</xdr:row>
      <xdr:rowOff>200025</xdr:rowOff>
    </xdr:from>
    <xdr:to>
      <xdr:col>47</xdr:col>
      <xdr:colOff>314325</xdr:colOff>
      <xdr:row>33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219075</xdr:colOff>
      <xdr:row>1</xdr:row>
      <xdr:rowOff>114300</xdr:rowOff>
    </xdr:from>
    <xdr:to>
      <xdr:col>31</xdr:col>
      <xdr:colOff>428625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104775</xdr:colOff>
      <xdr:row>2</xdr:row>
      <xdr:rowOff>200025</xdr:rowOff>
    </xdr:from>
    <xdr:to>
      <xdr:col>48</xdr:col>
      <xdr:colOff>457200</xdr:colOff>
      <xdr:row>36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314325</xdr:colOff>
      <xdr:row>1</xdr:row>
      <xdr:rowOff>190500</xdr:rowOff>
    </xdr:from>
    <xdr:to>
      <xdr:col>30</xdr:col>
      <xdr:colOff>209550</xdr:colOff>
      <xdr:row>39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3</xdr:row>
      <xdr:rowOff>114300</xdr:rowOff>
    </xdr:from>
    <xdr:to>
      <xdr:col>48</xdr:col>
      <xdr:colOff>238125</xdr:colOff>
      <xdr:row>37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190500</xdr:colOff>
      <xdr:row>1</xdr:row>
      <xdr:rowOff>95250</xdr:rowOff>
    </xdr:from>
    <xdr:to>
      <xdr:col>31</xdr:col>
      <xdr:colOff>161925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485775</xdr:colOff>
      <xdr:row>1</xdr:row>
      <xdr:rowOff>190500</xdr:rowOff>
    </xdr:from>
    <xdr:to>
      <xdr:col>48</xdr:col>
      <xdr:colOff>514350</xdr:colOff>
      <xdr:row>35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495188</xdr:colOff>
      <xdr:row>0</xdr:row>
      <xdr:rowOff>55590</xdr:rowOff>
    </xdr:from>
    <xdr:to>
      <xdr:col>18</xdr:col>
      <xdr:colOff>364067</xdr:colOff>
      <xdr:row>30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219C15-3BB1-F64F-8F75-CDC1F2D5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79443</xdr:colOff>
      <xdr:row>90</xdr:row>
      <xdr:rowOff>99168</xdr:rowOff>
    </xdr:from>
    <xdr:to>
      <xdr:col>17</xdr:col>
      <xdr:colOff>394403</xdr:colOff>
      <xdr:row>114</xdr:row>
      <xdr:rowOff>166223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F22F14-8E86-FC42-BBAB-9708CA06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1</xdr:row>
      <xdr:rowOff>123824</xdr:rowOff>
    </xdr:from>
    <xdr:to>
      <xdr:col>30</xdr:col>
      <xdr:colOff>104775</xdr:colOff>
      <xdr:row>38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266700</xdr:colOff>
      <xdr:row>2</xdr:row>
      <xdr:rowOff>95250</xdr:rowOff>
    </xdr:from>
    <xdr:to>
      <xdr:col>44</xdr:col>
      <xdr:colOff>295275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123824</xdr:colOff>
      <xdr:row>1</xdr:row>
      <xdr:rowOff>200025</xdr:rowOff>
    </xdr:from>
    <xdr:to>
      <xdr:col>30</xdr:col>
      <xdr:colOff>285750</xdr:colOff>
      <xdr:row>38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3</xdr:row>
      <xdr:rowOff>152400</xdr:rowOff>
    </xdr:from>
    <xdr:to>
      <xdr:col>46</xdr:col>
      <xdr:colOff>123824</xdr:colOff>
      <xdr:row>33</xdr:row>
      <xdr:rowOff>171449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1</xdr:row>
      <xdr:rowOff>104775</xdr:rowOff>
    </xdr:from>
    <xdr:to>
      <xdr:col>30</xdr:col>
      <xdr:colOff>247649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600075</xdr:colOff>
      <xdr:row>2</xdr:row>
      <xdr:rowOff>152400</xdr:rowOff>
    </xdr:from>
    <xdr:to>
      <xdr:col>48</xdr:col>
      <xdr:colOff>600075</xdr:colOff>
      <xdr:row>38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1</xdr:row>
      <xdr:rowOff>57150</xdr:rowOff>
    </xdr:from>
    <xdr:to>
      <xdr:col>30</xdr:col>
      <xdr:colOff>95250</xdr:colOff>
      <xdr:row>39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523875</xdr:colOff>
      <xdr:row>1</xdr:row>
      <xdr:rowOff>104775</xdr:rowOff>
    </xdr:from>
    <xdr:to>
      <xdr:col>47</xdr:col>
      <xdr:colOff>304800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171449</xdr:colOff>
      <xdr:row>0</xdr:row>
      <xdr:rowOff>180975</xdr:rowOff>
    </xdr:from>
    <xdr:to>
      <xdr:col>30</xdr:col>
      <xdr:colOff>314325</xdr:colOff>
      <xdr:row>39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571500</xdr:colOff>
      <xdr:row>3</xdr:row>
      <xdr:rowOff>133350</xdr:rowOff>
    </xdr:from>
    <xdr:to>
      <xdr:col>37</xdr:col>
      <xdr:colOff>381000</xdr:colOff>
      <xdr:row>17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285750</xdr:colOff>
      <xdr:row>1</xdr:row>
      <xdr:rowOff>180975</xdr:rowOff>
    </xdr:from>
    <xdr:to>
      <xdr:col>30</xdr:col>
      <xdr:colOff>142875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30</xdr:col>
      <xdr:colOff>247649</xdr:colOff>
      <xdr:row>8</xdr:row>
      <xdr:rowOff>0</xdr:rowOff>
    </xdr:from>
    <xdr:to>
      <xdr:col>36</xdr:col>
      <xdr:colOff>600075</xdr:colOff>
      <xdr:row>21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2</xdr:row>
      <xdr:rowOff>19050</xdr:rowOff>
    </xdr:from>
    <xdr:to>
      <xdr:col>30</xdr:col>
      <xdr:colOff>285750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152400</xdr:rowOff>
    </xdr:from>
    <xdr:to>
      <xdr:col>20</xdr:col>
      <xdr:colOff>209550</xdr:colOff>
      <xdr:row>54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342899</xdr:colOff>
      <xdr:row>1</xdr:row>
      <xdr:rowOff>152400</xdr:rowOff>
    </xdr:from>
    <xdr:to>
      <xdr:col>29</xdr:col>
      <xdr:colOff>600075</xdr:colOff>
      <xdr:row>38</xdr:row>
      <xdr:rowOff>171449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95250</xdr:colOff>
      <xdr:row>12</xdr:row>
      <xdr:rowOff>38100</xdr:rowOff>
    </xdr:from>
    <xdr:to>
      <xdr:col>37</xdr:col>
      <xdr:colOff>504825</xdr:colOff>
      <xdr:row>25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247649</xdr:colOff>
      <xdr:row>1</xdr:row>
      <xdr:rowOff>38100</xdr:rowOff>
    </xdr:from>
    <xdr:to>
      <xdr:col>33</xdr:col>
      <xdr:colOff>371475</xdr:colOff>
      <xdr:row>39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600075</xdr:colOff>
      <xdr:row>40</xdr:row>
      <xdr:rowOff>76200</xdr:rowOff>
    </xdr:from>
    <xdr:to>
      <xdr:col>21</xdr:col>
      <xdr:colOff>371475</xdr:colOff>
      <xdr:row>53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2</xdr:row>
      <xdr:rowOff>76200</xdr:rowOff>
    </xdr:from>
    <xdr:to>
      <xdr:col>27</xdr:col>
      <xdr:colOff>561975</xdr:colOff>
      <xdr:row>39</xdr:row>
      <xdr:rowOff>123824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571500</xdr:colOff>
      <xdr:row>9</xdr:row>
      <xdr:rowOff>95250</xdr:rowOff>
    </xdr:from>
    <xdr:to>
      <xdr:col>34</xdr:col>
      <xdr:colOff>295275</xdr:colOff>
      <xdr:row>22</xdr:row>
      <xdr:rowOff>123824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1</xdr:row>
      <xdr:rowOff>161925</xdr:rowOff>
    </xdr:from>
    <xdr:to>
      <xdr:col>29</xdr:col>
      <xdr:colOff>381000</xdr:colOff>
      <xdr:row>40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28575</xdr:rowOff>
    </xdr:from>
    <xdr:to>
      <xdr:col>30</xdr:col>
      <xdr:colOff>476250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381000</xdr:colOff>
      <xdr:row>17</xdr:row>
      <xdr:rowOff>161925</xdr:rowOff>
    </xdr:from>
    <xdr:to>
      <xdr:col>38</xdr:col>
      <xdr:colOff>104775</xdr:colOff>
      <xdr:row>30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1</xdr:row>
      <xdr:rowOff>161925</xdr:rowOff>
    </xdr:from>
    <xdr:to>
      <xdr:col>26</xdr:col>
      <xdr:colOff>600075</xdr:colOff>
      <xdr:row>37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247649</xdr:colOff>
      <xdr:row>3</xdr:row>
      <xdr:rowOff>38100</xdr:rowOff>
    </xdr:from>
    <xdr:to>
      <xdr:col>34</xdr:col>
      <xdr:colOff>600075</xdr:colOff>
      <xdr:row>16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1</xdr:row>
      <xdr:rowOff>142875</xdr:rowOff>
    </xdr:from>
    <xdr:to>
      <xdr:col>31</xdr:col>
      <xdr:colOff>314325</xdr:colOff>
      <xdr:row>40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352425</xdr:colOff>
      <xdr:row>1</xdr:row>
      <xdr:rowOff>95250</xdr:rowOff>
    </xdr:from>
    <xdr:to>
      <xdr:col>21</xdr:col>
      <xdr:colOff>600075</xdr:colOff>
      <xdr:row>21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238125</xdr:colOff>
      <xdr:row>22</xdr:row>
      <xdr:rowOff>180975</xdr:rowOff>
    </xdr:from>
    <xdr:to>
      <xdr:col>19</xdr:col>
      <xdr:colOff>9525</xdr:colOff>
      <xdr:row>36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104775</xdr:rowOff>
    </xdr:from>
    <xdr:to>
      <xdr:col>19</xdr:col>
      <xdr:colOff>495299</xdr:colOff>
      <xdr:row>17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19</xdr:row>
      <xdr:rowOff>19050</xdr:rowOff>
    </xdr:from>
    <xdr:to>
      <xdr:col>18</xdr:col>
      <xdr:colOff>571500</xdr:colOff>
      <xdr:row>32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1</xdr:row>
      <xdr:rowOff>123824</xdr:rowOff>
    </xdr:from>
    <xdr:to>
      <xdr:col>25</xdr:col>
      <xdr:colOff>504825</xdr:colOff>
      <xdr:row>34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0</xdr:row>
      <xdr:rowOff>95250</xdr:rowOff>
    </xdr:from>
    <xdr:to>
      <xdr:col>31</xdr:col>
      <xdr:colOff>600075</xdr:colOff>
      <xdr:row>39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</xdr:row>
      <xdr:rowOff>76200</xdr:rowOff>
    </xdr:from>
    <xdr:to>
      <xdr:col>29</xdr:col>
      <xdr:colOff>600075</xdr:colOff>
      <xdr:row>42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47625</xdr:colOff>
      <xdr:row>13</xdr:row>
      <xdr:rowOff>47625</xdr:rowOff>
    </xdr:from>
    <xdr:to>
      <xdr:col>47</xdr:col>
      <xdr:colOff>381000</xdr:colOff>
      <xdr:row>41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123824</xdr:rowOff>
    </xdr:from>
    <xdr:to>
      <xdr:col>32</xdr:col>
      <xdr:colOff>457200</xdr:colOff>
      <xdr:row>40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523875</xdr:colOff>
      <xdr:row>11</xdr:row>
      <xdr:rowOff>28575</xdr:rowOff>
    </xdr:from>
    <xdr:to>
      <xdr:col>49</xdr:col>
      <xdr:colOff>476250</xdr:colOff>
      <xdr:row>41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590550</xdr:colOff>
      <xdr:row>2</xdr:row>
      <xdr:rowOff>95250</xdr:rowOff>
    </xdr:from>
    <xdr:to>
      <xdr:col>28</xdr:col>
      <xdr:colOff>314325</xdr:colOff>
      <xdr:row>37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419100</xdr:colOff>
      <xdr:row>3</xdr:row>
      <xdr:rowOff>57150</xdr:rowOff>
    </xdr:from>
    <xdr:to>
      <xdr:col>45</xdr:col>
      <xdr:colOff>190500</xdr:colOff>
      <xdr:row>36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</xdr:row>
      <xdr:rowOff>123824</xdr:rowOff>
    </xdr:from>
    <xdr:to>
      <xdr:col>31</xdr:col>
      <xdr:colOff>600075</xdr:colOff>
      <xdr:row>40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32</xdr:col>
      <xdr:colOff>371475</xdr:colOff>
      <xdr:row>2</xdr:row>
      <xdr:rowOff>19050</xdr:rowOff>
    </xdr:from>
    <xdr:to>
      <xdr:col>52</xdr:col>
      <xdr:colOff>428625</xdr:colOff>
      <xdr:row>42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종가</v>
          </cell>
          <cell r="F5" t="str">
            <v>종가</v>
          </cell>
        </row>
        <row r="6">
          <cell r="B6">
            <v>44773</v>
          </cell>
          <cell r="C6">
            <v>172.12</v>
          </cell>
          <cell r="E6">
            <v>44773</v>
          </cell>
          <cell r="F6">
            <v>900.09</v>
          </cell>
        </row>
        <row r="7">
          <cell r="B7">
            <v>44742</v>
          </cell>
          <cell r="C7">
            <v>162.51</v>
          </cell>
          <cell r="E7">
            <v>44742</v>
          </cell>
          <cell r="F7">
            <v>891.45</v>
          </cell>
        </row>
        <row r="8">
          <cell r="B8">
            <v>44712</v>
          </cell>
          <cell r="C8">
            <v>136.72</v>
          </cell>
          <cell r="E8">
            <v>44712</v>
          </cell>
          <cell r="F8">
            <v>673.42</v>
          </cell>
        </row>
        <row r="9">
          <cell r="B9">
            <v>44681</v>
          </cell>
          <cell r="C9">
            <v>148.84</v>
          </cell>
          <cell r="E9">
            <v>44681</v>
          </cell>
          <cell r="F9">
            <v>758.26</v>
          </cell>
        </row>
        <row r="10">
          <cell r="B10">
            <v>44651</v>
          </cell>
          <cell r="C10">
            <v>157.65</v>
          </cell>
          <cell r="E10">
            <v>44651</v>
          </cell>
          <cell r="F10">
            <v>870.76</v>
          </cell>
        </row>
        <row r="11">
          <cell r="B11">
            <v>44620</v>
          </cell>
          <cell r="C11">
            <v>174.61</v>
          </cell>
          <cell r="E11">
            <v>44620</v>
          </cell>
          <cell r="F11">
            <v>1077.5999999999999</v>
          </cell>
        </row>
        <row r="12">
          <cell r="B12">
            <v>44592</v>
          </cell>
          <cell r="C12">
            <v>165.12</v>
          </cell>
          <cell r="E12">
            <v>44592</v>
          </cell>
          <cell r="F12">
            <v>870.43</v>
          </cell>
        </row>
        <row r="13">
          <cell r="B13">
            <v>44561</v>
          </cell>
          <cell r="C13">
            <v>174.78</v>
          </cell>
          <cell r="E13">
            <v>44561</v>
          </cell>
          <cell r="F13">
            <v>936.72</v>
          </cell>
        </row>
        <row r="14">
          <cell r="B14">
            <v>44530</v>
          </cell>
          <cell r="C14">
            <v>177.57</v>
          </cell>
          <cell r="E14">
            <v>44530</v>
          </cell>
          <cell r="F14">
            <v>1056.78</v>
          </cell>
        </row>
        <row r="15">
          <cell r="B15">
            <v>44500</v>
          </cell>
          <cell r="C15">
            <v>165.3</v>
          </cell>
          <cell r="E15">
            <v>44500</v>
          </cell>
          <cell r="F15">
            <v>1144.76</v>
          </cell>
        </row>
        <row r="16">
          <cell r="B16">
            <v>44469</v>
          </cell>
          <cell r="C16">
            <v>149.80000000000001</v>
          </cell>
          <cell r="E16">
            <v>44469</v>
          </cell>
          <cell r="F16">
            <v>1114</v>
          </cell>
        </row>
        <row r="17">
          <cell r="B17">
            <v>44439</v>
          </cell>
          <cell r="C17">
            <v>141.5</v>
          </cell>
          <cell r="E17">
            <v>44439</v>
          </cell>
          <cell r="F17">
            <v>775.48</v>
          </cell>
        </row>
        <row r="18">
          <cell r="B18">
            <v>44408</v>
          </cell>
          <cell r="C18">
            <v>151.83000000000001</v>
          </cell>
          <cell r="E18">
            <v>44408</v>
          </cell>
          <cell r="F18">
            <v>735.72</v>
          </cell>
        </row>
        <row r="19">
          <cell r="B19">
            <v>44377</v>
          </cell>
          <cell r="C19">
            <v>145.86000000000001</v>
          </cell>
          <cell r="E19">
            <v>44377</v>
          </cell>
          <cell r="F19">
            <v>687.2</v>
          </cell>
        </row>
        <row r="20">
          <cell r="B20">
            <v>44347</v>
          </cell>
          <cell r="C20">
            <v>136.96</v>
          </cell>
          <cell r="E20">
            <v>44347</v>
          </cell>
          <cell r="F20">
            <v>679.7</v>
          </cell>
        </row>
        <row r="21">
          <cell r="B21">
            <v>44316</v>
          </cell>
          <cell r="C21">
            <v>124.61</v>
          </cell>
          <cell r="E21">
            <v>44316</v>
          </cell>
          <cell r="F21">
            <v>625.22</v>
          </cell>
        </row>
        <row r="22">
          <cell r="B22">
            <v>44286</v>
          </cell>
          <cell r="C22">
            <v>131.46</v>
          </cell>
          <cell r="E22">
            <v>44286</v>
          </cell>
          <cell r="F22">
            <v>709.44</v>
          </cell>
        </row>
        <row r="23">
          <cell r="B23">
            <v>44255</v>
          </cell>
          <cell r="C23">
            <v>122.15</v>
          </cell>
          <cell r="E23">
            <v>44255</v>
          </cell>
          <cell r="F23">
            <v>667.93</v>
          </cell>
        </row>
        <row r="24">
          <cell r="B24">
            <v>44227</v>
          </cell>
          <cell r="C24">
            <v>121.26</v>
          </cell>
          <cell r="E24">
            <v>44227</v>
          </cell>
          <cell r="F24">
            <v>675.5</v>
          </cell>
        </row>
        <row r="25">
          <cell r="B25">
            <v>44196</v>
          </cell>
          <cell r="C25">
            <v>131.96</v>
          </cell>
          <cell r="E25">
            <v>44196</v>
          </cell>
          <cell r="F25">
            <v>793.53</v>
          </cell>
        </row>
        <row r="26">
          <cell r="B26">
            <v>44165</v>
          </cell>
          <cell r="C26">
            <v>132.69</v>
          </cell>
          <cell r="E26">
            <v>44165</v>
          </cell>
          <cell r="F26">
            <v>705.67</v>
          </cell>
        </row>
        <row r="27">
          <cell r="B27">
            <v>44135</v>
          </cell>
          <cell r="C27">
            <v>119.05</v>
          </cell>
          <cell r="E27">
            <v>44135</v>
          </cell>
          <cell r="F27">
            <v>567.6</v>
          </cell>
        </row>
        <row r="28">
          <cell r="B28">
            <v>44104</v>
          </cell>
          <cell r="C28">
            <v>108.86</v>
          </cell>
          <cell r="E28">
            <v>44104</v>
          </cell>
          <cell r="F28">
            <v>388.04</v>
          </cell>
        </row>
        <row r="29">
          <cell r="B29">
            <v>44074</v>
          </cell>
          <cell r="C29">
            <v>115.81</v>
          </cell>
          <cell r="E29">
            <v>44074</v>
          </cell>
          <cell r="F29">
            <v>429.01</v>
          </cell>
        </row>
        <row r="30">
          <cell r="B30">
            <v>44043</v>
          </cell>
          <cell r="C30">
            <v>129.04</v>
          </cell>
          <cell r="E30">
            <v>44043</v>
          </cell>
          <cell r="F30">
            <v>498.32</v>
          </cell>
        </row>
        <row r="31">
          <cell r="B31">
            <v>44012</v>
          </cell>
          <cell r="C31">
            <v>106.26</v>
          </cell>
          <cell r="E31">
            <v>44012</v>
          </cell>
          <cell r="F31">
            <v>286.14999999999998</v>
          </cell>
        </row>
        <row r="32">
          <cell r="B32">
            <v>43982</v>
          </cell>
          <cell r="C32">
            <v>91.2</v>
          </cell>
          <cell r="E32">
            <v>43982</v>
          </cell>
          <cell r="F32">
            <v>215.96</v>
          </cell>
        </row>
        <row r="33">
          <cell r="B33">
            <v>43951</v>
          </cell>
          <cell r="C33">
            <v>79.48</v>
          </cell>
          <cell r="E33">
            <v>43951</v>
          </cell>
          <cell r="F33">
            <v>167</v>
          </cell>
        </row>
        <row r="34">
          <cell r="B34">
            <v>43921</v>
          </cell>
          <cell r="C34">
            <v>73.45</v>
          </cell>
          <cell r="E34">
            <v>43921</v>
          </cell>
          <cell r="F34">
            <v>156.38</v>
          </cell>
        </row>
        <row r="35">
          <cell r="B35">
            <v>43890</v>
          </cell>
          <cell r="C35">
            <v>63.57</v>
          </cell>
          <cell r="E35">
            <v>43890</v>
          </cell>
          <cell r="F35">
            <v>104.8</v>
          </cell>
        </row>
        <row r="36">
          <cell r="B36">
            <v>43861</v>
          </cell>
          <cell r="C36">
            <v>68.34</v>
          </cell>
          <cell r="E36">
            <v>43861</v>
          </cell>
          <cell r="F36">
            <v>133.6</v>
          </cell>
        </row>
        <row r="37">
          <cell r="B37">
            <v>43830</v>
          </cell>
          <cell r="C37">
            <v>77.38</v>
          </cell>
          <cell r="E37">
            <v>43830</v>
          </cell>
          <cell r="F37">
            <v>130.11000000000001</v>
          </cell>
        </row>
        <row r="38">
          <cell r="B38">
            <v>43799</v>
          </cell>
          <cell r="C38">
            <v>73.41</v>
          </cell>
          <cell r="E38">
            <v>43799</v>
          </cell>
          <cell r="F38">
            <v>83.67</v>
          </cell>
        </row>
        <row r="39">
          <cell r="B39">
            <v>43769</v>
          </cell>
          <cell r="C39">
            <v>66.81</v>
          </cell>
          <cell r="E39">
            <v>43769</v>
          </cell>
          <cell r="F39">
            <v>65.989999999999995</v>
          </cell>
        </row>
        <row r="40">
          <cell r="B40">
            <v>43738</v>
          </cell>
          <cell r="C40">
            <v>62.19</v>
          </cell>
          <cell r="E40">
            <v>43738</v>
          </cell>
          <cell r="F40">
            <v>62.98</v>
          </cell>
        </row>
        <row r="41">
          <cell r="B41">
            <v>43708</v>
          </cell>
          <cell r="C41">
            <v>55.99</v>
          </cell>
          <cell r="E41">
            <v>43708</v>
          </cell>
          <cell r="F41">
            <v>48.17</v>
          </cell>
        </row>
        <row r="42">
          <cell r="B42">
            <v>43677</v>
          </cell>
          <cell r="C42">
            <v>52.19</v>
          </cell>
          <cell r="E42">
            <v>43677</v>
          </cell>
          <cell r="F42">
            <v>45.12</v>
          </cell>
        </row>
        <row r="43">
          <cell r="B43">
            <v>43646</v>
          </cell>
          <cell r="C43">
            <v>53.26</v>
          </cell>
          <cell r="E43">
            <v>43646</v>
          </cell>
          <cell r="F43">
            <v>48.32</v>
          </cell>
        </row>
        <row r="44">
          <cell r="B44">
            <v>43616</v>
          </cell>
          <cell r="C44">
            <v>49.48</v>
          </cell>
          <cell r="E44">
            <v>43616</v>
          </cell>
          <cell r="F44">
            <v>44.69</v>
          </cell>
        </row>
        <row r="45">
          <cell r="B45">
            <v>43585</v>
          </cell>
          <cell r="C45">
            <v>43.77</v>
          </cell>
          <cell r="E45">
            <v>43585</v>
          </cell>
          <cell r="F45">
            <v>37.03</v>
          </cell>
        </row>
        <row r="46">
          <cell r="B46">
            <v>43555</v>
          </cell>
          <cell r="C46">
            <v>50.17</v>
          </cell>
          <cell r="E46">
            <v>43555</v>
          </cell>
          <cell r="F46">
            <v>47.74</v>
          </cell>
        </row>
        <row r="47">
          <cell r="B47">
            <v>43524</v>
          </cell>
          <cell r="C47">
            <v>47.49</v>
          </cell>
          <cell r="E47">
            <v>43524</v>
          </cell>
          <cell r="F47">
            <v>55.97</v>
          </cell>
        </row>
        <row r="48">
          <cell r="B48">
            <v>43496</v>
          </cell>
          <cell r="C48">
            <v>43.29</v>
          </cell>
          <cell r="E48">
            <v>43496</v>
          </cell>
          <cell r="F48">
            <v>63.98</v>
          </cell>
        </row>
        <row r="49">
          <cell r="B49">
            <v>43465</v>
          </cell>
          <cell r="C49">
            <v>41.61</v>
          </cell>
          <cell r="E49">
            <v>43465</v>
          </cell>
          <cell r="F49">
            <v>61.4</v>
          </cell>
        </row>
        <row r="50">
          <cell r="B50">
            <v>43434</v>
          </cell>
          <cell r="C50">
            <v>39.44</v>
          </cell>
          <cell r="E50">
            <v>43434</v>
          </cell>
          <cell r="F50">
            <v>66.56</v>
          </cell>
        </row>
        <row r="51">
          <cell r="B51">
            <v>43404</v>
          </cell>
          <cell r="C51">
            <v>44.65</v>
          </cell>
          <cell r="E51">
            <v>43404</v>
          </cell>
          <cell r="F51">
            <v>70.099999999999994</v>
          </cell>
        </row>
        <row r="52">
          <cell r="B52">
            <v>43373</v>
          </cell>
          <cell r="C52">
            <v>54.72</v>
          </cell>
          <cell r="E52">
            <v>43373</v>
          </cell>
          <cell r="F52">
            <v>67.459999999999994</v>
          </cell>
        </row>
        <row r="53">
          <cell r="B53">
            <v>43343</v>
          </cell>
          <cell r="C53">
            <v>56.44</v>
          </cell>
          <cell r="E53">
            <v>43343</v>
          </cell>
          <cell r="F53">
            <v>52.95</v>
          </cell>
        </row>
        <row r="54">
          <cell r="B54">
            <v>43312</v>
          </cell>
          <cell r="C54">
            <v>56.91</v>
          </cell>
          <cell r="E54">
            <v>43312</v>
          </cell>
          <cell r="F54">
            <v>60.33</v>
          </cell>
        </row>
        <row r="55">
          <cell r="B55">
            <v>43281</v>
          </cell>
          <cell r="C55">
            <v>47.57</v>
          </cell>
          <cell r="E55">
            <v>43281</v>
          </cell>
          <cell r="F55">
            <v>59.63</v>
          </cell>
        </row>
        <row r="56">
          <cell r="B56">
            <v>43251</v>
          </cell>
          <cell r="C56">
            <v>46.28</v>
          </cell>
          <cell r="E56">
            <v>43251</v>
          </cell>
          <cell r="F56">
            <v>68.59</v>
          </cell>
        </row>
        <row r="57">
          <cell r="B57">
            <v>43220</v>
          </cell>
          <cell r="C57">
            <v>46.72</v>
          </cell>
          <cell r="E57">
            <v>43220</v>
          </cell>
          <cell r="F57">
            <v>56.95</v>
          </cell>
        </row>
        <row r="58">
          <cell r="B58">
            <v>43190</v>
          </cell>
          <cell r="C58">
            <v>41.31</v>
          </cell>
          <cell r="E58">
            <v>43190</v>
          </cell>
          <cell r="F58">
            <v>58.78</v>
          </cell>
        </row>
        <row r="59">
          <cell r="B59">
            <v>43159</v>
          </cell>
          <cell r="C59">
            <v>41.95</v>
          </cell>
          <cell r="E59">
            <v>43159</v>
          </cell>
          <cell r="F59">
            <v>53.23</v>
          </cell>
        </row>
        <row r="60">
          <cell r="B60">
            <v>43131</v>
          </cell>
          <cell r="C60">
            <v>44.53</v>
          </cell>
          <cell r="E60">
            <v>43131</v>
          </cell>
          <cell r="F60">
            <v>68.61</v>
          </cell>
        </row>
        <row r="61">
          <cell r="B61">
            <v>43100</v>
          </cell>
          <cell r="C61">
            <v>41.86</v>
          </cell>
          <cell r="E61">
            <v>43100</v>
          </cell>
          <cell r="F61">
            <v>70.86</v>
          </cell>
        </row>
        <row r="62">
          <cell r="B62">
            <v>43069</v>
          </cell>
          <cell r="C62">
            <v>42.31</v>
          </cell>
          <cell r="E62">
            <v>43069</v>
          </cell>
          <cell r="F62">
            <v>62.27</v>
          </cell>
        </row>
        <row r="63">
          <cell r="B63">
            <v>43039</v>
          </cell>
          <cell r="C63">
            <v>42.96</v>
          </cell>
          <cell r="E63">
            <v>43039</v>
          </cell>
          <cell r="F63">
            <v>61.77</v>
          </cell>
        </row>
        <row r="64">
          <cell r="B64">
            <v>43008</v>
          </cell>
          <cell r="C64">
            <v>42.26</v>
          </cell>
          <cell r="E64">
            <v>43008</v>
          </cell>
          <cell r="F64">
            <v>66.31</v>
          </cell>
        </row>
        <row r="65">
          <cell r="B65">
            <v>42978</v>
          </cell>
          <cell r="C65">
            <v>38.53</v>
          </cell>
          <cell r="E65">
            <v>42978</v>
          </cell>
          <cell r="F65">
            <v>68.22</v>
          </cell>
        </row>
        <row r="66">
          <cell r="B66">
            <v>42947</v>
          </cell>
          <cell r="C66">
            <v>41</v>
          </cell>
          <cell r="E66">
            <v>42947</v>
          </cell>
          <cell r="F66">
            <v>71.180000000000007</v>
          </cell>
        </row>
        <row r="67">
          <cell r="B67">
            <v>42916</v>
          </cell>
          <cell r="C67">
            <v>37.18</v>
          </cell>
          <cell r="E67">
            <v>42916</v>
          </cell>
          <cell r="F67">
            <v>64.69</v>
          </cell>
        </row>
        <row r="68">
          <cell r="B68">
            <v>42886</v>
          </cell>
          <cell r="C68">
            <v>36.01</v>
          </cell>
          <cell r="E68">
            <v>42886</v>
          </cell>
          <cell r="F68">
            <v>72.319999999999993</v>
          </cell>
        </row>
        <row r="69">
          <cell r="B69">
            <v>42855</v>
          </cell>
          <cell r="C69">
            <v>38.19</v>
          </cell>
          <cell r="E69">
            <v>42855</v>
          </cell>
          <cell r="F69">
            <v>68.2</v>
          </cell>
        </row>
        <row r="70">
          <cell r="B70">
            <v>42825</v>
          </cell>
          <cell r="C70">
            <v>35.909999999999997</v>
          </cell>
          <cell r="E70">
            <v>42825</v>
          </cell>
          <cell r="F70">
            <v>62.81</v>
          </cell>
        </row>
        <row r="71">
          <cell r="B71">
            <v>42794</v>
          </cell>
          <cell r="C71">
            <v>35.909999999999997</v>
          </cell>
          <cell r="E71">
            <v>42794</v>
          </cell>
          <cell r="F71">
            <v>55.66</v>
          </cell>
        </row>
        <row r="72">
          <cell r="B72">
            <v>42766</v>
          </cell>
          <cell r="C72">
            <v>34.25</v>
          </cell>
          <cell r="E72">
            <v>42766</v>
          </cell>
          <cell r="F72">
            <v>50</v>
          </cell>
        </row>
        <row r="73">
          <cell r="B73">
            <v>42735</v>
          </cell>
          <cell r="C73">
            <v>30.34</v>
          </cell>
          <cell r="E73">
            <v>42735</v>
          </cell>
          <cell r="F73">
            <v>50.39</v>
          </cell>
        </row>
        <row r="74">
          <cell r="B74">
            <v>42704</v>
          </cell>
          <cell r="C74">
            <v>28.95</v>
          </cell>
          <cell r="E74">
            <v>42704</v>
          </cell>
          <cell r="F74">
            <v>42.74</v>
          </cell>
        </row>
        <row r="75">
          <cell r="B75">
            <v>42674</v>
          </cell>
          <cell r="C75">
            <v>27.63</v>
          </cell>
          <cell r="E75">
            <v>42674</v>
          </cell>
          <cell r="F75">
            <v>37.880000000000003</v>
          </cell>
        </row>
        <row r="76">
          <cell r="B76">
            <v>42643</v>
          </cell>
          <cell r="C76">
            <v>28.39</v>
          </cell>
          <cell r="E76">
            <v>42643</v>
          </cell>
          <cell r="F76">
            <v>39.549999999999997</v>
          </cell>
        </row>
        <row r="77">
          <cell r="B77">
            <v>42613</v>
          </cell>
          <cell r="C77">
            <v>28.26</v>
          </cell>
          <cell r="E77">
            <v>42613</v>
          </cell>
          <cell r="F77">
            <v>40.81</v>
          </cell>
        </row>
        <row r="78">
          <cell r="B78">
            <v>42582</v>
          </cell>
          <cell r="C78">
            <v>26.52</v>
          </cell>
          <cell r="E78">
            <v>42582</v>
          </cell>
          <cell r="F78">
            <v>42.4</v>
          </cell>
        </row>
        <row r="79">
          <cell r="B79">
            <v>42551</v>
          </cell>
          <cell r="C79">
            <v>26.05</v>
          </cell>
          <cell r="E79">
            <v>42551</v>
          </cell>
          <cell r="F79">
            <v>46.96</v>
          </cell>
        </row>
        <row r="80">
          <cell r="B80">
            <v>42521</v>
          </cell>
          <cell r="C80">
            <v>23.9</v>
          </cell>
          <cell r="E80">
            <v>42521</v>
          </cell>
          <cell r="F80">
            <v>42.46</v>
          </cell>
        </row>
        <row r="81">
          <cell r="B81">
            <v>42490</v>
          </cell>
          <cell r="C81">
            <v>24.96</v>
          </cell>
          <cell r="E81">
            <v>42490</v>
          </cell>
          <cell r="F81">
            <v>44.65</v>
          </cell>
        </row>
        <row r="82">
          <cell r="B82">
            <v>42460</v>
          </cell>
          <cell r="C82">
            <v>23.43</v>
          </cell>
          <cell r="E82">
            <v>42460</v>
          </cell>
          <cell r="F82">
            <v>48.15</v>
          </cell>
        </row>
        <row r="83">
          <cell r="B83">
            <v>42429</v>
          </cell>
          <cell r="C83">
            <v>27.25</v>
          </cell>
          <cell r="E83">
            <v>42429</v>
          </cell>
          <cell r="F83">
            <v>45.95</v>
          </cell>
        </row>
        <row r="84">
          <cell r="B84">
            <v>42400</v>
          </cell>
          <cell r="C84">
            <v>24.17</v>
          </cell>
          <cell r="E84">
            <v>42400</v>
          </cell>
          <cell r="F84">
            <v>38.39</v>
          </cell>
        </row>
        <row r="85">
          <cell r="B85">
            <v>42369</v>
          </cell>
          <cell r="C85">
            <v>24.34</v>
          </cell>
          <cell r="E85">
            <v>42369</v>
          </cell>
          <cell r="F85">
            <v>38.24</v>
          </cell>
        </row>
        <row r="86">
          <cell r="B86">
            <v>42338</v>
          </cell>
          <cell r="C86">
            <v>26.32</v>
          </cell>
          <cell r="E86">
            <v>42338</v>
          </cell>
          <cell r="F86">
            <v>48</v>
          </cell>
        </row>
        <row r="87">
          <cell r="B87">
            <v>42308</v>
          </cell>
          <cell r="C87">
            <v>29.57</v>
          </cell>
          <cell r="E87">
            <v>42308</v>
          </cell>
          <cell r="F87">
            <v>46.05</v>
          </cell>
        </row>
        <row r="88">
          <cell r="B88">
            <v>42277</v>
          </cell>
          <cell r="C88">
            <v>29.88</v>
          </cell>
          <cell r="E88">
            <v>42277</v>
          </cell>
          <cell r="F88">
            <v>41.39</v>
          </cell>
        </row>
        <row r="89">
          <cell r="B89">
            <v>42247</v>
          </cell>
          <cell r="C89">
            <v>27.57</v>
          </cell>
          <cell r="E89">
            <v>42247</v>
          </cell>
          <cell r="F89">
            <v>49.68</v>
          </cell>
        </row>
        <row r="90">
          <cell r="B90">
            <v>42216</v>
          </cell>
          <cell r="C90">
            <v>28.19</v>
          </cell>
          <cell r="E90">
            <v>42216</v>
          </cell>
          <cell r="F90">
            <v>49.81</v>
          </cell>
        </row>
        <row r="91">
          <cell r="B91">
            <v>42185</v>
          </cell>
          <cell r="C91">
            <v>30.32</v>
          </cell>
          <cell r="E91">
            <v>42185</v>
          </cell>
          <cell r="F91">
            <v>53.23</v>
          </cell>
        </row>
        <row r="92">
          <cell r="B92">
            <v>42155</v>
          </cell>
          <cell r="C92">
            <v>31.36</v>
          </cell>
          <cell r="E92">
            <v>42155</v>
          </cell>
          <cell r="F92">
            <v>53.65</v>
          </cell>
        </row>
        <row r="93">
          <cell r="B93">
            <v>42124</v>
          </cell>
          <cell r="C93">
            <v>32.57</v>
          </cell>
          <cell r="E93">
            <v>42124</v>
          </cell>
          <cell r="F93">
            <v>50.16</v>
          </cell>
        </row>
        <row r="94">
          <cell r="B94">
            <v>42094</v>
          </cell>
          <cell r="C94">
            <v>31.29</v>
          </cell>
          <cell r="E94">
            <v>42094</v>
          </cell>
          <cell r="F94">
            <v>45.21</v>
          </cell>
        </row>
        <row r="95">
          <cell r="B95">
            <v>42063</v>
          </cell>
          <cell r="C95">
            <v>31.11</v>
          </cell>
          <cell r="E95">
            <v>42063</v>
          </cell>
          <cell r="F95">
            <v>37.75</v>
          </cell>
        </row>
        <row r="96">
          <cell r="B96">
            <v>42035</v>
          </cell>
          <cell r="C96">
            <v>32.119999999999997</v>
          </cell>
          <cell r="E96">
            <v>42035</v>
          </cell>
          <cell r="F96">
            <v>40.67</v>
          </cell>
        </row>
        <row r="97">
          <cell r="B97">
            <v>42004</v>
          </cell>
          <cell r="C97">
            <v>29.29</v>
          </cell>
          <cell r="E97">
            <v>42004</v>
          </cell>
          <cell r="F97">
            <v>40.72</v>
          </cell>
        </row>
        <row r="98">
          <cell r="B98">
            <v>41973</v>
          </cell>
          <cell r="C98">
            <v>27.59</v>
          </cell>
          <cell r="E98">
            <v>41973</v>
          </cell>
          <cell r="F98">
            <v>44.48</v>
          </cell>
        </row>
        <row r="99">
          <cell r="B99">
            <v>41943</v>
          </cell>
          <cell r="C99">
            <v>29.73</v>
          </cell>
          <cell r="E99">
            <v>41943</v>
          </cell>
          <cell r="F99">
            <v>48.9</v>
          </cell>
        </row>
        <row r="100">
          <cell r="B100">
            <v>41912</v>
          </cell>
          <cell r="C100">
            <v>27</v>
          </cell>
          <cell r="E100">
            <v>41912</v>
          </cell>
          <cell r="F100">
            <v>48.34</v>
          </cell>
        </row>
        <row r="101">
          <cell r="B101">
            <v>41882</v>
          </cell>
          <cell r="C101">
            <v>25.19</v>
          </cell>
          <cell r="E101">
            <v>41882</v>
          </cell>
          <cell r="F101">
            <v>48.54</v>
          </cell>
        </row>
        <row r="102">
          <cell r="B102">
            <v>41851</v>
          </cell>
          <cell r="C102">
            <v>25.62</v>
          </cell>
          <cell r="E102">
            <v>41851</v>
          </cell>
          <cell r="F102">
            <v>53.94</v>
          </cell>
        </row>
        <row r="103">
          <cell r="B103">
            <v>41820</v>
          </cell>
          <cell r="C103">
            <v>23.9</v>
          </cell>
          <cell r="E103">
            <v>41820</v>
          </cell>
          <cell r="F103">
            <v>44.66</v>
          </cell>
        </row>
        <row r="104">
          <cell r="B104">
            <v>41790</v>
          </cell>
          <cell r="C104">
            <v>23.23</v>
          </cell>
          <cell r="E104">
            <v>41790</v>
          </cell>
          <cell r="F104">
            <v>48.01</v>
          </cell>
        </row>
        <row r="105">
          <cell r="B105">
            <v>41759</v>
          </cell>
          <cell r="C105">
            <v>22.61</v>
          </cell>
          <cell r="E105">
            <v>41759</v>
          </cell>
          <cell r="F105">
            <v>41.55</v>
          </cell>
        </row>
        <row r="106">
          <cell r="B106">
            <v>41729</v>
          </cell>
          <cell r="C106">
            <v>21.07</v>
          </cell>
          <cell r="E106">
            <v>41729</v>
          </cell>
          <cell r="F106">
            <v>41.58</v>
          </cell>
        </row>
        <row r="107">
          <cell r="B107">
            <v>41698</v>
          </cell>
          <cell r="C107">
            <v>19.170000000000002</v>
          </cell>
          <cell r="E107">
            <v>41698</v>
          </cell>
          <cell r="F107">
            <v>41.69</v>
          </cell>
        </row>
        <row r="108">
          <cell r="B108">
            <v>41670</v>
          </cell>
          <cell r="C108">
            <v>18.79</v>
          </cell>
          <cell r="E108">
            <v>41670</v>
          </cell>
          <cell r="F108">
            <v>48.96</v>
          </cell>
        </row>
        <row r="109">
          <cell r="B109">
            <v>41639</v>
          </cell>
          <cell r="C109">
            <v>17.88</v>
          </cell>
          <cell r="E109">
            <v>41639</v>
          </cell>
          <cell r="F109">
            <v>36.28</v>
          </cell>
        </row>
        <row r="110">
          <cell r="B110">
            <v>41608</v>
          </cell>
          <cell r="C110">
            <v>20.04</v>
          </cell>
          <cell r="E110">
            <v>41608</v>
          </cell>
          <cell r="F110">
            <v>30.09</v>
          </cell>
        </row>
        <row r="111">
          <cell r="B111">
            <v>41578</v>
          </cell>
          <cell r="C111">
            <v>19.86</v>
          </cell>
          <cell r="E111">
            <v>41578</v>
          </cell>
          <cell r="F111">
            <v>25.46</v>
          </cell>
        </row>
        <row r="112">
          <cell r="B112">
            <v>41547</v>
          </cell>
          <cell r="C112">
            <v>18.670000000000002</v>
          </cell>
          <cell r="E112">
            <v>41547</v>
          </cell>
          <cell r="F112">
            <v>31.99</v>
          </cell>
        </row>
        <row r="113">
          <cell r="B113">
            <v>41517</v>
          </cell>
          <cell r="C113">
            <v>17.03</v>
          </cell>
          <cell r="E113">
            <v>41517</v>
          </cell>
          <cell r="F113">
            <v>38.67</v>
          </cell>
        </row>
        <row r="114">
          <cell r="B114">
            <v>41486</v>
          </cell>
          <cell r="C114">
            <v>17.399999999999999</v>
          </cell>
          <cell r="E114">
            <v>41486</v>
          </cell>
          <cell r="F114">
            <v>33.799999999999997</v>
          </cell>
        </row>
        <row r="115">
          <cell r="B115">
            <v>41455</v>
          </cell>
          <cell r="C115">
            <v>16.16</v>
          </cell>
          <cell r="E115">
            <v>41455</v>
          </cell>
          <cell r="F115">
            <v>26.86</v>
          </cell>
        </row>
        <row r="116">
          <cell r="B116">
            <v>41425</v>
          </cell>
          <cell r="C116">
            <v>14.16</v>
          </cell>
          <cell r="E116">
            <v>41425</v>
          </cell>
          <cell r="F116">
            <v>21.47</v>
          </cell>
        </row>
        <row r="117">
          <cell r="B117">
            <v>41394</v>
          </cell>
          <cell r="C117">
            <v>16.059999999999999</v>
          </cell>
          <cell r="E117">
            <v>41394</v>
          </cell>
          <cell r="F117">
            <v>19.55</v>
          </cell>
        </row>
        <row r="118">
          <cell r="B118">
            <v>41364</v>
          </cell>
          <cell r="C118">
            <v>15.81</v>
          </cell>
          <cell r="E118">
            <v>41364</v>
          </cell>
          <cell r="F118">
            <v>10.8</v>
          </cell>
        </row>
        <row r="119">
          <cell r="B119">
            <v>41333</v>
          </cell>
          <cell r="C119">
            <v>15.81</v>
          </cell>
          <cell r="E119">
            <v>41333</v>
          </cell>
          <cell r="F119">
            <v>7.58</v>
          </cell>
        </row>
        <row r="120">
          <cell r="B120">
            <v>41305</v>
          </cell>
          <cell r="C120">
            <v>15.76</v>
          </cell>
          <cell r="E120">
            <v>41305</v>
          </cell>
          <cell r="F120">
            <v>6.97</v>
          </cell>
        </row>
        <row r="121">
          <cell r="B121">
            <v>41274</v>
          </cell>
          <cell r="C121">
            <v>16.27</v>
          </cell>
          <cell r="E121">
            <v>41274</v>
          </cell>
          <cell r="F121">
            <v>7.5</v>
          </cell>
        </row>
        <row r="122">
          <cell r="B122">
            <v>41243</v>
          </cell>
          <cell r="C122">
            <v>19.010000000000002</v>
          </cell>
          <cell r="E122">
            <v>41243</v>
          </cell>
          <cell r="F122">
            <v>6.77</v>
          </cell>
        </row>
        <row r="123">
          <cell r="B123">
            <v>41213</v>
          </cell>
          <cell r="C123">
            <v>20.9</v>
          </cell>
          <cell r="E123">
            <v>41213</v>
          </cell>
          <cell r="F123">
            <v>6.76</v>
          </cell>
        </row>
        <row r="124">
          <cell r="B124">
            <v>41182</v>
          </cell>
          <cell r="C124">
            <v>21.26</v>
          </cell>
          <cell r="E124">
            <v>41182</v>
          </cell>
          <cell r="F124">
            <v>5.63</v>
          </cell>
        </row>
        <row r="125">
          <cell r="B125">
            <v>41152</v>
          </cell>
          <cell r="C125">
            <v>23.83</v>
          </cell>
          <cell r="E125">
            <v>41152</v>
          </cell>
          <cell r="F125">
            <v>5.86</v>
          </cell>
        </row>
        <row r="126">
          <cell r="B126">
            <v>41121</v>
          </cell>
          <cell r="C126">
            <v>23.76</v>
          </cell>
          <cell r="E126">
            <v>41121</v>
          </cell>
          <cell r="F126">
            <v>5.7</v>
          </cell>
        </row>
        <row r="127">
          <cell r="B127">
            <v>41090</v>
          </cell>
          <cell r="C127">
            <v>21.81</v>
          </cell>
          <cell r="E127">
            <v>41090</v>
          </cell>
          <cell r="F127">
            <v>5.48</v>
          </cell>
        </row>
        <row r="128">
          <cell r="B128">
            <v>41060</v>
          </cell>
          <cell r="C128">
            <v>20.86</v>
          </cell>
          <cell r="E128">
            <v>41060</v>
          </cell>
          <cell r="F128">
            <v>6.26</v>
          </cell>
        </row>
        <row r="129">
          <cell r="B129">
            <v>41029</v>
          </cell>
          <cell r="C129">
            <v>20.63</v>
          </cell>
          <cell r="E129">
            <v>41029</v>
          </cell>
          <cell r="F129">
            <v>5.9</v>
          </cell>
        </row>
        <row r="130">
          <cell r="B130">
            <v>40999</v>
          </cell>
          <cell r="C130">
            <v>20.86</v>
          </cell>
          <cell r="E130">
            <v>40999</v>
          </cell>
          <cell r="F130">
            <v>6.63</v>
          </cell>
        </row>
        <row r="131">
          <cell r="B131">
            <v>40968</v>
          </cell>
          <cell r="C131">
            <v>21.41</v>
          </cell>
          <cell r="E131">
            <v>40968</v>
          </cell>
          <cell r="F131">
            <v>7.45</v>
          </cell>
        </row>
        <row r="132">
          <cell r="B132">
            <v>40939</v>
          </cell>
          <cell r="C132">
            <v>19.37</v>
          </cell>
          <cell r="E132">
            <v>40939</v>
          </cell>
          <cell r="F132">
            <v>6.68</v>
          </cell>
        </row>
        <row r="133">
          <cell r="B133">
            <v>40908</v>
          </cell>
          <cell r="C133">
            <v>16.3</v>
          </cell>
          <cell r="E133">
            <v>40908</v>
          </cell>
          <cell r="F133">
            <v>5.81</v>
          </cell>
        </row>
        <row r="134">
          <cell r="B134">
            <v>40877</v>
          </cell>
          <cell r="C134">
            <v>14.46</v>
          </cell>
          <cell r="E134">
            <v>40877</v>
          </cell>
          <cell r="F134">
            <v>5.71</v>
          </cell>
        </row>
        <row r="135">
          <cell r="B135">
            <v>40847</v>
          </cell>
          <cell r="C135">
            <v>13.65</v>
          </cell>
          <cell r="E135">
            <v>40847</v>
          </cell>
          <cell r="F135">
            <v>6.55</v>
          </cell>
        </row>
        <row r="136">
          <cell r="B136">
            <v>40816</v>
          </cell>
          <cell r="C136">
            <v>14.46</v>
          </cell>
          <cell r="E136">
            <v>40816</v>
          </cell>
          <cell r="F136">
            <v>5.87</v>
          </cell>
        </row>
        <row r="137">
          <cell r="B137">
            <v>40786</v>
          </cell>
          <cell r="C137">
            <v>13.62</v>
          </cell>
          <cell r="E137">
            <v>40786</v>
          </cell>
          <cell r="F137">
            <v>4.88</v>
          </cell>
        </row>
        <row r="138">
          <cell r="B138">
            <v>40755</v>
          </cell>
          <cell r="C138">
            <v>13.74</v>
          </cell>
          <cell r="E138">
            <v>40755</v>
          </cell>
          <cell r="F138">
            <v>4.95</v>
          </cell>
        </row>
        <row r="139">
          <cell r="B139">
            <v>40724</v>
          </cell>
          <cell r="C139">
            <v>13.95</v>
          </cell>
          <cell r="E139">
            <v>40724</v>
          </cell>
          <cell r="F139">
            <v>5.63</v>
          </cell>
        </row>
        <row r="140">
          <cell r="B140">
            <v>40694</v>
          </cell>
          <cell r="C140">
            <v>11.99</v>
          </cell>
          <cell r="E140">
            <v>40694</v>
          </cell>
          <cell r="F140">
            <v>5.83</v>
          </cell>
        </row>
        <row r="141">
          <cell r="B141">
            <v>40663</v>
          </cell>
          <cell r="C141">
            <v>12.42</v>
          </cell>
          <cell r="E141">
            <v>40663</v>
          </cell>
          <cell r="F141">
            <v>6.03</v>
          </cell>
        </row>
        <row r="142">
          <cell r="B142">
            <v>40633</v>
          </cell>
          <cell r="C142">
            <v>12.5</v>
          </cell>
          <cell r="E142">
            <v>40633</v>
          </cell>
          <cell r="F142">
            <v>5.52</v>
          </cell>
        </row>
        <row r="143">
          <cell r="B143">
            <v>40602</v>
          </cell>
          <cell r="C143">
            <v>12.45</v>
          </cell>
          <cell r="E143">
            <v>40602</v>
          </cell>
          <cell r="F143">
            <v>5.55</v>
          </cell>
        </row>
        <row r="144">
          <cell r="B144">
            <v>40574</v>
          </cell>
          <cell r="C144">
            <v>12.61</v>
          </cell>
          <cell r="E144">
            <v>40574</v>
          </cell>
          <cell r="F144">
            <v>4.78</v>
          </cell>
        </row>
        <row r="145">
          <cell r="B145">
            <v>40543</v>
          </cell>
          <cell r="C145">
            <v>12.12</v>
          </cell>
          <cell r="E145">
            <v>40543</v>
          </cell>
          <cell r="F145">
            <v>4.82</v>
          </cell>
        </row>
        <row r="146">
          <cell r="B146">
            <v>40512</v>
          </cell>
          <cell r="C146">
            <v>11.52</v>
          </cell>
          <cell r="E146">
            <v>40512</v>
          </cell>
          <cell r="F146">
            <v>5.33</v>
          </cell>
        </row>
        <row r="147">
          <cell r="B147">
            <v>40482</v>
          </cell>
          <cell r="C147">
            <v>11.11</v>
          </cell>
          <cell r="E147">
            <v>40482</v>
          </cell>
          <cell r="F147">
            <v>7.07</v>
          </cell>
        </row>
        <row r="148">
          <cell r="B148">
            <v>40451</v>
          </cell>
          <cell r="C148">
            <v>10.75</v>
          </cell>
          <cell r="E148">
            <v>40451</v>
          </cell>
          <cell r="F148">
            <v>4.37</v>
          </cell>
        </row>
        <row r="149">
          <cell r="B149">
            <v>40421</v>
          </cell>
          <cell r="C149">
            <v>10.130000000000001</v>
          </cell>
          <cell r="E149">
            <v>40421</v>
          </cell>
          <cell r="F149">
            <v>4.08</v>
          </cell>
        </row>
        <row r="150">
          <cell r="B150">
            <v>40390</v>
          </cell>
          <cell r="C150">
            <v>8.68</v>
          </cell>
          <cell r="E150">
            <v>40390</v>
          </cell>
          <cell r="F150">
            <v>3.9</v>
          </cell>
        </row>
        <row r="151">
          <cell r="B151">
            <v>40359</v>
          </cell>
          <cell r="C151">
            <v>9.19</v>
          </cell>
          <cell r="E151">
            <v>40359</v>
          </cell>
          <cell r="F151">
            <v>3.99</v>
          </cell>
        </row>
        <row r="152">
          <cell r="B152">
            <v>40329</v>
          </cell>
          <cell r="C152">
            <v>8.98</v>
          </cell>
        </row>
        <row r="153">
          <cell r="B153">
            <v>40298</v>
          </cell>
          <cell r="C153">
            <v>9.17</v>
          </cell>
        </row>
        <row r="154">
          <cell r="B154">
            <v>40268</v>
          </cell>
          <cell r="C154">
            <v>9.32</v>
          </cell>
        </row>
        <row r="155">
          <cell r="B155">
            <v>40237</v>
          </cell>
          <cell r="C155">
            <v>8.39</v>
          </cell>
        </row>
        <row r="156">
          <cell r="B156">
            <v>40209</v>
          </cell>
          <cell r="C156">
            <v>7.31</v>
          </cell>
        </row>
        <row r="157">
          <cell r="B157">
            <v>40178</v>
          </cell>
          <cell r="C157">
            <v>6.86</v>
          </cell>
        </row>
        <row r="158">
          <cell r="B158">
            <v>40147</v>
          </cell>
          <cell r="C158">
            <v>7.53</v>
          </cell>
        </row>
        <row r="159">
          <cell r="B159">
            <v>40117</v>
          </cell>
          <cell r="C159">
            <v>7.14</v>
          </cell>
        </row>
        <row r="160">
          <cell r="B160">
            <v>40086</v>
          </cell>
          <cell r="C160">
            <v>6.73</v>
          </cell>
        </row>
        <row r="161">
          <cell r="B161">
            <v>40056</v>
          </cell>
          <cell r="C161">
            <v>6.62</v>
          </cell>
        </row>
        <row r="162">
          <cell r="B162">
            <v>40025</v>
          </cell>
          <cell r="C162">
            <v>6.01</v>
          </cell>
        </row>
        <row r="163">
          <cell r="B163">
            <v>39994</v>
          </cell>
          <cell r="C163">
            <v>5.84</v>
          </cell>
        </row>
        <row r="164">
          <cell r="B164">
            <v>39964</v>
          </cell>
          <cell r="C164">
            <v>5.09</v>
          </cell>
        </row>
        <row r="165">
          <cell r="B165">
            <v>39933</v>
          </cell>
          <cell r="C165">
            <v>4.8499999999999996</v>
          </cell>
        </row>
        <row r="166">
          <cell r="B166">
            <v>39903</v>
          </cell>
          <cell r="C166">
            <v>4.49</v>
          </cell>
        </row>
        <row r="167">
          <cell r="B167">
            <v>39872</v>
          </cell>
          <cell r="C167">
            <v>3.75</v>
          </cell>
        </row>
        <row r="168">
          <cell r="B168">
            <v>39844</v>
          </cell>
          <cell r="C168">
            <v>3.19</v>
          </cell>
        </row>
        <row r="169">
          <cell r="B169">
            <v>39813</v>
          </cell>
          <cell r="C169">
            <v>3.22</v>
          </cell>
        </row>
        <row r="170">
          <cell r="B170">
            <v>39782</v>
          </cell>
          <cell r="C170">
            <v>3.05</v>
          </cell>
        </row>
        <row r="171">
          <cell r="B171">
            <v>39752</v>
          </cell>
          <cell r="C171">
            <v>3.31</v>
          </cell>
        </row>
        <row r="172">
          <cell r="B172">
            <v>39721</v>
          </cell>
          <cell r="C172">
            <v>3.84</v>
          </cell>
        </row>
        <row r="173">
          <cell r="B173">
            <v>39691</v>
          </cell>
          <cell r="C173">
            <v>4.0599999999999996</v>
          </cell>
        </row>
        <row r="174">
          <cell r="B174">
            <v>39660</v>
          </cell>
          <cell r="C174">
            <v>6.05</v>
          </cell>
        </row>
        <row r="175">
          <cell r="B175">
            <v>39629</v>
          </cell>
          <cell r="C175">
            <v>5.68</v>
          </cell>
        </row>
        <row r="176">
          <cell r="B176">
            <v>39599</v>
          </cell>
          <cell r="C176">
            <v>5.98</v>
          </cell>
        </row>
        <row r="177">
          <cell r="B177">
            <v>39568</v>
          </cell>
          <cell r="C177">
            <v>6.74</v>
          </cell>
        </row>
        <row r="178">
          <cell r="B178">
            <v>39538</v>
          </cell>
          <cell r="C178">
            <v>6.21</v>
          </cell>
        </row>
        <row r="179">
          <cell r="B179">
            <v>39507</v>
          </cell>
          <cell r="C179">
            <v>5.12</v>
          </cell>
        </row>
        <row r="180">
          <cell r="B180">
            <v>39478</v>
          </cell>
          <cell r="C180">
            <v>4.46</v>
          </cell>
        </row>
        <row r="181">
          <cell r="B181">
            <v>39447</v>
          </cell>
          <cell r="C181">
            <v>4.83</v>
          </cell>
        </row>
        <row r="182">
          <cell r="B182">
            <v>39416</v>
          </cell>
          <cell r="C182">
            <v>7.07</v>
          </cell>
        </row>
        <row r="183">
          <cell r="B183">
            <v>39386</v>
          </cell>
          <cell r="C183">
            <v>6.51</v>
          </cell>
        </row>
        <row r="184">
          <cell r="B184">
            <v>39355</v>
          </cell>
          <cell r="C184">
            <v>6.78</v>
          </cell>
        </row>
        <row r="185">
          <cell r="B185">
            <v>39325</v>
          </cell>
          <cell r="C185">
            <v>5.48</v>
          </cell>
        </row>
        <row r="186">
          <cell r="B186">
            <v>39294</v>
          </cell>
          <cell r="C186">
            <v>4.95</v>
          </cell>
        </row>
        <row r="187">
          <cell r="B187">
            <v>39263</v>
          </cell>
          <cell r="C187">
            <v>4.71</v>
          </cell>
        </row>
        <row r="188">
          <cell r="B188">
            <v>39233</v>
          </cell>
          <cell r="C188">
            <v>4.3600000000000003</v>
          </cell>
        </row>
        <row r="189">
          <cell r="B189">
            <v>39202</v>
          </cell>
          <cell r="C189">
            <v>4.33</v>
          </cell>
        </row>
        <row r="190">
          <cell r="B190">
            <v>39172</v>
          </cell>
          <cell r="C190">
            <v>3.56</v>
          </cell>
        </row>
        <row r="191">
          <cell r="B191">
            <v>39141</v>
          </cell>
          <cell r="C191">
            <v>3.32</v>
          </cell>
        </row>
        <row r="192">
          <cell r="B192">
            <v>39113</v>
          </cell>
          <cell r="C192">
            <v>3.02</v>
          </cell>
        </row>
        <row r="193">
          <cell r="B193">
            <v>39082</v>
          </cell>
          <cell r="C193">
            <v>3.06</v>
          </cell>
        </row>
        <row r="194">
          <cell r="B194">
            <v>39051</v>
          </cell>
          <cell r="C194">
            <v>3.03</v>
          </cell>
        </row>
        <row r="195">
          <cell r="B195">
            <v>39021</v>
          </cell>
          <cell r="C195">
            <v>3.27</v>
          </cell>
        </row>
        <row r="196">
          <cell r="B196">
            <v>38990</v>
          </cell>
          <cell r="C196">
            <v>2.9</v>
          </cell>
        </row>
        <row r="197">
          <cell r="B197">
            <v>38960</v>
          </cell>
          <cell r="C197">
            <v>2.75</v>
          </cell>
        </row>
        <row r="198">
          <cell r="B198">
            <v>38929</v>
          </cell>
          <cell r="C198">
            <v>2.42</v>
          </cell>
        </row>
        <row r="199">
          <cell r="B199">
            <v>38898</v>
          </cell>
          <cell r="C199">
            <v>2.4300000000000002</v>
          </cell>
        </row>
        <row r="200">
          <cell r="B200">
            <v>38868</v>
          </cell>
          <cell r="C200">
            <v>2.0499999999999998</v>
          </cell>
        </row>
        <row r="201">
          <cell r="B201">
            <v>38837</v>
          </cell>
          <cell r="C201">
            <v>2.13</v>
          </cell>
        </row>
        <row r="202">
          <cell r="B202">
            <v>38807</v>
          </cell>
          <cell r="C202">
            <v>2.5099999999999998</v>
          </cell>
        </row>
        <row r="203">
          <cell r="B203">
            <v>38776</v>
          </cell>
          <cell r="C203">
            <v>2.2400000000000002</v>
          </cell>
        </row>
        <row r="204">
          <cell r="B204">
            <v>38748</v>
          </cell>
          <cell r="C204">
            <v>2.4500000000000002</v>
          </cell>
        </row>
        <row r="205">
          <cell r="B205">
            <v>38717</v>
          </cell>
          <cell r="C205">
            <v>2.7</v>
          </cell>
        </row>
        <row r="206">
          <cell r="B206">
            <v>38686</v>
          </cell>
          <cell r="C206">
            <v>2.57</v>
          </cell>
        </row>
        <row r="207">
          <cell r="B207">
            <v>38656</v>
          </cell>
          <cell r="C207">
            <v>2.42</v>
          </cell>
        </row>
        <row r="208">
          <cell r="B208">
            <v>38625</v>
          </cell>
          <cell r="C208">
            <v>2.06</v>
          </cell>
        </row>
        <row r="209">
          <cell r="B209">
            <v>38595</v>
          </cell>
          <cell r="C209">
            <v>1.91</v>
          </cell>
        </row>
        <row r="210">
          <cell r="B210">
            <v>38564</v>
          </cell>
          <cell r="C210">
            <v>1.67</v>
          </cell>
        </row>
        <row r="211">
          <cell r="B211">
            <v>38533</v>
          </cell>
          <cell r="C211">
            <v>1.52</v>
          </cell>
        </row>
        <row r="212">
          <cell r="B212">
            <v>38503</v>
          </cell>
          <cell r="C212">
            <v>1.31</v>
          </cell>
        </row>
        <row r="213">
          <cell r="B213">
            <v>38472</v>
          </cell>
          <cell r="C213">
            <v>1.42</v>
          </cell>
        </row>
        <row r="214">
          <cell r="B214">
            <v>38442</v>
          </cell>
          <cell r="C214">
            <v>1.29</v>
          </cell>
        </row>
        <row r="215">
          <cell r="B215">
            <v>38411</v>
          </cell>
          <cell r="C215">
            <v>1.49</v>
          </cell>
        </row>
        <row r="216">
          <cell r="B216">
            <v>38383</v>
          </cell>
          <cell r="C216">
            <v>1.6</v>
          </cell>
        </row>
        <row r="217">
          <cell r="B217">
            <v>38352</v>
          </cell>
          <cell r="C217">
            <v>1.37</v>
          </cell>
        </row>
        <row r="218">
          <cell r="B218">
            <v>38321</v>
          </cell>
          <cell r="C218">
            <v>1.1499999999999999</v>
          </cell>
        </row>
        <row r="219">
          <cell r="B219">
            <v>38291</v>
          </cell>
          <cell r="C219">
            <v>1.2</v>
          </cell>
        </row>
        <row r="220">
          <cell r="B220">
            <v>38260</v>
          </cell>
          <cell r="C220">
            <v>0.94</v>
          </cell>
        </row>
        <row r="221">
          <cell r="B221">
            <v>38230</v>
          </cell>
          <cell r="C221">
            <v>0.69</v>
          </cell>
        </row>
        <row r="222">
          <cell r="B222">
            <v>38199</v>
          </cell>
          <cell r="C222">
            <v>0.62</v>
          </cell>
        </row>
        <row r="223">
          <cell r="B223">
            <v>38168</v>
          </cell>
          <cell r="C223">
            <v>0.57999999999999996</v>
          </cell>
        </row>
        <row r="224">
          <cell r="B224">
            <v>38138</v>
          </cell>
          <cell r="C224">
            <v>0.57999999999999996</v>
          </cell>
        </row>
        <row r="225">
          <cell r="B225">
            <v>38107</v>
          </cell>
          <cell r="C225">
            <v>0.5</v>
          </cell>
        </row>
        <row r="226">
          <cell r="B226">
            <v>38077</v>
          </cell>
          <cell r="C226">
            <v>0.46</v>
          </cell>
        </row>
        <row r="227">
          <cell r="B227">
            <v>38046</v>
          </cell>
          <cell r="C227">
            <v>0.48</v>
          </cell>
        </row>
        <row r="228">
          <cell r="B228">
            <v>38017</v>
          </cell>
          <cell r="C228">
            <v>0.43</v>
          </cell>
        </row>
        <row r="229">
          <cell r="B229">
            <v>37986</v>
          </cell>
          <cell r="C229">
            <v>0.4</v>
          </cell>
        </row>
        <row r="230">
          <cell r="B230">
            <v>37955</v>
          </cell>
          <cell r="C230">
            <v>0.38</v>
          </cell>
        </row>
        <row r="231">
          <cell r="B231">
            <v>37925</v>
          </cell>
          <cell r="C231">
            <v>0.37</v>
          </cell>
        </row>
        <row r="232">
          <cell r="B232">
            <v>37894</v>
          </cell>
          <cell r="C232">
            <v>0.41</v>
          </cell>
        </row>
        <row r="233">
          <cell r="B233">
            <v>37864</v>
          </cell>
          <cell r="C233">
            <v>0.37</v>
          </cell>
        </row>
        <row r="234">
          <cell r="B234">
            <v>37833</v>
          </cell>
          <cell r="C234">
            <v>0.4</v>
          </cell>
        </row>
        <row r="235">
          <cell r="B235">
            <v>37802</v>
          </cell>
          <cell r="C235">
            <v>0.38</v>
          </cell>
        </row>
        <row r="236">
          <cell r="B236">
            <v>37772</v>
          </cell>
          <cell r="C236">
            <v>0.34</v>
          </cell>
        </row>
        <row r="237">
          <cell r="B237">
            <v>37741</v>
          </cell>
          <cell r="C237">
            <v>0.32</v>
          </cell>
        </row>
        <row r="238">
          <cell r="B238">
            <v>37711</v>
          </cell>
          <cell r="C238">
            <v>0.25</v>
          </cell>
        </row>
        <row r="239">
          <cell r="B239">
            <v>37680</v>
          </cell>
          <cell r="C239">
            <v>0.25</v>
          </cell>
        </row>
        <row r="240">
          <cell r="B240">
            <v>37652</v>
          </cell>
          <cell r="C240">
            <v>0.27</v>
          </cell>
        </row>
        <row r="241">
          <cell r="B241">
            <v>37621</v>
          </cell>
          <cell r="C241">
            <v>0.26</v>
          </cell>
        </row>
        <row r="242">
          <cell r="B242">
            <v>37590</v>
          </cell>
          <cell r="C242">
            <v>0.26</v>
          </cell>
        </row>
        <row r="243">
          <cell r="B243">
            <v>37560</v>
          </cell>
          <cell r="C243">
            <v>0.28000000000000003</v>
          </cell>
        </row>
        <row r="244">
          <cell r="B244">
            <v>37529</v>
          </cell>
          <cell r="C244">
            <v>0.28999999999999998</v>
          </cell>
        </row>
        <row r="245">
          <cell r="B245">
            <v>37499</v>
          </cell>
          <cell r="C245">
            <v>0.26</v>
          </cell>
        </row>
        <row r="246">
          <cell r="B246">
            <v>37468</v>
          </cell>
          <cell r="C246">
            <v>0.26</v>
          </cell>
        </row>
        <row r="247">
          <cell r="B247">
            <v>37437</v>
          </cell>
          <cell r="C247">
            <v>0.27</v>
          </cell>
        </row>
        <row r="248">
          <cell r="B248">
            <v>37407</v>
          </cell>
          <cell r="C248">
            <v>0.32</v>
          </cell>
        </row>
        <row r="249">
          <cell r="B249">
            <v>37376</v>
          </cell>
          <cell r="C249">
            <v>0.42</v>
          </cell>
        </row>
        <row r="250">
          <cell r="B250">
            <v>37346</v>
          </cell>
          <cell r="C250">
            <v>0.43</v>
          </cell>
        </row>
        <row r="251">
          <cell r="B251">
            <v>37315</v>
          </cell>
          <cell r="C251">
            <v>0.42</v>
          </cell>
        </row>
        <row r="252">
          <cell r="B252">
            <v>37287</v>
          </cell>
          <cell r="C252">
            <v>0.39</v>
          </cell>
        </row>
        <row r="253">
          <cell r="B253">
            <v>37256</v>
          </cell>
          <cell r="C253">
            <v>0.44</v>
          </cell>
        </row>
        <row r="254">
          <cell r="B254">
            <v>37225</v>
          </cell>
          <cell r="C254">
            <v>0.39</v>
          </cell>
        </row>
        <row r="255">
          <cell r="B255">
            <v>37195</v>
          </cell>
          <cell r="C255">
            <v>0.38</v>
          </cell>
        </row>
        <row r="256">
          <cell r="B256">
            <v>37164</v>
          </cell>
          <cell r="C256">
            <v>0.31</v>
          </cell>
        </row>
        <row r="257">
          <cell r="B257">
            <v>37134</v>
          </cell>
          <cell r="C257">
            <v>0.28000000000000003</v>
          </cell>
        </row>
        <row r="258">
          <cell r="B258">
            <v>37103</v>
          </cell>
          <cell r="C258">
            <v>0.33</v>
          </cell>
        </row>
        <row r="259">
          <cell r="B259">
            <v>37072</v>
          </cell>
          <cell r="C259">
            <v>0.34</v>
          </cell>
        </row>
        <row r="260">
          <cell r="B260">
            <v>37042</v>
          </cell>
          <cell r="C260">
            <v>0.42</v>
          </cell>
        </row>
        <row r="261">
          <cell r="B261">
            <v>37011</v>
          </cell>
          <cell r="C261">
            <v>0.36</v>
          </cell>
        </row>
        <row r="262">
          <cell r="B262">
            <v>36981</v>
          </cell>
          <cell r="C262">
            <v>0.46</v>
          </cell>
        </row>
        <row r="263">
          <cell r="B263">
            <v>36950</v>
          </cell>
          <cell r="C263">
            <v>0.39</v>
          </cell>
        </row>
        <row r="264">
          <cell r="B264">
            <v>36922</v>
          </cell>
          <cell r="C264">
            <v>0.33</v>
          </cell>
        </row>
        <row r="265">
          <cell r="B265">
            <v>36891</v>
          </cell>
          <cell r="C265">
            <v>0.39</v>
          </cell>
        </row>
        <row r="266">
          <cell r="B266">
            <v>36860</v>
          </cell>
          <cell r="C266">
            <v>0.27</v>
          </cell>
        </row>
        <row r="267">
          <cell r="B267">
            <v>36830</v>
          </cell>
          <cell r="C267">
            <v>0.28999999999999998</v>
          </cell>
        </row>
        <row r="268">
          <cell r="B268">
            <v>36799</v>
          </cell>
          <cell r="C268">
            <v>0.35</v>
          </cell>
        </row>
        <row r="269">
          <cell r="B269">
            <v>36769</v>
          </cell>
          <cell r="C269">
            <v>0.46</v>
          </cell>
        </row>
        <row r="270">
          <cell r="B270">
            <v>36738</v>
          </cell>
          <cell r="C270">
            <v>1.0900000000000001</v>
          </cell>
        </row>
        <row r="271">
          <cell r="B271">
            <v>36707</v>
          </cell>
          <cell r="C271">
            <v>0.91</v>
          </cell>
        </row>
        <row r="272">
          <cell r="B272">
            <v>36677</v>
          </cell>
          <cell r="C272">
            <v>0.94</v>
          </cell>
        </row>
        <row r="273">
          <cell r="B273">
            <v>36646</v>
          </cell>
          <cell r="C273">
            <v>0.75</v>
          </cell>
        </row>
        <row r="274">
          <cell r="B274">
            <v>36616</v>
          </cell>
          <cell r="C274">
            <v>1.1100000000000001</v>
          </cell>
        </row>
        <row r="275">
          <cell r="B275">
            <v>36585</v>
          </cell>
          <cell r="C275">
            <v>1.21</v>
          </cell>
        </row>
        <row r="276">
          <cell r="B276">
            <v>36556</v>
          </cell>
          <cell r="C276">
            <v>1.02</v>
          </cell>
        </row>
        <row r="277">
          <cell r="B277">
            <v>36525</v>
          </cell>
          <cell r="C277">
            <v>0.93</v>
          </cell>
        </row>
        <row r="278">
          <cell r="B278">
            <v>36494</v>
          </cell>
          <cell r="C278">
            <v>0.92</v>
          </cell>
        </row>
        <row r="279">
          <cell r="B279">
            <v>36464</v>
          </cell>
          <cell r="C279">
            <v>0.87</v>
          </cell>
        </row>
        <row r="280">
          <cell r="B280">
            <v>36433</v>
          </cell>
          <cell r="C280">
            <v>0.72</v>
          </cell>
        </row>
        <row r="281">
          <cell r="B281">
            <v>36403</v>
          </cell>
          <cell r="C281">
            <v>0.56999999999999995</v>
          </cell>
        </row>
        <row r="282">
          <cell r="B282">
            <v>36372</v>
          </cell>
          <cell r="C282">
            <v>0.57999999999999996</v>
          </cell>
        </row>
        <row r="283">
          <cell r="B283">
            <v>36341</v>
          </cell>
          <cell r="C283">
            <v>0.5</v>
          </cell>
        </row>
        <row r="284">
          <cell r="B284">
            <v>36311</v>
          </cell>
          <cell r="C284">
            <v>0.41</v>
          </cell>
        </row>
        <row r="285">
          <cell r="B285">
            <v>36280</v>
          </cell>
          <cell r="C285">
            <v>0.39</v>
          </cell>
        </row>
        <row r="286">
          <cell r="B286">
            <v>36250</v>
          </cell>
          <cell r="C286">
            <v>0.41</v>
          </cell>
        </row>
        <row r="287">
          <cell r="B287">
            <v>36219</v>
          </cell>
          <cell r="C287">
            <v>0.32</v>
          </cell>
        </row>
        <row r="288">
          <cell r="B288">
            <v>36191</v>
          </cell>
          <cell r="C288">
            <v>0.31</v>
          </cell>
        </row>
        <row r="289">
          <cell r="B289">
            <v>36160</v>
          </cell>
          <cell r="C289">
            <v>0.37</v>
          </cell>
        </row>
        <row r="290">
          <cell r="B290">
            <v>36129</v>
          </cell>
          <cell r="C290">
            <v>0.37</v>
          </cell>
        </row>
        <row r="291">
          <cell r="B291">
            <v>36099</v>
          </cell>
          <cell r="C291">
            <v>0.28999999999999998</v>
          </cell>
        </row>
        <row r="292">
          <cell r="B292">
            <v>36068</v>
          </cell>
          <cell r="C292">
            <v>0.33</v>
          </cell>
        </row>
        <row r="293">
          <cell r="B293">
            <v>36038</v>
          </cell>
          <cell r="C293">
            <v>0.34</v>
          </cell>
        </row>
        <row r="294">
          <cell r="B294">
            <v>36007</v>
          </cell>
          <cell r="C294">
            <v>0.28000000000000003</v>
          </cell>
        </row>
        <row r="295">
          <cell r="B295">
            <v>35976</v>
          </cell>
          <cell r="C295">
            <v>0.31</v>
          </cell>
        </row>
        <row r="296">
          <cell r="B296">
            <v>35946</v>
          </cell>
          <cell r="C296">
            <v>0.26</v>
          </cell>
        </row>
        <row r="297">
          <cell r="B297">
            <v>35915</v>
          </cell>
          <cell r="C297">
            <v>0.24</v>
          </cell>
        </row>
        <row r="298">
          <cell r="B298">
            <v>35885</v>
          </cell>
          <cell r="C298">
            <v>0.24</v>
          </cell>
        </row>
        <row r="299">
          <cell r="B299">
            <v>35854</v>
          </cell>
          <cell r="C299">
            <v>0.25</v>
          </cell>
        </row>
        <row r="300">
          <cell r="B300">
            <v>35826</v>
          </cell>
          <cell r="C300">
            <v>0.21</v>
          </cell>
        </row>
        <row r="301">
          <cell r="B301">
            <v>35795</v>
          </cell>
          <cell r="C301">
            <v>0.16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797CB-B17B-244C-BF31-E8EE71520FD7}">
  <dimension ref="A1:W298"/>
  <sheetViews>
    <sheetView tabSelected="1" topLeftCell="A24" zoomScale="89" workbookViewId="0">
      <selection activeCell="V50" sqref="V50"/>
    </sheetView>
  </sheetViews>
  <sheetFormatPr baseColWidth="10" defaultRowHeight="15"/>
  <cols>
    <col min="1" max="1" width="19.5" style="258" customWidth="1"/>
    <col min="2" max="2" width="10.83203125" style="258"/>
    <col min="3" max="3" width="20.1640625" style="258" customWidth="1"/>
    <col min="4" max="4" width="12.6640625" style="258" bestFit="1" customWidth="1"/>
    <col min="5" max="16384" width="10.83203125" style="258"/>
  </cols>
  <sheetData>
    <row r="1" spans="1:4">
      <c r="A1" s="262" t="s">
        <v>1473</v>
      </c>
      <c r="C1" s="262" t="s">
        <v>1474</v>
      </c>
    </row>
    <row r="2" spans="1:4">
      <c r="A2" s="257" t="s">
        <v>273</v>
      </c>
      <c r="B2" s="257" t="s">
        <v>262</v>
      </c>
      <c r="C2" s="257" t="s">
        <v>273</v>
      </c>
      <c r="D2" s="257" t="s">
        <v>262</v>
      </c>
    </row>
    <row r="3" spans="1:4">
      <c r="A3" s="259">
        <v>44773</v>
      </c>
      <c r="B3" s="260">
        <v>172.12</v>
      </c>
      <c r="C3" s="259">
        <v>44773</v>
      </c>
      <c r="D3" s="260">
        <v>900.09</v>
      </c>
    </row>
    <row r="4" spans="1:4">
      <c r="A4" s="259">
        <v>44742</v>
      </c>
      <c r="B4" s="260">
        <v>162.51</v>
      </c>
      <c r="C4" s="259">
        <v>44742</v>
      </c>
      <c r="D4" s="260">
        <v>891.45</v>
      </c>
    </row>
    <row r="5" spans="1:4">
      <c r="A5" s="259">
        <v>44712</v>
      </c>
      <c r="B5" s="260">
        <v>136.72</v>
      </c>
      <c r="C5" s="259">
        <v>44712</v>
      </c>
      <c r="D5" s="260">
        <v>673.42</v>
      </c>
    </row>
    <row r="6" spans="1:4">
      <c r="A6" s="259">
        <v>44681</v>
      </c>
      <c r="B6" s="260">
        <v>148.84</v>
      </c>
      <c r="C6" s="259">
        <v>44681</v>
      </c>
      <c r="D6" s="260">
        <v>758.26</v>
      </c>
    </row>
    <row r="7" spans="1:4">
      <c r="A7" s="259">
        <v>44651</v>
      </c>
      <c r="B7" s="260">
        <v>157.65</v>
      </c>
      <c r="C7" s="259">
        <v>44651</v>
      </c>
      <c r="D7" s="260">
        <v>870.76</v>
      </c>
    </row>
    <row r="8" spans="1:4">
      <c r="A8" s="259">
        <v>44620</v>
      </c>
      <c r="B8" s="260">
        <v>174.61</v>
      </c>
      <c r="C8" s="259">
        <v>44620</v>
      </c>
      <c r="D8" s="170">
        <v>1077.5999999999999</v>
      </c>
    </row>
    <row r="9" spans="1:4">
      <c r="A9" s="259">
        <v>44592</v>
      </c>
      <c r="B9" s="260">
        <v>165.12</v>
      </c>
      <c r="C9" s="259">
        <v>44592</v>
      </c>
      <c r="D9" s="260">
        <v>870.43</v>
      </c>
    </row>
    <row r="10" spans="1:4">
      <c r="A10" s="259">
        <v>44561</v>
      </c>
      <c r="B10" s="260">
        <v>174.78</v>
      </c>
      <c r="C10" s="259">
        <v>44561</v>
      </c>
      <c r="D10" s="260">
        <v>936.72</v>
      </c>
    </row>
    <row r="11" spans="1:4">
      <c r="A11" s="259">
        <v>44530</v>
      </c>
      <c r="B11" s="260">
        <v>177.57</v>
      </c>
      <c r="C11" s="259">
        <v>44530</v>
      </c>
      <c r="D11" s="170">
        <v>1056.78</v>
      </c>
    </row>
    <row r="12" spans="1:4">
      <c r="A12" s="259">
        <v>44500</v>
      </c>
      <c r="B12" s="260">
        <v>165.3</v>
      </c>
      <c r="C12" s="259">
        <v>44500</v>
      </c>
      <c r="D12" s="170">
        <v>1144.76</v>
      </c>
    </row>
    <row r="13" spans="1:4">
      <c r="A13" s="259">
        <v>44469</v>
      </c>
      <c r="B13" s="260">
        <v>149.80000000000001</v>
      </c>
      <c r="C13" s="259">
        <v>44469</v>
      </c>
      <c r="D13" s="170">
        <v>1114</v>
      </c>
    </row>
    <row r="14" spans="1:4">
      <c r="A14" s="259">
        <v>44439</v>
      </c>
      <c r="B14" s="260">
        <v>141.5</v>
      </c>
      <c r="C14" s="259">
        <v>44439</v>
      </c>
      <c r="D14" s="260">
        <v>775.48</v>
      </c>
    </row>
    <row r="15" spans="1:4">
      <c r="A15" s="259">
        <v>44408</v>
      </c>
      <c r="B15" s="260">
        <v>151.83000000000001</v>
      </c>
      <c r="C15" s="259">
        <v>44408</v>
      </c>
      <c r="D15" s="260">
        <v>735.72</v>
      </c>
    </row>
    <row r="16" spans="1:4">
      <c r="A16" s="259">
        <v>44377</v>
      </c>
      <c r="B16" s="260">
        <v>145.86000000000001</v>
      </c>
      <c r="C16" s="259">
        <v>44377</v>
      </c>
      <c r="D16" s="260">
        <v>687.2</v>
      </c>
    </row>
    <row r="17" spans="1:23">
      <c r="A17" s="259">
        <v>44347</v>
      </c>
      <c r="B17" s="260">
        <v>136.96</v>
      </c>
      <c r="C17" s="259">
        <v>44347</v>
      </c>
      <c r="D17" s="260">
        <v>679.7</v>
      </c>
    </row>
    <row r="18" spans="1:23">
      <c r="A18" s="259">
        <v>44316</v>
      </c>
      <c r="B18" s="260">
        <v>124.61</v>
      </c>
      <c r="C18" s="259">
        <v>44316</v>
      </c>
      <c r="D18" s="260">
        <v>625.22</v>
      </c>
    </row>
    <row r="19" spans="1:23">
      <c r="A19" s="259">
        <v>44286</v>
      </c>
      <c r="B19" s="260">
        <v>131.46</v>
      </c>
      <c r="C19" s="259">
        <v>44286</v>
      </c>
      <c r="D19" s="260">
        <v>709.44</v>
      </c>
    </row>
    <row r="20" spans="1:23">
      <c r="A20" s="259">
        <v>44255</v>
      </c>
      <c r="B20" s="260">
        <v>122.15</v>
      </c>
      <c r="C20" s="259">
        <v>44255</v>
      </c>
      <c r="D20" s="260">
        <v>667.93</v>
      </c>
    </row>
    <row r="21" spans="1:23">
      <c r="A21" s="259">
        <v>44227</v>
      </c>
      <c r="B21" s="260">
        <v>121.26</v>
      </c>
      <c r="C21" s="259">
        <v>44227</v>
      </c>
      <c r="D21" s="260">
        <v>675.5</v>
      </c>
    </row>
    <row r="22" spans="1:23">
      <c r="A22" s="259">
        <v>44196</v>
      </c>
      <c r="B22" s="260">
        <v>131.96</v>
      </c>
      <c r="C22" s="259">
        <v>44196</v>
      </c>
      <c r="D22" s="260">
        <v>793.53</v>
      </c>
    </row>
    <row r="23" spans="1:23">
      <c r="A23" s="259">
        <v>44165</v>
      </c>
      <c r="B23" s="260">
        <v>132.69</v>
      </c>
      <c r="C23" s="259">
        <v>44165</v>
      </c>
      <c r="D23" s="260">
        <v>705.67</v>
      </c>
    </row>
    <row r="24" spans="1:23">
      <c r="A24" s="259">
        <v>44135</v>
      </c>
      <c r="B24" s="260">
        <v>119.05</v>
      </c>
      <c r="C24" s="259">
        <v>44135</v>
      </c>
      <c r="D24" s="260">
        <v>567.6</v>
      </c>
      <c r="S24" s="262" t="s">
        <v>1477</v>
      </c>
      <c r="T24" s="56">
        <v>155</v>
      </c>
      <c r="U24" s="56"/>
      <c r="V24" s="262" t="s">
        <v>1479</v>
      </c>
    </row>
    <row r="25" spans="1:23">
      <c r="A25" s="259">
        <v>44104</v>
      </c>
      <c r="B25" s="260">
        <v>108.86</v>
      </c>
      <c r="C25" s="259">
        <v>44104</v>
      </c>
      <c r="D25" s="260">
        <v>388.04</v>
      </c>
      <c r="S25" s="262" t="s">
        <v>1478</v>
      </c>
      <c r="T25" s="56">
        <f>T24*0.7</f>
        <v>108.5</v>
      </c>
      <c r="U25" s="56">
        <f>T24-T25</f>
        <v>46.5</v>
      </c>
      <c r="V25" s="56">
        <f>U25/4</f>
        <v>11.625</v>
      </c>
    </row>
    <row r="26" spans="1:23">
      <c r="A26" s="259">
        <v>44074</v>
      </c>
      <c r="B26" s="260">
        <v>115.81</v>
      </c>
      <c r="C26" s="259">
        <v>44074</v>
      </c>
      <c r="D26" s="260">
        <v>429.01</v>
      </c>
      <c r="T26" s="56"/>
      <c r="U26" s="56"/>
    </row>
    <row r="27" spans="1:23">
      <c r="A27" s="259">
        <v>44043</v>
      </c>
      <c r="B27" s="260">
        <v>129.04</v>
      </c>
      <c r="C27" s="259">
        <v>44043</v>
      </c>
      <c r="D27" s="260">
        <v>498.32</v>
      </c>
      <c r="T27" s="56"/>
      <c r="V27" s="262" t="s">
        <v>1480</v>
      </c>
      <c r="W27" s="258">
        <v>500</v>
      </c>
    </row>
    <row r="28" spans="1:23">
      <c r="A28" s="259">
        <v>44012</v>
      </c>
      <c r="B28" s="260">
        <v>106.26</v>
      </c>
      <c r="C28" s="259">
        <v>44012</v>
      </c>
      <c r="D28" s="260">
        <v>286.14999999999998</v>
      </c>
      <c r="U28" s="262" t="s">
        <v>1475</v>
      </c>
      <c r="V28" s="262" t="s">
        <v>1476</v>
      </c>
    </row>
    <row r="29" spans="1:23">
      <c r="A29" s="259">
        <v>43982</v>
      </c>
      <c r="B29" s="260">
        <v>91.2</v>
      </c>
      <c r="C29" s="259">
        <v>43982</v>
      </c>
      <c r="D29" s="260">
        <v>215.96</v>
      </c>
      <c r="T29" s="83">
        <v>0.2</v>
      </c>
      <c r="U29" s="56">
        <f>T24-V25</f>
        <v>143.375</v>
      </c>
      <c r="V29" s="258">
        <f>$W$27*T29</f>
        <v>100</v>
      </c>
    </row>
    <row r="30" spans="1:23">
      <c r="A30" s="259">
        <v>43951</v>
      </c>
      <c r="B30" s="260">
        <v>79.48</v>
      </c>
      <c r="C30" s="259">
        <v>43951</v>
      </c>
      <c r="D30" s="260">
        <v>167</v>
      </c>
      <c r="T30" s="83">
        <v>0.25</v>
      </c>
      <c r="U30" s="56">
        <f>U29-V25</f>
        <v>131.75</v>
      </c>
      <c r="V30" s="258">
        <f>$W$27*T30</f>
        <v>125</v>
      </c>
    </row>
    <row r="31" spans="1:23">
      <c r="A31" s="259">
        <v>43921</v>
      </c>
      <c r="B31" s="260">
        <v>73.45</v>
      </c>
      <c r="C31" s="259">
        <v>43921</v>
      </c>
      <c r="D31" s="260">
        <v>156.38</v>
      </c>
      <c r="T31" s="83">
        <v>0.25</v>
      </c>
      <c r="U31" s="56">
        <f>U30-V25</f>
        <v>120.125</v>
      </c>
      <c r="V31" s="258">
        <f>$W$27*T31</f>
        <v>125</v>
      </c>
    </row>
    <row r="32" spans="1:23">
      <c r="A32" s="259">
        <v>43890</v>
      </c>
      <c r="B32" s="260">
        <v>63.57</v>
      </c>
      <c r="C32" s="259">
        <v>43890</v>
      </c>
      <c r="D32" s="260">
        <v>104.8</v>
      </c>
      <c r="T32" s="83">
        <v>0.3</v>
      </c>
      <c r="U32" s="56">
        <f>U31-V25</f>
        <v>108.5</v>
      </c>
      <c r="V32" s="258">
        <f>$W$27*T32</f>
        <v>150</v>
      </c>
    </row>
    <row r="33" spans="1:23">
      <c r="A33" s="259">
        <v>43861</v>
      </c>
      <c r="B33" s="260">
        <v>68.34</v>
      </c>
      <c r="C33" s="259">
        <v>43861</v>
      </c>
      <c r="D33" s="260">
        <v>133.6</v>
      </c>
    </row>
    <row r="34" spans="1:23">
      <c r="A34" s="259">
        <v>43830</v>
      </c>
      <c r="B34" s="260">
        <v>77.38</v>
      </c>
      <c r="C34" s="259">
        <v>43830</v>
      </c>
      <c r="D34" s="260">
        <v>130.11000000000001</v>
      </c>
    </row>
    <row r="35" spans="1:23">
      <c r="A35" s="259">
        <v>43799</v>
      </c>
      <c r="B35" s="260">
        <v>73.41</v>
      </c>
      <c r="C35" s="259">
        <v>43799</v>
      </c>
      <c r="D35" s="260">
        <v>83.67</v>
      </c>
    </row>
    <row r="36" spans="1:23">
      <c r="A36" s="259">
        <v>43769</v>
      </c>
      <c r="B36" s="260">
        <v>66.81</v>
      </c>
      <c r="C36" s="259">
        <v>43769</v>
      </c>
      <c r="D36" s="260">
        <v>65.989999999999995</v>
      </c>
    </row>
    <row r="37" spans="1:23">
      <c r="A37" s="259">
        <v>43738</v>
      </c>
      <c r="B37" s="260">
        <v>62.19</v>
      </c>
      <c r="C37" s="259">
        <v>43738</v>
      </c>
      <c r="D37" s="260">
        <v>62.98</v>
      </c>
      <c r="S37" s="262" t="s">
        <v>1477</v>
      </c>
      <c r="T37" s="258">
        <v>1100</v>
      </c>
      <c r="V37" s="262" t="s">
        <v>1479</v>
      </c>
    </row>
    <row r="38" spans="1:23">
      <c r="A38" s="259">
        <v>43708</v>
      </c>
      <c r="B38" s="260">
        <v>55.99</v>
      </c>
      <c r="C38" s="259">
        <v>43708</v>
      </c>
      <c r="D38" s="260">
        <v>48.17</v>
      </c>
      <c r="S38" s="262" t="s">
        <v>1478</v>
      </c>
      <c r="T38" s="258">
        <f>1100*0.7</f>
        <v>770</v>
      </c>
      <c r="U38" s="258">
        <f>T37-T38</f>
        <v>330</v>
      </c>
      <c r="V38" s="258">
        <f>U38/4</f>
        <v>82.5</v>
      </c>
    </row>
    <row r="39" spans="1:23">
      <c r="A39" s="259">
        <v>43677</v>
      </c>
      <c r="B39" s="260">
        <v>52.19</v>
      </c>
      <c r="C39" s="259">
        <v>43677</v>
      </c>
      <c r="D39" s="260">
        <v>45.12</v>
      </c>
    </row>
    <row r="40" spans="1:23">
      <c r="A40" s="259">
        <v>43646</v>
      </c>
      <c r="B40" s="260">
        <v>53.26</v>
      </c>
      <c r="C40" s="259">
        <v>43646</v>
      </c>
      <c r="D40" s="260">
        <v>48.32</v>
      </c>
      <c r="V40" s="262" t="s">
        <v>1480</v>
      </c>
      <c r="W40" s="258">
        <v>500</v>
      </c>
    </row>
    <row r="41" spans="1:23">
      <c r="A41" s="259">
        <v>43616</v>
      </c>
      <c r="B41" s="260">
        <v>49.48</v>
      </c>
      <c r="C41" s="259">
        <v>43616</v>
      </c>
      <c r="D41" s="260">
        <v>44.69</v>
      </c>
      <c r="U41" s="262" t="s">
        <v>1475</v>
      </c>
      <c r="V41" s="262" t="s">
        <v>1476</v>
      </c>
    </row>
    <row r="42" spans="1:23">
      <c r="A42" s="259">
        <v>43585</v>
      </c>
      <c r="B42" s="260">
        <v>43.77</v>
      </c>
      <c r="C42" s="259">
        <v>43585</v>
      </c>
      <c r="D42" s="260">
        <v>37.03</v>
      </c>
      <c r="T42" s="83">
        <v>0.2</v>
      </c>
      <c r="U42" s="261">
        <f>T37-V38</f>
        <v>1017.5</v>
      </c>
      <c r="V42" s="258">
        <f>$W$40*T42</f>
        <v>100</v>
      </c>
    </row>
    <row r="43" spans="1:23">
      <c r="A43" s="259">
        <v>43555</v>
      </c>
      <c r="B43" s="260">
        <v>50.17</v>
      </c>
      <c r="C43" s="259">
        <v>43555</v>
      </c>
      <c r="D43" s="260">
        <v>47.74</v>
      </c>
      <c r="T43" s="83">
        <v>0.25</v>
      </c>
      <c r="U43" s="261">
        <f>U42-V38</f>
        <v>935</v>
      </c>
      <c r="V43" s="258">
        <f>$W$40*T43</f>
        <v>125</v>
      </c>
    </row>
    <row r="44" spans="1:23">
      <c r="A44" s="259">
        <v>43524</v>
      </c>
      <c r="B44" s="260">
        <v>47.49</v>
      </c>
      <c r="C44" s="259">
        <v>43524</v>
      </c>
      <c r="D44" s="260">
        <v>55.97</v>
      </c>
      <c r="T44" s="83">
        <v>0.25</v>
      </c>
      <c r="U44" s="261">
        <f>U43-V38</f>
        <v>852.5</v>
      </c>
      <c r="V44" s="258">
        <f>$W$40*T44</f>
        <v>125</v>
      </c>
    </row>
    <row r="45" spans="1:23">
      <c r="A45" s="259">
        <v>43496</v>
      </c>
      <c r="B45" s="260">
        <v>43.29</v>
      </c>
      <c r="C45" s="259">
        <v>43496</v>
      </c>
      <c r="D45" s="260">
        <v>63.98</v>
      </c>
      <c r="T45" s="83">
        <v>0.3</v>
      </c>
      <c r="U45" s="261">
        <f>U44-V38</f>
        <v>770</v>
      </c>
      <c r="V45" s="258">
        <f>$W$40*T45</f>
        <v>150</v>
      </c>
    </row>
    <row r="46" spans="1:23">
      <c r="A46" s="259">
        <v>43465</v>
      </c>
      <c r="B46" s="260">
        <v>41.61</v>
      </c>
      <c r="C46" s="259">
        <v>43465</v>
      </c>
      <c r="D46" s="260">
        <v>61.4</v>
      </c>
    </row>
    <row r="47" spans="1:23">
      <c r="A47" s="259">
        <v>43434</v>
      </c>
      <c r="B47" s="260">
        <v>39.44</v>
      </c>
      <c r="C47" s="259">
        <v>43434</v>
      </c>
      <c r="D47" s="260">
        <v>66.56</v>
      </c>
    </row>
    <row r="48" spans="1:23">
      <c r="A48" s="259">
        <v>43404</v>
      </c>
      <c r="B48" s="260">
        <v>44.65</v>
      </c>
      <c r="C48" s="259">
        <v>43404</v>
      </c>
      <c r="D48" s="260">
        <v>70.099999999999994</v>
      </c>
    </row>
    <row r="49" spans="1:4">
      <c r="A49" s="259">
        <v>43373</v>
      </c>
      <c r="B49" s="260">
        <v>54.72</v>
      </c>
      <c r="C49" s="259">
        <v>43373</v>
      </c>
      <c r="D49" s="260">
        <v>67.459999999999994</v>
      </c>
    </row>
    <row r="50" spans="1:4">
      <c r="A50" s="259">
        <v>43343</v>
      </c>
      <c r="B50" s="260">
        <v>56.44</v>
      </c>
      <c r="C50" s="259">
        <v>43343</v>
      </c>
      <c r="D50" s="260">
        <v>52.95</v>
      </c>
    </row>
    <row r="51" spans="1:4">
      <c r="A51" s="259">
        <v>43312</v>
      </c>
      <c r="B51" s="260">
        <v>56.91</v>
      </c>
      <c r="C51" s="259">
        <v>43312</v>
      </c>
      <c r="D51" s="260">
        <v>60.33</v>
      </c>
    </row>
    <row r="52" spans="1:4">
      <c r="A52" s="259">
        <v>43281</v>
      </c>
      <c r="B52" s="260">
        <v>47.57</v>
      </c>
      <c r="C52" s="259">
        <v>43281</v>
      </c>
      <c r="D52" s="260">
        <v>59.63</v>
      </c>
    </row>
    <row r="53" spans="1:4">
      <c r="A53" s="259">
        <v>43251</v>
      </c>
      <c r="B53" s="260">
        <v>46.28</v>
      </c>
      <c r="C53" s="259">
        <v>43251</v>
      </c>
      <c r="D53" s="260">
        <v>68.59</v>
      </c>
    </row>
    <row r="54" spans="1:4">
      <c r="A54" s="259">
        <v>43220</v>
      </c>
      <c r="B54" s="260">
        <v>46.72</v>
      </c>
      <c r="C54" s="259">
        <v>43220</v>
      </c>
      <c r="D54" s="260">
        <v>56.95</v>
      </c>
    </row>
    <row r="55" spans="1:4">
      <c r="A55" s="259">
        <v>43190</v>
      </c>
      <c r="B55" s="260">
        <v>41.31</v>
      </c>
      <c r="C55" s="259">
        <v>43190</v>
      </c>
      <c r="D55" s="260">
        <v>58.78</v>
      </c>
    </row>
    <row r="56" spans="1:4">
      <c r="A56" s="259">
        <v>43159</v>
      </c>
      <c r="B56" s="260">
        <v>41.95</v>
      </c>
      <c r="C56" s="259">
        <v>43159</v>
      </c>
      <c r="D56" s="260">
        <v>53.23</v>
      </c>
    </row>
    <row r="57" spans="1:4">
      <c r="A57" s="259">
        <v>43131</v>
      </c>
      <c r="B57" s="260">
        <v>44.53</v>
      </c>
      <c r="C57" s="259">
        <v>43131</v>
      </c>
      <c r="D57" s="260">
        <v>68.61</v>
      </c>
    </row>
    <row r="58" spans="1:4">
      <c r="A58" s="259">
        <v>43100</v>
      </c>
      <c r="B58" s="260">
        <v>41.86</v>
      </c>
      <c r="C58" s="259">
        <v>43100</v>
      </c>
      <c r="D58" s="260">
        <v>70.86</v>
      </c>
    </row>
    <row r="59" spans="1:4">
      <c r="A59" s="259">
        <v>43069</v>
      </c>
      <c r="B59" s="260">
        <v>42.31</v>
      </c>
      <c r="C59" s="259">
        <v>43069</v>
      </c>
      <c r="D59" s="260">
        <v>62.27</v>
      </c>
    </row>
    <row r="60" spans="1:4">
      <c r="A60" s="259">
        <v>43039</v>
      </c>
      <c r="B60" s="260">
        <v>42.96</v>
      </c>
      <c r="C60" s="259">
        <v>43039</v>
      </c>
      <c r="D60" s="260">
        <v>61.77</v>
      </c>
    </row>
    <row r="61" spans="1:4">
      <c r="A61" s="259">
        <v>43008</v>
      </c>
      <c r="B61" s="260">
        <v>42.26</v>
      </c>
      <c r="C61" s="259">
        <v>43008</v>
      </c>
      <c r="D61" s="260">
        <v>66.31</v>
      </c>
    </row>
    <row r="62" spans="1:4">
      <c r="A62" s="259">
        <v>42978</v>
      </c>
      <c r="B62" s="260">
        <v>38.53</v>
      </c>
      <c r="C62" s="259">
        <v>42978</v>
      </c>
      <c r="D62" s="260">
        <v>68.22</v>
      </c>
    </row>
    <row r="63" spans="1:4">
      <c r="A63" s="259">
        <v>42947</v>
      </c>
      <c r="B63" s="260">
        <v>41</v>
      </c>
      <c r="C63" s="259">
        <v>42947</v>
      </c>
      <c r="D63" s="260">
        <v>71.180000000000007</v>
      </c>
    </row>
    <row r="64" spans="1:4">
      <c r="A64" s="259">
        <v>42916</v>
      </c>
      <c r="B64" s="260">
        <v>37.18</v>
      </c>
      <c r="C64" s="259">
        <v>42916</v>
      </c>
      <c r="D64" s="260">
        <v>64.69</v>
      </c>
    </row>
    <row r="65" spans="1:4">
      <c r="A65" s="259">
        <v>42886</v>
      </c>
      <c r="B65" s="260">
        <v>36.01</v>
      </c>
      <c r="C65" s="259">
        <v>42886</v>
      </c>
      <c r="D65" s="260">
        <v>72.319999999999993</v>
      </c>
    </row>
    <row r="66" spans="1:4">
      <c r="A66" s="259">
        <v>42855</v>
      </c>
      <c r="B66" s="260">
        <v>38.19</v>
      </c>
      <c r="C66" s="259">
        <v>42855</v>
      </c>
      <c r="D66" s="260">
        <v>68.2</v>
      </c>
    </row>
    <row r="67" spans="1:4">
      <c r="A67" s="259">
        <v>42825</v>
      </c>
      <c r="B67" s="260">
        <v>35.909999999999997</v>
      </c>
      <c r="C67" s="259">
        <v>42825</v>
      </c>
      <c r="D67" s="260">
        <v>62.81</v>
      </c>
    </row>
    <row r="68" spans="1:4">
      <c r="A68" s="259">
        <v>42794</v>
      </c>
      <c r="B68" s="260">
        <v>35.909999999999997</v>
      </c>
      <c r="C68" s="259">
        <v>42794</v>
      </c>
      <c r="D68" s="260">
        <v>55.66</v>
      </c>
    </row>
    <row r="69" spans="1:4">
      <c r="A69" s="259">
        <v>42766</v>
      </c>
      <c r="B69" s="260">
        <v>34.25</v>
      </c>
      <c r="C69" s="259">
        <v>42766</v>
      </c>
      <c r="D69" s="260">
        <v>50</v>
      </c>
    </row>
    <row r="70" spans="1:4">
      <c r="A70" s="259">
        <v>42735</v>
      </c>
      <c r="B70" s="260">
        <v>30.34</v>
      </c>
      <c r="C70" s="259">
        <v>42735</v>
      </c>
      <c r="D70" s="260">
        <v>50.39</v>
      </c>
    </row>
    <row r="71" spans="1:4">
      <c r="A71" s="259">
        <v>42704</v>
      </c>
      <c r="B71" s="260">
        <v>28.95</v>
      </c>
      <c r="C71" s="259">
        <v>42704</v>
      </c>
      <c r="D71" s="260">
        <v>42.74</v>
      </c>
    </row>
    <row r="72" spans="1:4">
      <c r="A72" s="259">
        <v>42674</v>
      </c>
      <c r="B72" s="260">
        <v>27.63</v>
      </c>
      <c r="C72" s="259">
        <v>42674</v>
      </c>
      <c r="D72" s="260">
        <v>37.880000000000003</v>
      </c>
    </row>
    <row r="73" spans="1:4">
      <c r="A73" s="259">
        <v>42643</v>
      </c>
      <c r="B73" s="260">
        <v>28.39</v>
      </c>
      <c r="C73" s="259">
        <v>42643</v>
      </c>
      <c r="D73" s="260">
        <v>39.549999999999997</v>
      </c>
    </row>
    <row r="74" spans="1:4">
      <c r="A74" s="259">
        <v>42613</v>
      </c>
      <c r="B74" s="260">
        <v>28.26</v>
      </c>
      <c r="C74" s="259">
        <v>42613</v>
      </c>
      <c r="D74" s="260">
        <v>40.81</v>
      </c>
    </row>
    <row r="75" spans="1:4">
      <c r="A75" s="259">
        <v>42582</v>
      </c>
      <c r="B75" s="260">
        <v>26.52</v>
      </c>
      <c r="C75" s="259">
        <v>42582</v>
      </c>
      <c r="D75" s="260">
        <v>42.4</v>
      </c>
    </row>
    <row r="76" spans="1:4">
      <c r="A76" s="259">
        <v>42551</v>
      </c>
      <c r="B76" s="260">
        <v>26.05</v>
      </c>
      <c r="C76" s="259">
        <v>42551</v>
      </c>
      <c r="D76" s="260">
        <v>46.96</v>
      </c>
    </row>
    <row r="77" spans="1:4">
      <c r="A77" s="259">
        <v>42521</v>
      </c>
      <c r="B77" s="260">
        <v>23.9</v>
      </c>
      <c r="C77" s="259">
        <v>42521</v>
      </c>
      <c r="D77" s="260">
        <v>42.46</v>
      </c>
    </row>
    <row r="78" spans="1:4">
      <c r="A78" s="259">
        <v>42490</v>
      </c>
      <c r="B78" s="260">
        <v>24.96</v>
      </c>
      <c r="C78" s="259">
        <v>42490</v>
      </c>
      <c r="D78" s="260">
        <v>44.65</v>
      </c>
    </row>
    <row r="79" spans="1:4">
      <c r="A79" s="259">
        <v>42460</v>
      </c>
      <c r="B79" s="260">
        <v>23.43</v>
      </c>
      <c r="C79" s="259">
        <v>42460</v>
      </c>
      <c r="D79" s="260">
        <v>48.15</v>
      </c>
    </row>
    <row r="80" spans="1:4">
      <c r="A80" s="259">
        <v>42429</v>
      </c>
      <c r="B80" s="260">
        <v>27.25</v>
      </c>
      <c r="C80" s="259">
        <v>42429</v>
      </c>
      <c r="D80" s="260">
        <v>45.95</v>
      </c>
    </row>
    <row r="81" spans="1:4">
      <c r="A81" s="259">
        <v>42400</v>
      </c>
      <c r="B81" s="260">
        <v>24.17</v>
      </c>
      <c r="C81" s="259">
        <v>42400</v>
      </c>
      <c r="D81" s="260">
        <v>38.39</v>
      </c>
    </row>
    <row r="82" spans="1:4">
      <c r="A82" s="259">
        <v>42369</v>
      </c>
      <c r="B82" s="260">
        <v>24.34</v>
      </c>
      <c r="C82" s="259">
        <v>42369</v>
      </c>
      <c r="D82" s="260">
        <v>38.24</v>
      </c>
    </row>
    <row r="83" spans="1:4">
      <c r="A83" s="259">
        <v>42338</v>
      </c>
      <c r="B83" s="260">
        <v>26.32</v>
      </c>
      <c r="C83" s="259">
        <v>42338</v>
      </c>
      <c r="D83" s="260">
        <v>48</v>
      </c>
    </row>
    <row r="84" spans="1:4">
      <c r="A84" s="259">
        <v>42308</v>
      </c>
      <c r="B84" s="260">
        <v>29.57</v>
      </c>
      <c r="C84" s="259">
        <v>42308</v>
      </c>
      <c r="D84" s="260">
        <v>46.05</v>
      </c>
    </row>
    <row r="85" spans="1:4">
      <c r="A85" s="259">
        <v>42277</v>
      </c>
      <c r="B85" s="260">
        <v>29.88</v>
      </c>
      <c r="C85" s="259">
        <v>42277</v>
      </c>
      <c r="D85" s="260">
        <v>41.39</v>
      </c>
    </row>
    <row r="86" spans="1:4">
      <c r="A86" s="259">
        <v>42247</v>
      </c>
      <c r="B86" s="260">
        <v>27.57</v>
      </c>
      <c r="C86" s="259">
        <v>42247</v>
      </c>
      <c r="D86" s="260">
        <v>49.68</v>
      </c>
    </row>
    <row r="87" spans="1:4">
      <c r="A87" s="259">
        <v>42216</v>
      </c>
      <c r="B87" s="260">
        <v>28.19</v>
      </c>
      <c r="C87" s="259">
        <v>42216</v>
      </c>
      <c r="D87" s="260">
        <v>49.81</v>
      </c>
    </row>
    <row r="88" spans="1:4">
      <c r="A88" s="259">
        <v>42185</v>
      </c>
      <c r="B88" s="260">
        <v>30.32</v>
      </c>
      <c r="C88" s="259">
        <v>42185</v>
      </c>
      <c r="D88" s="260">
        <v>53.23</v>
      </c>
    </row>
    <row r="89" spans="1:4">
      <c r="A89" s="259">
        <v>42155</v>
      </c>
      <c r="B89" s="260">
        <v>31.36</v>
      </c>
      <c r="C89" s="259">
        <v>42155</v>
      </c>
      <c r="D89" s="260">
        <v>53.65</v>
      </c>
    </row>
    <row r="90" spans="1:4">
      <c r="A90" s="259">
        <v>42124</v>
      </c>
      <c r="B90" s="260">
        <v>32.57</v>
      </c>
      <c r="C90" s="259">
        <v>42124</v>
      </c>
      <c r="D90" s="260">
        <v>50.16</v>
      </c>
    </row>
    <row r="91" spans="1:4">
      <c r="A91" s="259">
        <v>42094</v>
      </c>
      <c r="B91" s="260">
        <v>31.29</v>
      </c>
      <c r="C91" s="259">
        <v>42094</v>
      </c>
      <c r="D91" s="260">
        <v>45.21</v>
      </c>
    </row>
    <row r="92" spans="1:4">
      <c r="A92" s="259">
        <v>42063</v>
      </c>
      <c r="B92" s="260">
        <v>31.11</v>
      </c>
      <c r="C92" s="259">
        <v>42063</v>
      </c>
      <c r="D92" s="260">
        <v>37.75</v>
      </c>
    </row>
    <row r="93" spans="1:4">
      <c r="A93" s="259">
        <v>42035</v>
      </c>
      <c r="B93" s="260">
        <v>32.119999999999997</v>
      </c>
      <c r="C93" s="259">
        <v>42035</v>
      </c>
      <c r="D93" s="260">
        <v>40.67</v>
      </c>
    </row>
    <row r="94" spans="1:4">
      <c r="A94" s="259">
        <v>42004</v>
      </c>
      <c r="B94" s="260">
        <v>29.29</v>
      </c>
      <c r="C94" s="259">
        <v>42004</v>
      </c>
      <c r="D94" s="260">
        <v>40.72</v>
      </c>
    </row>
    <row r="95" spans="1:4">
      <c r="A95" s="259">
        <v>41973</v>
      </c>
      <c r="B95" s="260">
        <v>27.59</v>
      </c>
      <c r="C95" s="259">
        <v>41973</v>
      </c>
      <c r="D95" s="260">
        <v>44.48</v>
      </c>
    </row>
    <row r="96" spans="1:4">
      <c r="A96" s="259">
        <v>41943</v>
      </c>
      <c r="B96" s="260">
        <v>29.73</v>
      </c>
      <c r="C96" s="259">
        <v>41943</v>
      </c>
      <c r="D96" s="260">
        <v>48.9</v>
      </c>
    </row>
    <row r="97" spans="1:4">
      <c r="A97" s="259">
        <v>41912</v>
      </c>
      <c r="B97" s="260">
        <v>27</v>
      </c>
      <c r="C97" s="259">
        <v>41912</v>
      </c>
      <c r="D97" s="260">
        <v>48.34</v>
      </c>
    </row>
    <row r="98" spans="1:4">
      <c r="A98" s="259">
        <v>41882</v>
      </c>
      <c r="B98" s="260">
        <v>25.19</v>
      </c>
      <c r="C98" s="259">
        <v>41882</v>
      </c>
      <c r="D98" s="260">
        <v>48.54</v>
      </c>
    </row>
    <row r="99" spans="1:4">
      <c r="A99" s="259">
        <v>41851</v>
      </c>
      <c r="B99" s="260">
        <v>25.62</v>
      </c>
      <c r="C99" s="259">
        <v>41851</v>
      </c>
      <c r="D99" s="260">
        <v>53.94</v>
      </c>
    </row>
    <row r="100" spans="1:4">
      <c r="A100" s="259">
        <v>41820</v>
      </c>
      <c r="B100" s="260">
        <v>23.9</v>
      </c>
      <c r="C100" s="259">
        <v>41820</v>
      </c>
      <c r="D100" s="260">
        <v>44.66</v>
      </c>
    </row>
    <row r="101" spans="1:4">
      <c r="A101" s="259">
        <v>41790</v>
      </c>
      <c r="B101" s="260">
        <v>23.23</v>
      </c>
      <c r="C101" s="259">
        <v>41790</v>
      </c>
      <c r="D101" s="260">
        <v>48.01</v>
      </c>
    </row>
    <row r="102" spans="1:4">
      <c r="A102" s="259">
        <v>41759</v>
      </c>
      <c r="B102" s="260">
        <v>22.61</v>
      </c>
      <c r="C102" s="259">
        <v>41759</v>
      </c>
      <c r="D102" s="260">
        <v>41.55</v>
      </c>
    </row>
    <row r="103" spans="1:4">
      <c r="A103" s="259">
        <v>41729</v>
      </c>
      <c r="B103" s="260">
        <v>21.07</v>
      </c>
      <c r="C103" s="259">
        <v>41729</v>
      </c>
      <c r="D103" s="260">
        <v>41.58</v>
      </c>
    </row>
    <row r="104" spans="1:4">
      <c r="A104" s="259">
        <v>41698</v>
      </c>
      <c r="B104" s="260">
        <v>19.170000000000002</v>
      </c>
      <c r="C104" s="259">
        <v>41698</v>
      </c>
      <c r="D104" s="260">
        <v>41.69</v>
      </c>
    </row>
    <row r="105" spans="1:4">
      <c r="A105" s="259">
        <v>41670</v>
      </c>
      <c r="B105" s="260">
        <v>18.79</v>
      </c>
      <c r="C105" s="259">
        <v>41670</v>
      </c>
      <c r="D105" s="260">
        <v>48.96</v>
      </c>
    </row>
    <row r="106" spans="1:4">
      <c r="A106" s="259">
        <v>41639</v>
      </c>
      <c r="B106" s="260">
        <v>17.88</v>
      </c>
      <c r="C106" s="259">
        <v>41639</v>
      </c>
      <c r="D106" s="260">
        <v>36.28</v>
      </c>
    </row>
    <row r="107" spans="1:4">
      <c r="A107" s="259">
        <v>41608</v>
      </c>
      <c r="B107" s="260">
        <v>20.04</v>
      </c>
      <c r="C107" s="259">
        <v>41608</v>
      </c>
      <c r="D107" s="260">
        <v>30.09</v>
      </c>
    </row>
    <row r="108" spans="1:4">
      <c r="A108" s="259">
        <v>41578</v>
      </c>
      <c r="B108" s="260">
        <v>19.86</v>
      </c>
      <c r="C108" s="259">
        <v>41578</v>
      </c>
      <c r="D108" s="260">
        <v>25.46</v>
      </c>
    </row>
    <row r="109" spans="1:4">
      <c r="A109" s="259">
        <v>41547</v>
      </c>
      <c r="B109" s="260">
        <v>18.670000000000002</v>
      </c>
      <c r="C109" s="259">
        <v>41547</v>
      </c>
      <c r="D109" s="260">
        <v>31.99</v>
      </c>
    </row>
    <row r="110" spans="1:4">
      <c r="A110" s="259">
        <v>41517</v>
      </c>
      <c r="B110" s="260">
        <v>17.03</v>
      </c>
      <c r="C110" s="259">
        <v>41517</v>
      </c>
      <c r="D110" s="260">
        <v>38.67</v>
      </c>
    </row>
    <row r="111" spans="1:4">
      <c r="A111" s="259">
        <v>41486</v>
      </c>
      <c r="B111" s="260">
        <v>17.399999999999999</v>
      </c>
      <c r="C111" s="259">
        <v>41486</v>
      </c>
      <c r="D111" s="260">
        <v>33.799999999999997</v>
      </c>
    </row>
    <row r="112" spans="1:4">
      <c r="A112" s="259">
        <v>41455</v>
      </c>
      <c r="B112" s="260">
        <v>16.16</v>
      </c>
      <c r="C112" s="259">
        <v>41455</v>
      </c>
      <c r="D112" s="260">
        <v>26.86</v>
      </c>
    </row>
    <row r="113" spans="1:4">
      <c r="A113" s="259">
        <v>41425</v>
      </c>
      <c r="B113" s="260">
        <v>14.16</v>
      </c>
      <c r="C113" s="259">
        <v>41425</v>
      </c>
      <c r="D113" s="260">
        <v>21.47</v>
      </c>
    </row>
    <row r="114" spans="1:4">
      <c r="A114" s="259">
        <v>41394</v>
      </c>
      <c r="B114" s="260">
        <v>16.059999999999999</v>
      </c>
      <c r="C114" s="259">
        <v>41394</v>
      </c>
      <c r="D114" s="260">
        <v>19.55</v>
      </c>
    </row>
    <row r="115" spans="1:4">
      <c r="A115" s="259">
        <v>41364</v>
      </c>
      <c r="B115" s="260">
        <v>15.81</v>
      </c>
      <c r="C115" s="259">
        <v>41364</v>
      </c>
      <c r="D115" s="260">
        <v>10.8</v>
      </c>
    </row>
    <row r="116" spans="1:4">
      <c r="A116" s="259">
        <v>41333</v>
      </c>
      <c r="B116" s="260">
        <v>15.81</v>
      </c>
      <c r="C116" s="259">
        <v>41333</v>
      </c>
      <c r="D116" s="260">
        <v>7.58</v>
      </c>
    </row>
    <row r="117" spans="1:4">
      <c r="A117" s="259">
        <v>41305</v>
      </c>
      <c r="B117" s="260">
        <v>15.76</v>
      </c>
      <c r="C117" s="259">
        <v>41305</v>
      </c>
      <c r="D117" s="260">
        <v>6.97</v>
      </c>
    </row>
    <row r="118" spans="1:4">
      <c r="A118" s="259">
        <v>41274</v>
      </c>
      <c r="B118" s="260">
        <v>16.27</v>
      </c>
      <c r="C118" s="259">
        <v>41274</v>
      </c>
      <c r="D118" s="260">
        <v>7.5</v>
      </c>
    </row>
    <row r="119" spans="1:4">
      <c r="A119" s="259">
        <v>41243</v>
      </c>
      <c r="B119" s="260">
        <v>19.010000000000002</v>
      </c>
      <c r="C119" s="259">
        <v>41243</v>
      </c>
      <c r="D119" s="260">
        <v>6.77</v>
      </c>
    </row>
    <row r="120" spans="1:4">
      <c r="A120" s="259">
        <v>41213</v>
      </c>
      <c r="B120" s="260">
        <v>20.9</v>
      </c>
      <c r="C120" s="259">
        <v>41213</v>
      </c>
      <c r="D120" s="260">
        <v>6.76</v>
      </c>
    </row>
    <row r="121" spans="1:4">
      <c r="A121" s="259">
        <v>41182</v>
      </c>
      <c r="B121" s="260">
        <v>21.26</v>
      </c>
      <c r="C121" s="259">
        <v>41182</v>
      </c>
      <c r="D121" s="260">
        <v>5.63</v>
      </c>
    </row>
    <row r="122" spans="1:4">
      <c r="A122" s="259">
        <v>41152</v>
      </c>
      <c r="B122" s="260">
        <v>23.83</v>
      </c>
      <c r="C122" s="259">
        <v>41152</v>
      </c>
      <c r="D122" s="260">
        <v>5.86</v>
      </c>
    </row>
    <row r="123" spans="1:4">
      <c r="A123" s="259">
        <v>41121</v>
      </c>
      <c r="B123" s="260">
        <v>23.76</v>
      </c>
      <c r="C123" s="259">
        <v>41121</v>
      </c>
      <c r="D123" s="260">
        <v>5.7</v>
      </c>
    </row>
    <row r="124" spans="1:4">
      <c r="A124" s="259">
        <v>41090</v>
      </c>
      <c r="B124" s="260">
        <v>21.81</v>
      </c>
      <c r="C124" s="259">
        <v>41090</v>
      </c>
      <c r="D124" s="260">
        <v>5.48</v>
      </c>
    </row>
    <row r="125" spans="1:4">
      <c r="A125" s="259">
        <v>41060</v>
      </c>
      <c r="B125" s="260">
        <v>20.86</v>
      </c>
      <c r="C125" s="259">
        <v>41060</v>
      </c>
      <c r="D125" s="260">
        <v>6.26</v>
      </c>
    </row>
    <row r="126" spans="1:4">
      <c r="A126" s="259">
        <v>41029</v>
      </c>
      <c r="B126" s="260">
        <v>20.63</v>
      </c>
      <c r="C126" s="259">
        <v>41029</v>
      </c>
      <c r="D126" s="260">
        <v>5.9</v>
      </c>
    </row>
    <row r="127" spans="1:4">
      <c r="A127" s="259">
        <v>40999</v>
      </c>
      <c r="B127" s="260">
        <v>20.86</v>
      </c>
      <c r="C127" s="259">
        <v>40999</v>
      </c>
      <c r="D127" s="260">
        <v>6.63</v>
      </c>
    </row>
    <row r="128" spans="1:4">
      <c r="A128" s="259">
        <v>40968</v>
      </c>
      <c r="B128" s="260">
        <v>21.41</v>
      </c>
      <c r="C128" s="259">
        <v>40968</v>
      </c>
      <c r="D128" s="260">
        <v>7.45</v>
      </c>
    </row>
    <row r="129" spans="1:4">
      <c r="A129" s="259">
        <v>40939</v>
      </c>
      <c r="B129" s="260">
        <v>19.37</v>
      </c>
      <c r="C129" s="259">
        <v>40939</v>
      </c>
      <c r="D129" s="260">
        <v>6.68</v>
      </c>
    </row>
    <row r="130" spans="1:4">
      <c r="A130" s="259">
        <v>40908</v>
      </c>
      <c r="B130" s="260">
        <v>16.3</v>
      </c>
      <c r="C130" s="259">
        <v>40908</v>
      </c>
      <c r="D130" s="260">
        <v>5.81</v>
      </c>
    </row>
    <row r="131" spans="1:4">
      <c r="A131" s="259">
        <v>40877</v>
      </c>
      <c r="B131" s="260">
        <v>14.46</v>
      </c>
      <c r="C131" s="259">
        <v>40877</v>
      </c>
      <c r="D131" s="260">
        <v>5.71</v>
      </c>
    </row>
    <row r="132" spans="1:4">
      <c r="A132" s="259">
        <v>40847</v>
      </c>
      <c r="B132" s="260">
        <v>13.65</v>
      </c>
      <c r="C132" s="259">
        <v>40847</v>
      </c>
      <c r="D132" s="260">
        <v>6.55</v>
      </c>
    </row>
    <row r="133" spans="1:4">
      <c r="A133" s="259">
        <v>40816</v>
      </c>
      <c r="B133" s="260">
        <v>14.46</v>
      </c>
      <c r="C133" s="259">
        <v>40816</v>
      </c>
      <c r="D133" s="260">
        <v>5.87</v>
      </c>
    </row>
    <row r="134" spans="1:4">
      <c r="A134" s="259">
        <v>40786</v>
      </c>
      <c r="B134" s="260">
        <v>13.62</v>
      </c>
      <c r="C134" s="259">
        <v>40786</v>
      </c>
      <c r="D134" s="260">
        <v>4.88</v>
      </c>
    </row>
    <row r="135" spans="1:4">
      <c r="A135" s="259">
        <v>40755</v>
      </c>
      <c r="B135" s="260">
        <v>13.74</v>
      </c>
      <c r="C135" s="259">
        <v>40755</v>
      </c>
      <c r="D135" s="260">
        <v>4.95</v>
      </c>
    </row>
    <row r="136" spans="1:4">
      <c r="A136" s="259">
        <v>40724</v>
      </c>
      <c r="B136" s="260">
        <v>13.95</v>
      </c>
      <c r="C136" s="259">
        <v>40724</v>
      </c>
      <c r="D136" s="260">
        <v>5.63</v>
      </c>
    </row>
    <row r="137" spans="1:4">
      <c r="A137" s="259">
        <v>40694</v>
      </c>
      <c r="B137" s="260">
        <v>11.99</v>
      </c>
      <c r="C137" s="259">
        <v>40694</v>
      </c>
      <c r="D137" s="260">
        <v>5.83</v>
      </c>
    </row>
    <row r="138" spans="1:4">
      <c r="A138" s="259">
        <v>40663</v>
      </c>
      <c r="B138" s="260">
        <v>12.42</v>
      </c>
      <c r="C138" s="259">
        <v>40663</v>
      </c>
      <c r="D138" s="260">
        <v>6.03</v>
      </c>
    </row>
    <row r="139" spans="1:4">
      <c r="A139" s="259">
        <v>40633</v>
      </c>
      <c r="B139" s="260">
        <v>12.5</v>
      </c>
      <c r="C139" s="259">
        <v>40633</v>
      </c>
      <c r="D139" s="260">
        <v>5.52</v>
      </c>
    </row>
    <row r="140" spans="1:4">
      <c r="A140" s="259">
        <v>40602</v>
      </c>
      <c r="B140" s="260">
        <v>12.45</v>
      </c>
      <c r="C140" s="259">
        <v>40602</v>
      </c>
      <c r="D140" s="260">
        <v>5.55</v>
      </c>
    </row>
    <row r="141" spans="1:4">
      <c r="A141" s="259">
        <v>40574</v>
      </c>
      <c r="B141" s="260">
        <v>12.61</v>
      </c>
      <c r="C141" s="259">
        <v>40574</v>
      </c>
      <c r="D141" s="260">
        <v>4.78</v>
      </c>
    </row>
    <row r="142" spans="1:4">
      <c r="A142" s="259">
        <v>40543</v>
      </c>
      <c r="B142" s="260">
        <v>12.12</v>
      </c>
      <c r="C142" s="259">
        <v>40543</v>
      </c>
      <c r="D142" s="260">
        <v>4.82</v>
      </c>
    </row>
    <row r="143" spans="1:4">
      <c r="A143" s="259">
        <v>40512</v>
      </c>
      <c r="B143" s="260">
        <v>11.52</v>
      </c>
      <c r="C143" s="259">
        <v>40512</v>
      </c>
      <c r="D143" s="260">
        <v>5.33</v>
      </c>
    </row>
    <row r="144" spans="1:4">
      <c r="A144" s="259">
        <v>40482</v>
      </c>
      <c r="B144" s="260">
        <v>11.11</v>
      </c>
      <c r="C144" s="259">
        <v>40482</v>
      </c>
      <c r="D144" s="260">
        <v>7.07</v>
      </c>
    </row>
    <row r="145" spans="1:4">
      <c r="A145" s="259">
        <v>40451</v>
      </c>
      <c r="B145" s="260">
        <v>10.75</v>
      </c>
      <c r="C145" s="259">
        <v>40451</v>
      </c>
      <c r="D145" s="260">
        <v>4.37</v>
      </c>
    </row>
    <row r="146" spans="1:4">
      <c r="A146" s="259">
        <v>40421</v>
      </c>
      <c r="B146" s="260">
        <v>10.130000000000001</v>
      </c>
      <c r="C146" s="259">
        <v>40421</v>
      </c>
      <c r="D146" s="260">
        <v>4.08</v>
      </c>
    </row>
    <row r="147" spans="1:4">
      <c r="A147" s="259">
        <v>40390</v>
      </c>
      <c r="B147" s="260">
        <v>8.68</v>
      </c>
      <c r="C147" s="259">
        <v>40390</v>
      </c>
      <c r="D147" s="260">
        <v>3.9</v>
      </c>
    </row>
    <row r="148" spans="1:4">
      <c r="A148" s="259">
        <v>40359</v>
      </c>
      <c r="B148" s="260">
        <v>9.19</v>
      </c>
      <c r="C148" s="259">
        <v>40359</v>
      </c>
      <c r="D148" s="260">
        <v>3.99</v>
      </c>
    </row>
    <row r="149" spans="1:4">
      <c r="A149" s="259">
        <v>40329</v>
      </c>
      <c r="B149" s="260">
        <v>8.98</v>
      </c>
    </row>
    <row r="150" spans="1:4">
      <c r="A150" s="259">
        <v>40298</v>
      </c>
      <c r="B150" s="260">
        <v>9.17</v>
      </c>
    </row>
    <row r="151" spans="1:4">
      <c r="A151" s="259">
        <v>40268</v>
      </c>
      <c r="B151" s="260">
        <v>9.32</v>
      </c>
    </row>
    <row r="152" spans="1:4">
      <c r="A152" s="259">
        <v>40237</v>
      </c>
      <c r="B152" s="260">
        <v>8.39</v>
      </c>
    </row>
    <row r="153" spans="1:4">
      <c r="A153" s="259">
        <v>40209</v>
      </c>
      <c r="B153" s="260">
        <v>7.31</v>
      </c>
    </row>
    <row r="154" spans="1:4">
      <c r="A154" s="259">
        <v>40178</v>
      </c>
      <c r="B154" s="260">
        <v>6.86</v>
      </c>
    </row>
    <row r="155" spans="1:4">
      <c r="A155" s="259">
        <v>40147</v>
      </c>
      <c r="B155" s="260">
        <v>7.53</v>
      </c>
    </row>
    <row r="156" spans="1:4">
      <c r="A156" s="259">
        <v>40117</v>
      </c>
      <c r="B156" s="260">
        <v>7.14</v>
      </c>
    </row>
    <row r="157" spans="1:4">
      <c r="A157" s="259">
        <v>40086</v>
      </c>
      <c r="B157" s="260">
        <v>6.73</v>
      </c>
    </row>
    <row r="158" spans="1:4">
      <c r="A158" s="259">
        <v>40056</v>
      </c>
      <c r="B158" s="260">
        <v>6.62</v>
      </c>
    </row>
    <row r="159" spans="1:4">
      <c r="A159" s="259">
        <v>40025</v>
      </c>
      <c r="B159" s="260">
        <v>6.01</v>
      </c>
    </row>
    <row r="160" spans="1:4">
      <c r="A160" s="259">
        <v>39994</v>
      </c>
      <c r="B160" s="260">
        <v>5.84</v>
      </c>
    </row>
    <row r="161" spans="1:2">
      <c r="A161" s="259">
        <v>39964</v>
      </c>
      <c r="B161" s="260">
        <v>5.09</v>
      </c>
    </row>
    <row r="162" spans="1:2">
      <c r="A162" s="259">
        <v>39933</v>
      </c>
      <c r="B162" s="260">
        <v>4.8499999999999996</v>
      </c>
    </row>
    <row r="163" spans="1:2">
      <c r="A163" s="259">
        <v>39903</v>
      </c>
      <c r="B163" s="260">
        <v>4.49</v>
      </c>
    </row>
    <row r="164" spans="1:2">
      <c r="A164" s="259">
        <v>39872</v>
      </c>
      <c r="B164" s="260">
        <v>3.75</v>
      </c>
    </row>
    <row r="165" spans="1:2">
      <c r="A165" s="259">
        <v>39844</v>
      </c>
      <c r="B165" s="260">
        <v>3.19</v>
      </c>
    </row>
    <row r="166" spans="1:2">
      <c r="A166" s="259">
        <v>39813</v>
      </c>
      <c r="B166" s="260">
        <v>3.22</v>
      </c>
    </row>
    <row r="167" spans="1:2">
      <c r="A167" s="259">
        <v>39782</v>
      </c>
      <c r="B167" s="260">
        <v>3.05</v>
      </c>
    </row>
    <row r="168" spans="1:2">
      <c r="A168" s="259">
        <v>39752</v>
      </c>
      <c r="B168" s="260">
        <v>3.31</v>
      </c>
    </row>
    <row r="169" spans="1:2">
      <c r="A169" s="259">
        <v>39721</v>
      </c>
      <c r="B169" s="260">
        <v>3.84</v>
      </c>
    </row>
    <row r="170" spans="1:2">
      <c r="A170" s="259">
        <v>39691</v>
      </c>
      <c r="B170" s="260">
        <v>4.0599999999999996</v>
      </c>
    </row>
    <row r="171" spans="1:2">
      <c r="A171" s="259">
        <v>39660</v>
      </c>
      <c r="B171" s="260">
        <v>6.05</v>
      </c>
    </row>
    <row r="172" spans="1:2">
      <c r="A172" s="259">
        <v>39629</v>
      </c>
      <c r="B172" s="260">
        <v>5.68</v>
      </c>
    </row>
    <row r="173" spans="1:2">
      <c r="A173" s="259">
        <v>39599</v>
      </c>
      <c r="B173" s="260">
        <v>5.98</v>
      </c>
    </row>
    <row r="174" spans="1:2">
      <c r="A174" s="259">
        <v>39568</v>
      </c>
      <c r="B174" s="260">
        <v>6.74</v>
      </c>
    </row>
    <row r="175" spans="1:2">
      <c r="A175" s="259">
        <v>39538</v>
      </c>
      <c r="B175" s="260">
        <v>6.21</v>
      </c>
    </row>
    <row r="176" spans="1:2">
      <c r="A176" s="259">
        <v>39507</v>
      </c>
      <c r="B176" s="260">
        <v>5.12</v>
      </c>
    </row>
    <row r="177" spans="1:2">
      <c r="A177" s="259">
        <v>39478</v>
      </c>
      <c r="B177" s="260">
        <v>4.46</v>
      </c>
    </row>
    <row r="178" spans="1:2">
      <c r="A178" s="259">
        <v>39447</v>
      </c>
      <c r="B178" s="260">
        <v>4.83</v>
      </c>
    </row>
    <row r="179" spans="1:2">
      <c r="A179" s="259">
        <v>39416</v>
      </c>
      <c r="B179" s="260">
        <v>7.07</v>
      </c>
    </row>
    <row r="180" spans="1:2">
      <c r="A180" s="259">
        <v>39386</v>
      </c>
      <c r="B180" s="260">
        <v>6.51</v>
      </c>
    </row>
    <row r="181" spans="1:2">
      <c r="A181" s="259">
        <v>39355</v>
      </c>
      <c r="B181" s="260">
        <v>6.78</v>
      </c>
    </row>
    <row r="182" spans="1:2">
      <c r="A182" s="259">
        <v>39325</v>
      </c>
      <c r="B182" s="260">
        <v>5.48</v>
      </c>
    </row>
    <row r="183" spans="1:2">
      <c r="A183" s="259">
        <v>39294</v>
      </c>
      <c r="B183" s="260">
        <v>4.95</v>
      </c>
    </row>
    <row r="184" spans="1:2">
      <c r="A184" s="259">
        <v>39263</v>
      </c>
      <c r="B184" s="260">
        <v>4.71</v>
      </c>
    </row>
    <row r="185" spans="1:2">
      <c r="A185" s="259">
        <v>39233</v>
      </c>
      <c r="B185" s="260">
        <v>4.3600000000000003</v>
      </c>
    </row>
    <row r="186" spans="1:2">
      <c r="A186" s="259">
        <v>39202</v>
      </c>
      <c r="B186" s="260">
        <v>4.33</v>
      </c>
    </row>
    <row r="187" spans="1:2">
      <c r="A187" s="259">
        <v>39172</v>
      </c>
      <c r="B187" s="260">
        <v>3.56</v>
      </c>
    </row>
    <row r="188" spans="1:2">
      <c r="A188" s="259">
        <v>39141</v>
      </c>
      <c r="B188" s="260">
        <v>3.32</v>
      </c>
    </row>
    <row r="189" spans="1:2">
      <c r="A189" s="259">
        <v>39113</v>
      </c>
      <c r="B189" s="260">
        <v>3.02</v>
      </c>
    </row>
    <row r="190" spans="1:2">
      <c r="A190" s="259">
        <v>39082</v>
      </c>
      <c r="B190" s="260">
        <v>3.06</v>
      </c>
    </row>
    <row r="191" spans="1:2">
      <c r="A191" s="259">
        <v>39051</v>
      </c>
      <c r="B191" s="260">
        <v>3.03</v>
      </c>
    </row>
    <row r="192" spans="1:2">
      <c r="A192" s="259">
        <v>39021</v>
      </c>
      <c r="B192" s="260">
        <v>3.27</v>
      </c>
    </row>
    <row r="193" spans="1:2">
      <c r="A193" s="259">
        <v>38990</v>
      </c>
      <c r="B193" s="260">
        <v>2.9</v>
      </c>
    </row>
    <row r="194" spans="1:2">
      <c r="A194" s="259">
        <v>38960</v>
      </c>
      <c r="B194" s="260">
        <v>2.75</v>
      </c>
    </row>
    <row r="195" spans="1:2">
      <c r="A195" s="259">
        <v>38929</v>
      </c>
      <c r="B195" s="260">
        <v>2.42</v>
      </c>
    </row>
    <row r="196" spans="1:2">
      <c r="A196" s="259">
        <v>38898</v>
      </c>
      <c r="B196" s="260">
        <v>2.4300000000000002</v>
      </c>
    </row>
    <row r="197" spans="1:2">
      <c r="A197" s="259">
        <v>38868</v>
      </c>
      <c r="B197" s="260">
        <v>2.0499999999999998</v>
      </c>
    </row>
    <row r="198" spans="1:2">
      <c r="A198" s="259">
        <v>38837</v>
      </c>
      <c r="B198" s="260">
        <v>2.13</v>
      </c>
    </row>
    <row r="199" spans="1:2">
      <c r="A199" s="259">
        <v>38807</v>
      </c>
      <c r="B199" s="260">
        <v>2.5099999999999998</v>
      </c>
    </row>
    <row r="200" spans="1:2">
      <c r="A200" s="259">
        <v>38776</v>
      </c>
      <c r="B200" s="260">
        <v>2.2400000000000002</v>
      </c>
    </row>
    <row r="201" spans="1:2">
      <c r="A201" s="259">
        <v>38748</v>
      </c>
      <c r="B201" s="260">
        <v>2.4500000000000002</v>
      </c>
    </row>
    <row r="202" spans="1:2">
      <c r="A202" s="259">
        <v>38717</v>
      </c>
      <c r="B202" s="260">
        <v>2.7</v>
      </c>
    </row>
    <row r="203" spans="1:2">
      <c r="A203" s="259">
        <v>38686</v>
      </c>
      <c r="B203" s="260">
        <v>2.57</v>
      </c>
    </row>
    <row r="204" spans="1:2">
      <c r="A204" s="259">
        <v>38656</v>
      </c>
      <c r="B204" s="260">
        <v>2.42</v>
      </c>
    </row>
    <row r="205" spans="1:2">
      <c r="A205" s="259">
        <v>38625</v>
      </c>
      <c r="B205" s="260">
        <v>2.06</v>
      </c>
    </row>
    <row r="206" spans="1:2">
      <c r="A206" s="259">
        <v>38595</v>
      </c>
      <c r="B206" s="260">
        <v>1.91</v>
      </c>
    </row>
    <row r="207" spans="1:2">
      <c r="A207" s="259">
        <v>38564</v>
      </c>
      <c r="B207" s="260">
        <v>1.67</v>
      </c>
    </row>
    <row r="208" spans="1:2">
      <c r="A208" s="259">
        <v>38533</v>
      </c>
      <c r="B208" s="260">
        <v>1.52</v>
      </c>
    </row>
    <row r="209" spans="1:2">
      <c r="A209" s="259">
        <v>38503</v>
      </c>
      <c r="B209" s="260">
        <v>1.31</v>
      </c>
    </row>
    <row r="210" spans="1:2">
      <c r="A210" s="259">
        <v>38472</v>
      </c>
      <c r="B210" s="260">
        <v>1.42</v>
      </c>
    </row>
    <row r="211" spans="1:2">
      <c r="A211" s="259">
        <v>38442</v>
      </c>
      <c r="B211" s="260">
        <v>1.29</v>
      </c>
    </row>
    <row r="212" spans="1:2">
      <c r="A212" s="259">
        <v>38411</v>
      </c>
      <c r="B212" s="260">
        <v>1.49</v>
      </c>
    </row>
    <row r="213" spans="1:2">
      <c r="A213" s="259">
        <v>38383</v>
      </c>
      <c r="B213" s="260">
        <v>1.6</v>
      </c>
    </row>
    <row r="214" spans="1:2">
      <c r="A214" s="259">
        <v>38352</v>
      </c>
      <c r="B214" s="260">
        <v>1.37</v>
      </c>
    </row>
    <row r="215" spans="1:2">
      <c r="A215" s="259">
        <v>38321</v>
      </c>
      <c r="B215" s="260">
        <v>1.1499999999999999</v>
      </c>
    </row>
    <row r="216" spans="1:2">
      <c r="A216" s="259">
        <v>38291</v>
      </c>
      <c r="B216" s="260">
        <v>1.2</v>
      </c>
    </row>
    <row r="217" spans="1:2">
      <c r="A217" s="259">
        <v>38260</v>
      </c>
      <c r="B217" s="260">
        <v>0.94</v>
      </c>
    </row>
    <row r="218" spans="1:2">
      <c r="A218" s="259">
        <v>38230</v>
      </c>
      <c r="B218" s="260">
        <v>0.69</v>
      </c>
    </row>
    <row r="219" spans="1:2">
      <c r="A219" s="259">
        <v>38199</v>
      </c>
      <c r="B219" s="260">
        <v>0.62</v>
      </c>
    </row>
    <row r="220" spans="1:2">
      <c r="A220" s="259">
        <v>38168</v>
      </c>
      <c r="B220" s="260">
        <v>0.57999999999999996</v>
      </c>
    </row>
    <row r="221" spans="1:2">
      <c r="A221" s="259">
        <v>38138</v>
      </c>
      <c r="B221" s="260">
        <v>0.57999999999999996</v>
      </c>
    </row>
    <row r="222" spans="1:2">
      <c r="A222" s="259">
        <v>38107</v>
      </c>
      <c r="B222" s="260">
        <v>0.5</v>
      </c>
    </row>
    <row r="223" spans="1:2">
      <c r="A223" s="259">
        <v>38077</v>
      </c>
      <c r="B223" s="260">
        <v>0.46</v>
      </c>
    </row>
    <row r="224" spans="1:2">
      <c r="A224" s="259">
        <v>38046</v>
      </c>
      <c r="B224" s="260">
        <v>0.48</v>
      </c>
    </row>
    <row r="225" spans="1:2">
      <c r="A225" s="259">
        <v>38017</v>
      </c>
      <c r="B225" s="260">
        <v>0.43</v>
      </c>
    </row>
    <row r="226" spans="1:2">
      <c r="A226" s="259">
        <v>37986</v>
      </c>
      <c r="B226" s="260">
        <v>0.4</v>
      </c>
    </row>
    <row r="227" spans="1:2">
      <c r="A227" s="259">
        <v>37955</v>
      </c>
      <c r="B227" s="260">
        <v>0.38</v>
      </c>
    </row>
    <row r="228" spans="1:2">
      <c r="A228" s="259">
        <v>37925</v>
      </c>
      <c r="B228" s="260">
        <v>0.37</v>
      </c>
    </row>
    <row r="229" spans="1:2">
      <c r="A229" s="259">
        <v>37894</v>
      </c>
      <c r="B229" s="260">
        <v>0.41</v>
      </c>
    </row>
    <row r="230" spans="1:2">
      <c r="A230" s="259">
        <v>37864</v>
      </c>
      <c r="B230" s="260">
        <v>0.37</v>
      </c>
    </row>
    <row r="231" spans="1:2">
      <c r="A231" s="259">
        <v>37833</v>
      </c>
      <c r="B231" s="260">
        <v>0.4</v>
      </c>
    </row>
    <row r="232" spans="1:2">
      <c r="A232" s="259">
        <v>37802</v>
      </c>
      <c r="B232" s="260">
        <v>0.38</v>
      </c>
    </row>
    <row r="233" spans="1:2">
      <c r="A233" s="259">
        <v>37772</v>
      </c>
      <c r="B233" s="260">
        <v>0.34</v>
      </c>
    </row>
    <row r="234" spans="1:2">
      <c r="A234" s="259">
        <v>37741</v>
      </c>
      <c r="B234" s="260">
        <v>0.32</v>
      </c>
    </row>
    <row r="235" spans="1:2">
      <c r="A235" s="259">
        <v>37711</v>
      </c>
      <c r="B235" s="260">
        <v>0.25</v>
      </c>
    </row>
    <row r="236" spans="1:2">
      <c r="A236" s="259">
        <v>37680</v>
      </c>
      <c r="B236" s="260">
        <v>0.25</v>
      </c>
    </row>
    <row r="237" spans="1:2">
      <c r="A237" s="259">
        <v>37652</v>
      </c>
      <c r="B237" s="260">
        <v>0.27</v>
      </c>
    </row>
    <row r="238" spans="1:2">
      <c r="A238" s="259">
        <v>37621</v>
      </c>
      <c r="B238" s="260">
        <v>0.26</v>
      </c>
    </row>
    <row r="239" spans="1:2">
      <c r="A239" s="259">
        <v>37590</v>
      </c>
      <c r="B239" s="260">
        <v>0.26</v>
      </c>
    </row>
    <row r="240" spans="1:2">
      <c r="A240" s="259">
        <v>37560</v>
      </c>
      <c r="B240" s="260">
        <v>0.28000000000000003</v>
      </c>
    </row>
    <row r="241" spans="1:2">
      <c r="A241" s="259">
        <v>37529</v>
      </c>
      <c r="B241" s="260">
        <v>0.28999999999999998</v>
      </c>
    </row>
    <row r="242" spans="1:2">
      <c r="A242" s="259">
        <v>37499</v>
      </c>
      <c r="B242" s="260">
        <v>0.26</v>
      </c>
    </row>
    <row r="243" spans="1:2">
      <c r="A243" s="259">
        <v>37468</v>
      </c>
      <c r="B243" s="260">
        <v>0.26</v>
      </c>
    </row>
    <row r="244" spans="1:2">
      <c r="A244" s="259">
        <v>37437</v>
      </c>
      <c r="B244" s="260">
        <v>0.27</v>
      </c>
    </row>
    <row r="245" spans="1:2">
      <c r="A245" s="259">
        <v>37407</v>
      </c>
      <c r="B245" s="260">
        <v>0.32</v>
      </c>
    </row>
    <row r="246" spans="1:2">
      <c r="A246" s="259">
        <v>37376</v>
      </c>
      <c r="B246" s="260">
        <v>0.42</v>
      </c>
    </row>
    <row r="247" spans="1:2">
      <c r="A247" s="259">
        <v>37346</v>
      </c>
      <c r="B247" s="260">
        <v>0.43</v>
      </c>
    </row>
    <row r="248" spans="1:2">
      <c r="A248" s="259">
        <v>37315</v>
      </c>
      <c r="B248" s="260">
        <v>0.42</v>
      </c>
    </row>
    <row r="249" spans="1:2">
      <c r="A249" s="259">
        <v>37287</v>
      </c>
      <c r="B249" s="260">
        <v>0.39</v>
      </c>
    </row>
    <row r="250" spans="1:2">
      <c r="A250" s="259">
        <v>37256</v>
      </c>
      <c r="B250" s="260">
        <v>0.44</v>
      </c>
    </row>
    <row r="251" spans="1:2">
      <c r="A251" s="259">
        <v>37225</v>
      </c>
      <c r="B251" s="260">
        <v>0.39</v>
      </c>
    </row>
    <row r="252" spans="1:2">
      <c r="A252" s="259">
        <v>37195</v>
      </c>
      <c r="B252" s="260">
        <v>0.38</v>
      </c>
    </row>
    <row r="253" spans="1:2">
      <c r="A253" s="259">
        <v>37164</v>
      </c>
      <c r="B253" s="260">
        <v>0.31</v>
      </c>
    </row>
    <row r="254" spans="1:2">
      <c r="A254" s="259">
        <v>37134</v>
      </c>
      <c r="B254" s="260">
        <v>0.28000000000000003</v>
      </c>
    </row>
    <row r="255" spans="1:2">
      <c r="A255" s="259">
        <v>37103</v>
      </c>
      <c r="B255" s="260">
        <v>0.33</v>
      </c>
    </row>
    <row r="256" spans="1:2">
      <c r="A256" s="259">
        <v>37072</v>
      </c>
      <c r="B256" s="260">
        <v>0.34</v>
      </c>
    </row>
    <row r="257" spans="1:2">
      <c r="A257" s="259">
        <v>37042</v>
      </c>
      <c r="B257" s="260">
        <v>0.42</v>
      </c>
    </row>
    <row r="258" spans="1:2">
      <c r="A258" s="259">
        <v>37011</v>
      </c>
      <c r="B258" s="260">
        <v>0.36</v>
      </c>
    </row>
    <row r="259" spans="1:2">
      <c r="A259" s="259">
        <v>36981</v>
      </c>
      <c r="B259" s="260">
        <v>0.46</v>
      </c>
    </row>
    <row r="260" spans="1:2">
      <c r="A260" s="259">
        <v>36950</v>
      </c>
      <c r="B260" s="260">
        <v>0.39</v>
      </c>
    </row>
    <row r="261" spans="1:2">
      <c r="A261" s="259">
        <v>36922</v>
      </c>
      <c r="B261" s="260">
        <v>0.33</v>
      </c>
    </row>
    <row r="262" spans="1:2">
      <c r="A262" s="259">
        <v>36891</v>
      </c>
      <c r="B262" s="260">
        <v>0.39</v>
      </c>
    </row>
    <row r="263" spans="1:2">
      <c r="A263" s="259">
        <v>36860</v>
      </c>
      <c r="B263" s="260">
        <v>0.27</v>
      </c>
    </row>
    <row r="264" spans="1:2">
      <c r="A264" s="259">
        <v>36830</v>
      </c>
      <c r="B264" s="260">
        <v>0.28999999999999998</v>
      </c>
    </row>
    <row r="265" spans="1:2">
      <c r="A265" s="259">
        <v>36799</v>
      </c>
      <c r="B265" s="260">
        <v>0.35</v>
      </c>
    </row>
    <row r="266" spans="1:2">
      <c r="A266" s="259">
        <v>36769</v>
      </c>
      <c r="B266" s="260">
        <v>0.46</v>
      </c>
    </row>
    <row r="267" spans="1:2">
      <c r="A267" s="259">
        <v>36738</v>
      </c>
      <c r="B267" s="260">
        <v>1.0900000000000001</v>
      </c>
    </row>
    <row r="268" spans="1:2">
      <c r="A268" s="259">
        <v>36707</v>
      </c>
      <c r="B268" s="260">
        <v>0.91</v>
      </c>
    </row>
    <row r="269" spans="1:2">
      <c r="A269" s="259">
        <v>36677</v>
      </c>
      <c r="B269" s="260">
        <v>0.94</v>
      </c>
    </row>
    <row r="270" spans="1:2">
      <c r="A270" s="259">
        <v>36646</v>
      </c>
      <c r="B270" s="260">
        <v>0.75</v>
      </c>
    </row>
    <row r="271" spans="1:2">
      <c r="A271" s="259">
        <v>36616</v>
      </c>
      <c r="B271" s="260">
        <v>1.1100000000000001</v>
      </c>
    </row>
    <row r="272" spans="1:2">
      <c r="A272" s="259">
        <v>36585</v>
      </c>
      <c r="B272" s="260">
        <v>1.21</v>
      </c>
    </row>
    <row r="273" spans="1:2">
      <c r="A273" s="259">
        <v>36556</v>
      </c>
      <c r="B273" s="260">
        <v>1.02</v>
      </c>
    </row>
    <row r="274" spans="1:2">
      <c r="A274" s="259">
        <v>36525</v>
      </c>
      <c r="B274" s="260">
        <v>0.93</v>
      </c>
    </row>
    <row r="275" spans="1:2">
      <c r="A275" s="259">
        <v>36494</v>
      </c>
      <c r="B275" s="260">
        <v>0.92</v>
      </c>
    </row>
    <row r="276" spans="1:2">
      <c r="A276" s="259">
        <v>36464</v>
      </c>
      <c r="B276" s="260">
        <v>0.87</v>
      </c>
    </row>
    <row r="277" spans="1:2">
      <c r="A277" s="259">
        <v>36433</v>
      </c>
      <c r="B277" s="260">
        <v>0.72</v>
      </c>
    </row>
    <row r="278" spans="1:2">
      <c r="A278" s="259">
        <v>36403</v>
      </c>
      <c r="B278" s="260">
        <v>0.56999999999999995</v>
      </c>
    </row>
    <row r="279" spans="1:2">
      <c r="A279" s="259">
        <v>36372</v>
      </c>
      <c r="B279" s="260">
        <v>0.57999999999999996</v>
      </c>
    </row>
    <row r="280" spans="1:2">
      <c r="A280" s="259">
        <v>36341</v>
      </c>
      <c r="B280" s="260">
        <v>0.5</v>
      </c>
    </row>
    <row r="281" spans="1:2">
      <c r="A281" s="259">
        <v>36311</v>
      </c>
      <c r="B281" s="260">
        <v>0.41</v>
      </c>
    </row>
    <row r="282" spans="1:2">
      <c r="A282" s="259">
        <v>36280</v>
      </c>
      <c r="B282" s="260">
        <v>0.39</v>
      </c>
    </row>
    <row r="283" spans="1:2">
      <c r="A283" s="259">
        <v>36250</v>
      </c>
      <c r="B283" s="260">
        <v>0.41</v>
      </c>
    </row>
    <row r="284" spans="1:2">
      <c r="A284" s="259">
        <v>36219</v>
      </c>
      <c r="B284" s="260">
        <v>0.32</v>
      </c>
    </row>
    <row r="285" spans="1:2">
      <c r="A285" s="259">
        <v>36191</v>
      </c>
      <c r="B285" s="260">
        <v>0.31</v>
      </c>
    </row>
    <row r="286" spans="1:2">
      <c r="A286" s="259">
        <v>36160</v>
      </c>
      <c r="B286" s="260">
        <v>0.37</v>
      </c>
    </row>
    <row r="287" spans="1:2">
      <c r="A287" s="259">
        <v>36129</v>
      </c>
      <c r="B287" s="260">
        <v>0.37</v>
      </c>
    </row>
    <row r="288" spans="1:2">
      <c r="A288" s="259">
        <v>36099</v>
      </c>
      <c r="B288" s="260">
        <v>0.28999999999999998</v>
      </c>
    </row>
    <row r="289" spans="1:2">
      <c r="A289" s="259">
        <v>36068</v>
      </c>
      <c r="B289" s="260">
        <v>0.33</v>
      </c>
    </row>
    <row r="290" spans="1:2">
      <c r="A290" s="259">
        <v>36038</v>
      </c>
      <c r="B290" s="260">
        <v>0.34</v>
      </c>
    </row>
    <row r="291" spans="1:2">
      <c r="A291" s="259">
        <v>36007</v>
      </c>
      <c r="B291" s="260">
        <v>0.28000000000000003</v>
      </c>
    </row>
    <row r="292" spans="1:2">
      <c r="A292" s="259">
        <v>35976</v>
      </c>
      <c r="B292" s="260">
        <v>0.31</v>
      </c>
    </row>
    <row r="293" spans="1:2">
      <c r="A293" s="259">
        <v>35946</v>
      </c>
      <c r="B293" s="260">
        <v>0.26</v>
      </c>
    </row>
    <row r="294" spans="1:2">
      <c r="A294" s="259">
        <v>35915</v>
      </c>
      <c r="B294" s="260">
        <v>0.24</v>
      </c>
    </row>
    <row r="295" spans="1:2">
      <c r="A295" s="259">
        <v>35885</v>
      </c>
      <c r="B295" s="260">
        <v>0.24</v>
      </c>
    </row>
    <row r="296" spans="1:2">
      <c r="A296" s="259">
        <v>35854</v>
      </c>
      <c r="B296" s="260">
        <v>0.25</v>
      </c>
    </row>
    <row r="297" spans="1:2">
      <c r="A297" s="259">
        <v>35826</v>
      </c>
      <c r="B297" s="260">
        <v>0.21</v>
      </c>
    </row>
    <row r="298" spans="1:2">
      <c r="A298" s="259">
        <v>35795</v>
      </c>
      <c r="B298" s="260">
        <v>0.16</v>
      </c>
    </row>
  </sheetData>
  <phoneticPr fontId="2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</row>
    <row r="2" spans="1:12">
      <c r="A2" s="10" t="s">
        <v>32</v>
      </c>
      <c r="B2" s="10">
        <v>28.45</v>
      </c>
      <c r="C2" s="10">
        <v>30.97</v>
      </c>
      <c r="D2" s="10">
        <v>27.27</v>
      </c>
      <c r="E2" s="10">
        <v>30.61</v>
      </c>
      <c r="F2" s="10">
        <v>0.43</v>
      </c>
      <c r="G2" s="10">
        <v>31247</v>
      </c>
      <c r="H2" s="10">
        <v>5808</v>
      </c>
      <c r="I2" s="10">
        <v>3408</v>
      </c>
      <c r="J2" s="10">
        <v>18.59</v>
      </c>
      <c r="K2" s="10">
        <v>10.91</v>
      </c>
      <c r="L2" s="10">
        <v>50.3</v>
      </c>
    </row>
    <row r="3" spans="1:12">
      <c r="A3" s="10" t="s">
        <v>79</v>
      </c>
      <c r="B3" s="10">
        <v>31.43</v>
      </c>
      <c r="C3" s="10">
        <v>31.58</v>
      </c>
      <c r="D3" s="10">
        <v>30.11</v>
      </c>
      <c r="E3" s="10">
        <v>31.41</v>
      </c>
      <c r="F3" s="10">
        <v>0.43</v>
      </c>
      <c r="G3" s="10">
        <v>31495</v>
      </c>
      <c r="H3" s="10">
        <v>6165</v>
      </c>
      <c r="I3" s="10">
        <v>3591</v>
      </c>
      <c r="J3" s="10">
        <v>19.57</v>
      </c>
      <c r="K3" s="10">
        <v>11.4</v>
      </c>
      <c r="L3" s="10">
        <v>51.66</v>
      </c>
    </row>
    <row r="4" spans="1:12">
      <c r="A4" s="10" t="s">
        <v>181</v>
      </c>
      <c r="B4" s="10">
        <v>28.59</v>
      </c>
      <c r="C4" s="10">
        <v>29.18</v>
      </c>
      <c r="D4" s="10">
        <v>27.29</v>
      </c>
      <c r="E4" s="10">
        <v>28.52</v>
      </c>
      <c r="F4" s="10">
        <v>0.43</v>
      </c>
      <c r="G4" s="10">
        <v>31478</v>
      </c>
      <c r="H4" s="10">
        <v>6235</v>
      </c>
      <c r="I4" s="10">
        <v>3623</v>
      </c>
      <c r="J4" s="10">
        <v>19.809999999999999</v>
      </c>
      <c r="K4" s="10">
        <v>11.51</v>
      </c>
      <c r="L4" s="10">
        <v>87.31</v>
      </c>
    </row>
    <row r="5" spans="1:12">
      <c r="A5" s="10" t="s">
        <v>217</v>
      </c>
      <c r="B5" s="10">
        <v>28.93</v>
      </c>
      <c r="C5" s="10">
        <v>30.3</v>
      </c>
      <c r="D5" s="10">
        <v>28.51</v>
      </c>
      <c r="E5" s="10">
        <v>30.24</v>
      </c>
      <c r="F5" s="10">
        <v>0.44</v>
      </c>
      <c r="G5" s="10">
        <v>32503</v>
      </c>
      <c r="H5" s="10">
        <v>-6080</v>
      </c>
      <c r="I5" s="10">
        <v>-6678</v>
      </c>
      <c r="J5" s="10">
        <v>-18.71</v>
      </c>
      <c r="K5" s="10">
        <v>-20.55</v>
      </c>
      <c r="L5" s="10">
        <v>87.31</v>
      </c>
    </row>
    <row r="6" spans="1:12">
      <c r="A6" s="10" t="s">
        <v>162</v>
      </c>
      <c r="B6" s="10">
        <v>30.54</v>
      </c>
      <c r="C6" s="10">
        <v>31.97</v>
      </c>
      <c r="D6" s="10">
        <v>30.15</v>
      </c>
      <c r="E6" s="10">
        <v>31.23</v>
      </c>
      <c r="F6" s="10">
        <v>0.44</v>
      </c>
      <c r="G6" s="10">
        <v>31822</v>
      </c>
      <c r="H6" s="10">
        <v>6101</v>
      </c>
      <c r="I6" s="10">
        <v>3584</v>
      </c>
      <c r="J6" s="10">
        <v>19.170000000000002</v>
      </c>
      <c r="K6" s="10">
        <v>11.26</v>
      </c>
      <c r="L6" s="10">
        <v>262.12</v>
      </c>
    </row>
    <row r="7" spans="1:12">
      <c r="A7" s="10" t="s">
        <v>64</v>
      </c>
      <c r="B7" s="10">
        <v>34.1</v>
      </c>
      <c r="C7" s="10">
        <v>36</v>
      </c>
      <c r="D7" s="10">
        <v>33.78</v>
      </c>
      <c r="E7" s="10">
        <v>35.659999999999997</v>
      </c>
      <c r="F7" s="10">
        <v>0.44</v>
      </c>
      <c r="G7" s="10">
        <v>31575</v>
      </c>
      <c r="H7" s="10">
        <v>6817</v>
      </c>
      <c r="I7" s="10">
        <v>3902</v>
      </c>
      <c r="J7" s="10">
        <v>21.59</v>
      </c>
      <c r="K7" s="10">
        <v>12.36</v>
      </c>
      <c r="L7" s="10">
        <v>252.17</v>
      </c>
    </row>
    <row r="8" spans="1:12">
      <c r="A8" s="10" t="s">
        <v>226</v>
      </c>
      <c r="B8" s="10">
        <v>36.58</v>
      </c>
      <c r="C8" s="10">
        <v>38.58</v>
      </c>
      <c r="D8" s="10">
        <v>36.54</v>
      </c>
      <c r="E8" s="10">
        <v>37.700000000000003</v>
      </c>
      <c r="F8" s="10">
        <v>0.44</v>
      </c>
      <c r="G8" s="10">
        <v>31459</v>
      </c>
      <c r="H8" s="10">
        <v>6037</v>
      </c>
      <c r="I8" s="10">
        <v>3635</v>
      </c>
      <c r="J8" s="10">
        <v>19.190000000000001</v>
      </c>
      <c r="K8" s="10">
        <v>11.55</v>
      </c>
      <c r="L8" s="10">
        <v>233.33</v>
      </c>
    </row>
    <row r="9" spans="1:12">
      <c r="A9" s="10" t="s">
        <v>247</v>
      </c>
      <c r="B9" s="10">
        <v>34.229999999999997</v>
      </c>
      <c r="C9" s="10">
        <v>34.69</v>
      </c>
      <c r="D9" s="10">
        <v>33.1</v>
      </c>
      <c r="E9" s="10">
        <v>33.71</v>
      </c>
      <c r="F9" s="10">
        <v>0.45</v>
      </c>
      <c r="G9" s="10">
        <v>32578</v>
      </c>
      <c r="H9" s="10">
        <v>-5958</v>
      </c>
      <c r="I9" s="10">
        <v>-3857</v>
      </c>
      <c r="J9" s="10">
        <v>-18.29</v>
      </c>
      <c r="K9" s="10">
        <v>-11.84</v>
      </c>
      <c r="L9" s="10">
        <v>141.6</v>
      </c>
    </row>
    <row r="10" spans="1:12">
      <c r="A10" s="10" t="s">
        <v>19</v>
      </c>
      <c r="B10" s="10">
        <v>35.69</v>
      </c>
      <c r="C10" s="10">
        <v>36.869999999999997</v>
      </c>
      <c r="D10" s="10">
        <v>35.630000000000003</v>
      </c>
      <c r="E10" s="10">
        <v>36.69</v>
      </c>
      <c r="F10" s="10">
        <v>0.45</v>
      </c>
      <c r="G10" s="10">
        <v>31356</v>
      </c>
      <c r="H10" s="10">
        <v>5940</v>
      </c>
      <c r="I10" s="10">
        <v>3700</v>
      </c>
      <c r="J10" s="10">
        <v>18.940000000000001</v>
      </c>
      <c r="K10" s="10">
        <v>11.8</v>
      </c>
      <c r="L10" s="10">
        <v>141.6</v>
      </c>
    </row>
    <row r="11" spans="1:12">
      <c r="A11" s="10" t="s">
        <v>192</v>
      </c>
      <c r="B11" s="10">
        <v>34.99</v>
      </c>
      <c r="C11" s="10">
        <v>36.39</v>
      </c>
      <c r="D11" s="10">
        <v>34.1</v>
      </c>
      <c r="E11" s="10">
        <v>35.4</v>
      </c>
      <c r="F11" s="10">
        <v>0.45</v>
      </c>
      <c r="G11" s="10">
        <v>32075</v>
      </c>
      <c r="H11" s="10">
        <v>6113</v>
      </c>
      <c r="I11" s="10">
        <v>3822</v>
      </c>
      <c r="J11" s="10">
        <v>19.059999999999999</v>
      </c>
      <c r="K11" s="10">
        <v>11.92</v>
      </c>
      <c r="L11" s="10">
        <v>134.85</v>
      </c>
    </row>
    <row r="12" spans="1:12">
      <c r="A12" s="10" t="s">
        <v>160</v>
      </c>
      <c r="B12" s="10">
        <v>34.01</v>
      </c>
      <c r="C12" s="10">
        <v>35.01</v>
      </c>
      <c r="D12" s="10">
        <v>33.21</v>
      </c>
      <c r="E12" s="10">
        <v>33.82</v>
      </c>
      <c r="F12" s="10">
        <v>0.45</v>
      </c>
      <c r="G12" s="10">
        <v>32158</v>
      </c>
      <c r="H12" s="10">
        <v>6188</v>
      </c>
      <c r="I12" s="10">
        <v>3814</v>
      </c>
      <c r="J12" s="10">
        <v>19.239999999999998</v>
      </c>
      <c r="K12" s="10">
        <v>11.86</v>
      </c>
      <c r="L12" s="10">
        <v>131.62</v>
      </c>
    </row>
    <row r="13" spans="1:12">
      <c r="A13" s="10" t="s">
        <v>168</v>
      </c>
      <c r="B13" s="10">
        <v>35.18</v>
      </c>
      <c r="C13" s="10">
        <v>35.3001</v>
      </c>
      <c r="D13" s="10">
        <v>33.6</v>
      </c>
      <c r="E13" s="10">
        <v>35.159999999999997</v>
      </c>
      <c r="F13" s="10">
        <v>0.46</v>
      </c>
      <c r="G13" s="10">
        <v>33163</v>
      </c>
      <c r="H13" s="10">
        <v>12238</v>
      </c>
      <c r="I13" s="10">
        <v>6913</v>
      </c>
      <c r="J13" s="10">
        <v>36.9</v>
      </c>
      <c r="K13" s="10">
        <v>20.85</v>
      </c>
      <c r="L13" s="10">
        <v>125</v>
      </c>
    </row>
    <row r="14" spans="1:12">
      <c r="A14" s="10" t="s">
        <v>63</v>
      </c>
      <c r="B14" s="10">
        <v>31.8</v>
      </c>
      <c r="C14" s="10">
        <v>35.5</v>
      </c>
      <c r="D14" s="10">
        <v>31.76</v>
      </c>
      <c r="E14" s="10">
        <v>35.07</v>
      </c>
      <c r="F14" s="10">
        <v>0.46</v>
      </c>
      <c r="G14" s="10">
        <v>32476</v>
      </c>
      <c r="H14" s="10">
        <v>6278</v>
      </c>
      <c r="I14" s="10">
        <v>3652</v>
      </c>
      <c r="J14" s="10">
        <v>19.329999999999998</v>
      </c>
      <c r="K14" s="10">
        <v>11.25</v>
      </c>
      <c r="L14" s="10">
        <v>53.39</v>
      </c>
    </row>
    <row r="15" spans="1:12">
      <c r="A15" s="10" t="s">
        <v>14</v>
      </c>
      <c r="B15" s="10">
        <v>35.5</v>
      </c>
      <c r="C15" s="10">
        <v>35.75</v>
      </c>
      <c r="D15" s="10">
        <v>34.619999999999997</v>
      </c>
      <c r="E15" s="10">
        <v>35.36</v>
      </c>
      <c r="F15" s="10">
        <v>0.46</v>
      </c>
      <c r="G15" s="10">
        <v>32575</v>
      </c>
      <c r="H15" s="10">
        <v>5616</v>
      </c>
      <c r="I15" s="10">
        <v>3547</v>
      </c>
      <c r="J15" s="10">
        <v>17.239999999999998</v>
      </c>
      <c r="K15" s="10">
        <v>10.89</v>
      </c>
      <c r="L15" s="10">
        <v>53.22</v>
      </c>
    </row>
    <row r="16" spans="1:12">
      <c r="A16" s="10" t="s">
        <v>288</v>
      </c>
      <c r="B16" s="10">
        <v>34.93</v>
      </c>
      <c r="C16" s="10">
        <v>35.549999999999997</v>
      </c>
      <c r="D16" s="10">
        <v>34.36</v>
      </c>
      <c r="E16" s="10">
        <v>35.24</v>
      </c>
      <c r="F16" s="10">
        <v>0.46</v>
      </c>
      <c r="G16" s="10">
        <v>32957</v>
      </c>
      <c r="H16" s="10">
        <v>5402</v>
      </c>
      <c r="I16" s="10">
        <v>3002</v>
      </c>
      <c r="J16" s="10">
        <v>16.39</v>
      </c>
      <c r="K16" s="10">
        <v>9.11</v>
      </c>
      <c r="L16" s="10">
        <v>53.98</v>
      </c>
    </row>
    <row r="17" spans="1:12">
      <c r="A17" s="10" t="s">
        <v>133</v>
      </c>
      <c r="B17" s="10">
        <v>35.28</v>
      </c>
      <c r="C17" s="10">
        <v>35.369999999999997</v>
      </c>
      <c r="D17" s="10">
        <v>32.07</v>
      </c>
      <c r="E17" s="10">
        <v>33.590000000000003</v>
      </c>
      <c r="F17" s="10">
        <v>0.47</v>
      </c>
      <c r="G17" s="10">
        <v>34439</v>
      </c>
      <c r="H17" s="10">
        <v>-3430</v>
      </c>
      <c r="I17" s="10">
        <v>-3977</v>
      </c>
      <c r="J17" s="10">
        <v>-9.9600000000000009</v>
      </c>
      <c r="K17" s="10">
        <v>-11.55</v>
      </c>
      <c r="L17" s="10">
        <v>56.62</v>
      </c>
    </row>
    <row r="18" spans="1:12">
      <c r="A18" s="10" t="s">
        <v>36</v>
      </c>
      <c r="B18" s="10">
        <v>34.369999999999997</v>
      </c>
      <c r="C18" s="10">
        <v>34.65</v>
      </c>
      <c r="D18" s="10">
        <v>32.520000000000003</v>
      </c>
      <c r="E18" s="10">
        <v>32.65</v>
      </c>
      <c r="F18" s="10">
        <v>0.47</v>
      </c>
      <c r="G18" s="10">
        <v>32576</v>
      </c>
      <c r="H18" s="10">
        <v>5456</v>
      </c>
      <c r="I18" s="10">
        <v>3200</v>
      </c>
      <c r="J18" s="10">
        <v>16.75</v>
      </c>
      <c r="K18" s="10">
        <v>9.82</v>
      </c>
      <c r="L18" s="10">
        <v>155.46</v>
      </c>
    </row>
    <row r="19" spans="1:12">
      <c r="A19" s="10" t="s">
        <v>190</v>
      </c>
      <c r="B19" s="10">
        <v>34.53</v>
      </c>
      <c r="C19" s="10">
        <v>36.450000000000003</v>
      </c>
      <c r="D19" s="10">
        <v>34.24</v>
      </c>
      <c r="E19" s="10">
        <v>35.520000000000003</v>
      </c>
      <c r="F19" s="10">
        <v>0.47</v>
      </c>
      <c r="G19" s="10">
        <v>33015</v>
      </c>
      <c r="H19" s="10">
        <v>5712</v>
      </c>
      <c r="I19" s="10">
        <v>3044</v>
      </c>
      <c r="J19" s="10">
        <v>17.3</v>
      </c>
      <c r="K19" s="10">
        <v>9.2200000000000006</v>
      </c>
      <c r="L19" s="10">
        <v>169.09</v>
      </c>
    </row>
    <row r="20" spans="1:12">
      <c r="A20" s="10" t="s">
        <v>256</v>
      </c>
      <c r="B20" s="10">
        <v>32.6</v>
      </c>
      <c r="C20" s="10">
        <v>33.5</v>
      </c>
      <c r="D20" s="10">
        <v>31.85</v>
      </c>
      <c r="E20" s="10">
        <v>32.58</v>
      </c>
      <c r="F20" s="10">
        <v>0.47</v>
      </c>
      <c r="G20" s="10">
        <v>39091</v>
      </c>
      <c r="H20" s="10">
        <v>5923</v>
      </c>
      <c r="I20" s="10">
        <v>2994</v>
      </c>
      <c r="J20" s="10">
        <v>15.15</v>
      </c>
      <c r="K20" s="10">
        <v>7.66</v>
      </c>
      <c r="L20" s="10">
        <v>185.15</v>
      </c>
    </row>
    <row r="21" spans="1:12">
      <c r="A21" s="10" t="s">
        <v>203</v>
      </c>
      <c r="B21" s="10">
        <v>33.78</v>
      </c>
      <c r="C21" s="10">
        <v>34.99</v>
      </c>
      <c r="D21" s="10">
        <v>33.01</v>
      </c>
      <c r="E21" s="10">
        <v>34.409999999999997</v>
      </c>
      <c r="F21" s="10">
        <v>0.48</v>
      </c>
      <c r="G21" s="10">
        <v>42119</v>
      </c>
      <c r="H21" s="10">
        <v>7532</v>
      </c>
      <c r="I21" s="10">
        <v>4006</v>
      </c>
      <c r="J21" s="10">
        <v>17.88</v>
      </c>
      <c r="K21" s="10">
        <v>9.51</v>
      </c>
      <c r="L21" s="10">
        <v>208.89</v>
      </c>
    </row>
    <row r="22" spans="1:12">
      <c r="A22" s="10" t="s">
        <v>89</v>
      </c>
      <c r="B22" s="10">
        <v>37.1</v>
      </c>
      <c r="C22" s="10">
        <v>39.72</v>
      </c>
      <c r="D22" s="10">
        <v>37.06</v>
      </c>
      <c r="E22" s="10">
        <v>39.17</v>
      </c>
      <c r="F22" s="10">
        <v>0.48</v>
      </c>
      <c r="G22" s="10">
        <v>40535</v>
      </c>
      <c r="H22" s="10">
        <v>7131</v>
      </c>
      <c r="I22" s="10">
        <v>3803</v>
      </c>
      <c r="J22" s="10">
        <v>17.59</v>
      </c>
      <c r="K22" s="10">
        <v>9.3800000000000008</v>
      </c>
      <c r="L22" s="10">
        <v>79.75</v>
      </c>
    </row>
    <row r="23" spans="1:12">
      <c r="A23" s="10" t="s">
        <v>127</v>
      </c>
      <c r="B23" s="10">
        <v>39.1</v>
      </c>
      <c r="C23" s="10">
        <v>43.42</v>
      </c>
      <c r="D23" s="10">
        <v>38.58</v>
      </c>
      <c r="E23" s="10">
        <v>43.21</v>
      </c>
      <c r="F23" s="10">
        <v>0.48</v>
      </c>
      <c r="G23" s="10">
        <v>40520</v>
      </c>
      <c r="H23" s="10">
        <v>6560</v>
      </c>
      <c r="I23" s="10">
        <v>3408</v>
      </c>
      <c r="J23" s="10">
        <v>16.190000000000001</v>
      </c>
      <c r="K23" s="10">
        <v>8.41</v>
      </c>
      <c r="L23" s="10">
        <v>80.849999999999994</v>
      </c>
    </row>
    <row r="24" spans="1:12">
      <c r="A24" s="10" t="s">
        <v>88</v>
      </c>
      <c r="B24" s="10">
        <v>40.85</v>
      </c>
      <c r="C24" s="10">
        <v>41.7</v>
      </c>
      <c r="D24" s="10">
        <v>39.549999999999997</v>
      </c>
      <c r="E24" s="10">
        <v>40.61</v>
      </c>
      <c r="F24" s="10">
        <v>0.48</v>
      </c>
      <c r="G24" s="10">
        <v>40890</v>
      </c>
      <c r="H24" s="10">
        <v>6408</v>
      </c>
      <c r="I24" s="10">
        <v>3328</v>
      </c>
      <c r="J24" s="10">
        <v>15.67</v>
      </c>
      <c r="K24" s="10">
        <v>8.14</v>
      </c>
      <c r="L24" s="10">
        <v>82.33</v>
      </c>
    </row>
    <row r="25" spans="1:12">
      <c r="A25" s="10" t="s">
        <v>24</v>
      </c>
      <c r="B25" s="10">
        <v>38.630000000000003</v>
      </c>
      <c r="C25" s="10">
        <v>42.84</v>
      </c>
      <c r="D25" s="10">
        <v>38.159999999999997</v>
      </c>
      <c r="E25" s="10">
        <v>42.53</v>
      </c>
      <c r="F25" s="10">
        <v>0.49</v>
      </c>
      <c r="G25" s="10">
        <v>41841</v>
      </c>
      <c r="H25" s="10">
        <v>4609</v>
      </c>
      <c r="I25" s="10">
        <v>2437</v>
      </c>
      <c r="J25" s="10">
        <v>11.02</v>
      </c>
      <c r="K25" s="10">
        <v>5.82</v>
      </c>
      <c r="L25" s="10">
        <v>81.36</v>
      </c>
    </row>
    <row r="26" spans="1:12">
      <c r="A26" s="10" t="s">
        <v>55</v>
      </c>
      <c r="B26" s="10">
        <v>41.78</v>
      </c>
      <c r="C26" s="10">
        <v>42.7</v>
      </c>
      <c r="D26" s="10">
        <v>41.26</v>
      </c>
      <c r="E26" s="10">
        <v>41.55</v>
      </c>
      <c r="F26" s="10">
        <v>0.49</v>
      </c>
      <c r="G26" s="10">
        <v>39365</v>
      </c>
      <c r="H26" s="10">
        <v>6864</v>
      </c>
      <c r="I26" s="10">
        <v>3469</v>
      </c>
      <c r="J26" s="10">
        <v>17.440000000000001</v>
      </c>
      <c r="K26" s="10">
        <v>8.81</v>
      </c>
      <c r="L26" s="10">
        <v>91.9</v>
      </c>
    </row>
    <row r="27" spans="1:12">
      <c r="A27" s="10" t="s">
        <v>183</v>
      </c>
      <c r="B27" s="10">
        <v>38.68</v>
      </c>
      <c r="C27" s="10">
        <v>39.369999999999997</v>
      </c>
      <c r="D27" s="10">
        <v>37.54</v>
      </c>
      <c r="E27" s="10">
        <v>37.729999999999997</v>
      </c>
      <c r="F27" s="10">
        <v>0.49</v>
      </c>
      <c r="G27" s="10">
        <v>39837</v>
      </c>
      <c r="H27" s="10">
        <v>7323</v>
      </c>
      <c r="I27" s="10">
        <v>3915</v>
      </c>
      <c r="J27" s="10">
        <v>18.38</v>
      </c>
      <c r="K27" s="10">
        <v>9.83</v>
      </c>
      <c r="L27" s="10">
        <v>95.1</v>
      </c>
    </row>
    <row r="28" spans="1:12">
      <c r="A28" s="10" t="s">
        <v>34</v>
      </c>
      <c r="B28" s="10">
        <v>37.590000000000003</v>
      </c>
      <c r="C28" s="10">
        <v>39.31</v>
      </c>
      <c r="D28" s="10">
        <v>35.1</v>
      </c>
      <c r="E28" s="10">
        <v>39.17</v>
      </c>
      <c r="F28" s="10">
        <v>0.49</v>
      </c>
      <c r="G28" s="10">
        <v>39668</v>
      </c>
      <c r="H28" s="10">
        <v>6403</v>
      </c>
      <c r="I28" s="10">
        <v>3029</v>
      </c>
      <c r="J28" s="10">
        <v>16.14</v>
      </c>
      <c r="K28" s="10">
        <v>7.64</v>
      </c>
      <c r="L28" s="10">
        <v>91.98</v>
      </c>
    </row>
    <row r="29" spans="1:12">
      <c r="A29" s="10" t="s">
        <v>173</v>
      </c>
      <c r="B29" s="10">
        <v>36.35</v>
      </c>
      <c r="C29" s="10">
        <v>39.325000000000003</v>
      </c>
      <c r="D29" s="10">
        <v>35.81</v>
      </c>
      <c r="E29" s="10">
        <v>38.880000000000003</v>
      </c>
      <c r="F29" s="10">
        <v>0.5</v>
      </c>
      <c r="G29" s="10">
        <v>41676</v>
      </c>
      <c r="H29" s="10">
        <v>3273</v>
      </c>
      <c r="I29" s="10">
        <v>19037</v>
      </c>
      <c r="J29" s="10">
        <v>7.85</v>
      </c>
      <c r="K29" s="10">
        <v>45.68</v>
      </c>
      <c r="L29" s="10">
        <v>93.78</v>
      </c>
    </row>
    <row r="30" spans="1:12">
      <c r="A30" s="10" t="s">
        <v>282</v>
      </c>
      <c r="B30" s="10">
        <v>36.31</v>
      </c>
      <c r="C30" s="10">
        <v>37.81</v>
      </c>
      <c r="D30" s="10">
        <v>34.44</v>
      </c>
      <c r="E30" s="10">
        <v>35.65</v>
      </c>
      <c r="F30" s="10">
        <v>0.5</v>
      </c>
      <c r="G30" s="10">
        <v>38038</v>
      </c>
      <c r="H30" s="10">
        <v>6201</v>
      </c>
      <c r="I30" s="10">
        <v>4662</v>
      </c>
      <c r="J30" s="10">
        <v>16.3</v>
      </c>
      <c r="K30" s="10">
        <v>12.26</v>
      </c>
      <c r="L30" s="10">
        <v>41.39</v>
      </c>
    </row>
    <row r="31" spans="1:12">
      <c r="A31" s="10" t="s">
        <v>110</v>
      </c>
      <c r="B31" s="10">
        <v>32.479999999999997</v>
      </c>
      <c r="C31" s="10">
        <v>34.53</v>
      </c>
      <c r="D31" s="10">
        <v>31.4</v>
      </c>
      <c r="E31" s="10">
        <v>32.11</v>
      </c>
      <c r="F31" s="10">
        <v>0.5</v>
      </c>
      <c r="G31" s="10">
        <v>38986</v>
      </c>
      <c r="H31" s="10">
        <v>6466</v>
      </c>
      <c r="I31" s="10">
        <v>5132</v>
      </c>
      <c r="J31" s="10">
        <v>16.59</v>
      </c>
      <c r="K31" s="10">
        <v>13.16</v>
      </c>
      <c r="L31" s="10">
        <v>40</v>
      </c>
    </row>
    <row r="32" spans="1:12">
      <c r="A32" s="10" t="s">
        <v>52</v>
      </c>
      <c r="B32" s="10">
        <v>31.78</v>
      </c>
      <c r="C32" s="10">
        <v>34.28</v>
      </c>
      <c r="D32" s="10">
        <v>31.48</v>
      </c>
      <c r="E32" s="10">
        <v>33.58</v>
      </c>
      <c r="F32" s="10">
        <v>0.5</v>
      </c>
      <c r="G32" s="10">
        <v>45739</v>
      </c>
      <c r="H32" s="10">
        <v>7269</v>
      </c>
      <c r="I32" s="10">
        <v>4718</v>
      </c>
      <c r="J32" s="10">
        <v>15.89</v>
      </c>
      <c r="K32" s="10">
        <v>10.32</v>
      </c>
      <c r="L32" s="10">
        <v>38.79</v>
      </c>
    </row>
    <row r="33" spans="1:12">
      <c r="A33" s="10" t="s">
        <v>107</v>
      </c>
      <c r="B33" s="10">
        <v>31.74</v>
      </c>
      <c r="C33" s="10">
        <v>32.01</v>
      </c>
      <c r="D33" s="10">
        <v>26.8</v>
      </c>
      <c r="E33" s="10">
        <v>28.54</v>
      </c>
      <c r="F33" s="10">
        <v>0.51</v>
      </c>
      <c r="G33" s="10">
        <v>47993</v>
      </c>
      <c r="H33" s="10">
        <v>6206</v>
      </c>
      <c r="I33" s="10">
        <v>4858</v>
      </c>
      <c r="J33" s="10">
        <v>12.93</v>
      </c>
      <c r="K33" s="10">
        <v>10.119999999999999</v>
      </c>
      <c r="L33" s="10">
        <v>38.020000000000003</v>
      </c>
    </row>
    <row r="34" spans="1:12">
      <c r="A34" s="10" t="s">
        <v>18</v>
      </c>
      <c r="B34" s="10">
        <v>31.2</v>
      </c>
      <c r="C34" s="10">
        <v>31.64</v>
      </c>
      <c r="D34" s="10">
        <v>29.67</v>
      </c>
      <c r="E34" s="10">
        <v>31.36</v>
      </c>
      <c r="F34" s="10">
        <v>0.51</v>
      </c>
      <c r="G34" s="10">
        <v>44827</v>
      </c>
      <c r="H34" s="10">
        <v>7233</v>
      </c>
      <c r="I34" s="10">
        <v>4096</v>
      </c>
      <c r="J34" s="10">
        <v>16.14</v>
      </c>
      <c r="K34" s="10">
        <v>9.14</v>
      </c>
      <c r="L34" s="10">
        <v>70.53</v>
      </c>
    </row>
    <row r="35" spans="1:12">
      <c r="A35" s="10" t="s">
        <v>222</v>
      </c>
      <c r="B35" s="10">
        <v>30.72</v>
      </c>
      <c r="C35" s="10">
        <v>33.549999999999997</v>
      </c>
      <c r="D35" s="10">
        <v>30.675000000000001</v>
      </c>
      <c r="E35" s="10">
        <v>33.51</v>
      </c>
      <c r="F35" s="10">
        <v>0.51</v>
      </c>
      <c r="G35" s="10">
        <v>44957</v>
      </c>
      <c r="H35" s="10">
        <v>7500</v>
      </c>
      <c r="I35" s="10">
        <v>3713</v>
      </c>
      <c r="J35" s="10">
        <v>16.68</v>
      </c>
      <c r="K35" s="10">
        <v>8.26</v>
      </c>
      <c r="L35" s="10">
        <v>75.94</v>
      </c>
    </row>
    <row r="36" spans="1:12">
      <c r="A36" s="10" t="s">
        <v>170</v>
      </c>
      <c r="B36" s="10">
        <v>35.08</v>
      </c>
      <c r="C36" s="10">
        <v>38.75</v>
      </c>
      <c r="D36" s="10">
        <v>34.914999999999999</v>
      </c>
      <c r="E36" s="10">
        <v>37.840000000000003</v>
      </c>
      <c r="F36" s="10">
        <v>0.51</v>
      </c>
      <c r="G36" s="10">
        <v>44588</v>
      </c>
      <c r="H36" s="10">
        <v>7901</v>
      </c>
      <c r="I36" s="10">
        <v>3700</v>
      </c>
      <c r="J36" s="10">
        <v>17.72</v>
      </c>
      <c r="K36" s="10">
        <v>8.3000000000000007</v>
      </c>
      <c r="L36" s="10">
        <v>86.38</v>
      </c>
    </row>
    <row r="37" spans="1:12">
      <c r="A37" s="10" t="s">
        <v>250</v>
      </c>
      <c r="B37" s="10">
        <v>37.479999999999997</v>
      </c>
      <c r="C37" s="10">
        <v>39.432000000000002</v>
      </c>
      <c r="D37" s="10">
        <v>36.905000000000001</v>
      </c>
      <c r="E37" s="10">
        <v>39.08</v>
      </c>
      <c r="F37" s="10">
        <v>0.52</v>
      </c>
      <c r="G37" s="10">
        <v>46821</v>
      </c>
      <c r="H37" s="10">
        <v>6779</v>
      </c>
      <c r="I37" s="10">
        <v>2394</v>
      </c>
      <c r="J37" s="10">
        <v>14.48</v>
      </c>
      <c r="K37" s="10">
        <v>5.1100000000000003</v>
      </c>
      <c r="L37" s="10">
        <v>91.48</v>
      </c>
    </row>
    <row r="38" spans="1:12">
      <c r="A38" s="10" t="s">
        <v>126</v>
      </c>
      <c r="B38" s="10">
        <v>35.369999999999997</v>
      </c>
      <c r="C38" s="10">
        <v>38.22</v>
      </c>
      <c r="D38" s="10">
        <v>26.08</v>
      </c>
      <c r="E38" s="10">
        <v>29.15</v>
      </c>
      <c r="F38" s="10">
        <v>0.52</v>
      </c>
      <c r="G38" s="10">
        <v>42779</v>
      </c>
      <c r="H38" s="10">
        <v>7486</v>
      </c>
      <c r="I38" s="10">
        <v>4610</v>
      </c>
      <c r="J38" s="10">
        <v>17.5</v>
      </c>
      <c r="K38" s="10">
        <v>10.7</v>
      </c>
      <c r="L38" s="10">
        <v>108.47</v>
      </c>
    </row>
    <row r="39" spans="1:12">
      <c r="A39" s="10" t="s">
        <v>161</v>
      </c>
      <c r="B39" s="10">
        <v>30.75</v>
      </c>
      <c r="C39" s="10">
        <v>33.24</v>
      </c>
      <c r="D39" s="10">
        <v>28.92</v>
      </c>
      <c r="E39" s="10">
        <v>30.23</v>
      </c>
      <c r="F39" s="10">
        <v>0.52</v>
      </c>
      <c r="G39" s="10">
        <v>40950</v>
      </c>
      <c r="H39" s="10">
        <v>5851</v>
      </c>
      <c r="I39" s="10">
        <v>1281</v>
      </c>
      <c r="J39" s="10">
        <v>14.29</v>
      </c>
      <c r="K39" s="10">
        <v>3</v>
      </c>
      <c r="L39" s="10">
        <v>105.1</v>
      </c>
    </row>
    <row r="40" spans="1:12">
      <c r="A40" s="10" t="s">
        <v>28</v>
      </c>
      <c r="B40" s="10">
        <v>29.74</v>
      </c>
      <c r="C40" s="10">
        <v>30.175000000000001</v>
      </c>
      <c r="D40" s="10">
        <v>27.75</v>
      </c>
      <c r="E40" s="10">
        <v>28.51</v>
      </c>
      <c r="F40" s="10">
        <v>0.52</v>
      </c>
      <c r="G40" s="10">
        <v>42340</v>
      </c>
      <c r="H40" s="10">
        <v>6205</v>
      </c>
      <c r="I40" s="10">
        <v>2816</v>
      </c>
      <c r="J40" s="10">
        <v>14.66</v>
      </c>
      <c r="K40" s="10">
        <v>6.52</v>
      </c>
      <c r="L40" s="10">
        <v>126.22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AF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32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AE1" s="10" t="s">
        <v>273</v>
      </c>
      <c r="AF1" t="s">
        <v>74</v>
      </c>
    </row>
    <row r="2" spans="1:32">
      <c r="A2" s="10" t="s">
        <v>32</v>
      </c>
      <c r="B2" s="10">
        <v>93.5</v>
      </c>
      <c r="C2" s="10">
        <v>0.55000000000000004</v>
      </c>
      <c r="D2" s="10">
        <v>7311</v>
      </c>
      <c r="E2" s="10">
        <v>1578</v>
      </c>
      <c r="F2" s="10">
        <v>1081</v>
      </c>
      <c r="G2" s="10">
        <v>21.58</v>
      </c>
      <c r="H2" s="10">
        <v>14.79</v>
      </c>
      <c r="I2" s="10">
        <v>36.450000000000003</v>
      </c>
      <c r="AE2" s="10" t="s">
        <v>32</v>
      </c>
      <c r="AF2">
        <f t="shared" ref="AF2:AF39" si="0">(C3-C2)/C2</f>
        <v>0</v>
      </c>
    </row>
    <row r="3" spans="1:32">
      <c r="A3" s="10" t="s">
        <v>79</v>
      </c>
      <c r="B3" s="10">
        <v>94.85</v>
      </c>
      <c r="C3" s="10">
        <v>0.55000000000000004</v>
      </c>
      <c r="D3" s="10">
        <v>7680</v>
      </c>
      <c r="E3" s="10">
        <v>1655</v>
      </c>
      <c r="F3" s="10">
        <v>1160</v>
      </c>
      <c r="G3" s="10">
        <v>21.55</v>
      </c>
      <c r="H3" s="10">
        <v>15.1</v>
      </c>
      <c r="I3" s="10">
        <v>36.5</v>
      </c>
      <c r="AE3" s="10" t="s">
        <v>79</v>
      </c>
      <c r="AF3">
        <f t="shared" si="0"/>
        <v>0</v>
      </c>
    </row>
    <row r="4" spans="1:32">
      <c r="A4" s="10" t="s">
        <v>181</v>
      </c>
      <c r="B4" s="10">
        <v>71.790000000000006</v>
      </c>
      <c r="C4" s="10">
        <v>0.55000000000000004</v>
      </c>
      <c r="D4" s="10">
        <v>7531</v>
      </c>
      <c r="E4" s="10">
        <v>1581</v>
      </c>
      <c r="F4" s="10">
        <v>1088</v>
      </c>
      <c r="G4" s="10">
        <v>20.99</v>
      </c>
      <c r="H4" s="10">
        <v>14.45</v>
      </c>
      <c r="I4" s="10">
        <v>36.99</v>
      </c>
      <c r="AE4" s="10" t="s">
        <v>181</v>
      </c>
      <c r="AF4">
        <f t="shared" si="0"/>
        <v>0</v>
      </c>
    </row>
    <row r="5" spans="1:32">
      <c r="A5" s="10" t="s">
        <v>217</v>
      </c>
      <c r="B5" s="10">
        <v>81.73</v>
      </c>
      <c r="C5" s="10">
        <v>0.55000000000000004</v>
      </c>
      <c r="D5" s="10">
        <v>7089</v>
      </c>
      <c r="E5" s="10">
        <v>1364</v>
      </c>
      <c r="F5" s="10">
        <v>954</v>
      </c>
      <c r="G5" s="10">
        <v>19.239999999999998</v>
      </c>
      <c r="H5" s="10">
        <v>13.46</v>
      </c>
      <c r="I5" s="10">
        <v>36.99</v>
      </c>
      <c r="AE5" s="10" t="s">
        <v>217</v>
      </c>
      <c r="AF5">
        <f t="shared" si="0"/>
        <v>7.2727272727272585E-2</v>
      </c>
    </row>
    <row r="6" spans="1:32">
      <c r="A6" s="10" t="s">
        <v>162</v>
      </c>
      <c r="B6" s="10">
        <v>89.21</v>
      </c>
      <c r="C6" s="10">
        <v>0.59</v>
      </c>
      <c r="D6" s="10">
        <v>7486</v>
      </c>
      <c r="E6" s="10">
        <v>1634</v>
      </c>
      <c r="F6" s="10">
        <v>1125</v>
      </c>
      <c r="G6" s="10">
        <v>21.83</v>
      </c>
      <c r="H6" s="10">
        <v>15.03</v>
      </c>
      <c r="I6" s="10">
        <v>36.909999999999997</v>
      </c>
      <c r="AE6" s="10" t="s">
        <v>162</v>
      </c>
      <c r="AF6">
        <f t="shared" si="0"/>
        <v>0</v>
      </c>
    </row>
    <row r="7" spans="1:32">
      <c r="A7" s="10" t="s">
        <v>64</v>
      </c>
      <c r="B7" s="10">
        <v>89.6</v>
      </c>
      <c r="C7" s="10">
        <v>0.59</v>
      </c>
      <c r="D7" s="10">
        <v>7534</v>
      </c>
      <c r="E7" s="10">
        <v>1728</v>
      </c>
      <c r="F7" s="10">
        <v>1167</v>
      </c>
      <c r="G7" s="10">
        <v>22.94</v>
      </c>
      <c r="H7" s="10">
        <v>15.49</v>
      </c>
      <c r="I7" s="10">
        <v>36.96</v>
      </c>
      <c r="AE7" s="10" t="s">
        <v>64</v>
      </c>
      <c r="AF7">
        <f t="shared" si="0"/>
        <v>0</v>
      </c>
    </row>
    <row r="8" spans="1:32">
      <c r="A8" s="10" t="s">
        <v>226</v>
      </c>
      <c r="B8" s="10">
        <v>92.42</v>
      </c>
      <c r="C8" s="10">
        <v>0.59</v>
      </c>
      <c r="D8" s="10">
        <v>7497</v>
      </c>
      <c r="E8" s="10">
        <v>1678</v>
      </c>
      <c r="F8" s="10">
        <v>1161</v>
      </c>
      <c r="G8" s="10">
        <v>22.38</v>
      </c>
      <c r="H8" s="10">
        <v>15.49</v>
      </c>
      <c r="I8" s="10">
        <v>37.25</v>
      </c>
      <c r="AE8" s="10" t="s">
        <v>226</v>
      </c>
      <c r="AF8">
        <f t="shared" si="0"/>
        <v>0</v>
      </c>
    </row>
    <row r="9" spans="1:32">
      <c r="A9" s="10" t="s">
        <v>247</v>
      </c>
      <c r="B9" s="10">
        <v>92.85</v>
      </c>
      <c r="C9" s="10">
        <v>0.59</v>
      </c>
      <c r="D9" s="10">
        <v>7387</v>
      </c>
      <c r="E9" s="10">
        <v>1443</v>
      </c>
      <c r="F9" s="10">
        <v>991</v>
      </c>
      <c r="G9" s="10">
        <v>19.53</v>
      </c>
      <c r="H9" s="10">
        <v>13.42</v>
      </c>
      <c r="I9" s="10">
        <v>37.340000000000003</v>
      </c>
      <c r="AE9" s="10" t="s">
        <v>247</v>
      </c>
      <c r="AF9">
        <f t="shared" si="0"/>
        <v>8.4745762711864486E-2</v>
      </c>
    </row>
    <row r="10" spans="1:32">
      <c r="A10" s="10" t="s">
        <v>19</v>
      </c>
      <c r="B10" s="10">
        <v>106.31</v>
      </c>
      <c r="C10" s="10">
        <v>0.64</v>
      </c>
      <c r="D10" s="10">
        <v>7634</v>
      </c>
      <c r="E10" s="10">
        <v>1646</v>
      </c>
      <c r="F10" s="10">
        <v>1129</v>
      </c>
      <c r="G10" s="10">
        <v>21.56</v>
      </c>
      <c r="H10" s="10">
        <v>14.79</v>
      </c>
      <c r="I10" s="10">
        <v>37.340000000000003</v>
      </c>
      <c r="AE10" s="10" t="s">
        <v>19</v>
      </c>
      <c r="AF10">
        <f t="shared" si="0"/>
        <v>0</v>
      </c>
    </row>
    <row r="11" spans="1:32">
      <c r="A11" s="10" t="s">
        <v>192</v>
      </c>
      <c r="B11" s="10">
        <v>109.35</v>
      </c>
      <c r="C11" s="10">
        <v>0.64</v>
      </c>
      <c r="D11" s="10">
        <v>7752</v>
      </c>
      <c r="E11" s="10">
        <v>1702</v>
      </c>
      <c r="F11" s="10">
        <v>1197</v>
      </c>
      <c r="G11" s="10">
        <v>21.96</v>
      </c>
      <c r="H11" s="10">
        <v>15.44</v>
      </c>
      <c r="I11" s="10">
        <v>37.93</v>
      </c>
      <c r="AE11" s="10" t="s">
        <v>192</v>
      </c>
      <c r="AF11">
        <f t="shared" si="0"/>
        <v>0</v>
      </c>
    </row>
    <row r="12" spans="1:32">
      <c r="A12" s="10" t="s">
        <v>160</v>
      </c>
      <c r="B12" s="10">
        <v>119.41</v>
      </c>
      <c r="C12" s="10">
        <v>0.64</v>
      </c>
      <c r="D12" s="10">
        <v>7916</v>
      </c>
      <c r="E12" s="10">
        <v>1739</v>
      </c>
      <c r="F12" s="10">
        <v>1230</v>
      </c>
      <c r="G12" s="10">
        <v>21.97</v>
      </c>
      <c r="H12" s="10">
        <v>15.54</v>
      </c>
      <c r="I12" s="10">
        <v>38.340000000000003</v>
      </c>
      <c r="AE12" s="10" t="s">
        <v>160</v>
      </c>
      <c r="AF12">
        <f t="shared" si="0"/>
        <v>0</v>
      </c>
    </row>
    <row r="13" spans="1:32">
      <c r="A13" s="10" t="s">
        <v>168</v>
      </c>
      <c r="B13" s="10">
        <v>140.25</v>
      </c>
      <c r="C13" s="10">
        <v>0.64</v>
      </c>
      <c r="D13" s="10">
        <v>7569</v>
      </c>
      <c r="E13" s="10">
        <v>1579</v>
      </c>
      <c r="F13" s="10">
        <v>1103</v>
      </c>
      <c r="G13" s="10">
        <v>20.86</v>
      </c>
      <c r="H13" s="10">
        <v>14.57</v>
      </c>
      <c r="I13" s="10">
        <v>38.33</v>
      </c>
      <c r="AE13" s="10" t="s">
        <v>168</v>
      </c>
      <c r="AF13">
        <f t="shared" si="0"/>
        <v>0.34374999999999994</v>
      </c>
    </row>
    <row r="14" spans="1:32">
      <c r="A14" s="10" t="s">
        <v>63</v>
      </c>
      <c r="B14" s="10">
        <v>135.66</v>
      </c>
      <c r="C14" s="10">
        <v>0.86</v>
      </c>
      <c r="D14" s="10">
        <v>7831</v>
      </c>
      <c r="E14" s="10">
        <v>1716</v>
      </c>
      <c r="F14" s="10">
        <v>1207</v>
      </c>
      <c r="G14" s="10">
        <v>21.91</v>
      </c>
      <c r="H14" s="10">
        <v>15.41</v>
      </c>
      <c r="I14" s="10">
        <v>37.799999999999997</v>
      </c>
      <c r="AE14" s="10" t="s">
        <v>63</v>
      </c>
      <c r="AF14">
        <f t="shared" si="0"/>
        <v>0</v>
      </c>
    </row>
    <row r="15" spans="1:32">
      <c r="A15" s="10" t="s">
        <v>14</v>
      </c>
      <c r="B15" s="10">
        <v>143.24</v>
      </c>
      <c r="C15" s="10">
        <v>0.86</v>
      </c>
      <c r="D15" s="10">
        <v>8134</v>
      </c>
      <c r="E15" s="10">
        <v>1856</v>
      </c>
      <c r="F15" s="10">
        <v>1267</v>
      </c>
      <c r="G15" s="10">
        <v>22.82</v>
      </c>
      <c r="H15" s="10">
        <v>15.58</v>
      </c>
      <c r="I15" s="10">
        <v>40</v>
      </c>
      <c r="AE15" s="10" t="s">
        <v>14</v>
      </c>
      <c r="AF15">
        <f t="shared" si="0"/>
        <v>0</v>
      </c>
    </row>
    <row r="16" spans="1:32">
      <c r="A16" s="10" t="s">
        <v>288</v>
      </c>
      <c r="B16" s="10">
        <v>141.68</v>
      </c>
      <c r="C16" s="10">
        <v>0.86</v>
      </c>
      <c r="D16" s="10">
        <v>8137</v>
      </c>
      <c r="E16" s="10">
        <v>1901</v>
      </c>
      <c r="F16" s="10">
        <v>1303</v>
      </c>
      <c r="G16" s="10">
        <v>23.36</v>
      </c>
      <c r="H16" s="10">
        <v>16.010000000000002</v>
      </c>
      <c r="I16" s="10">
        <v>41.97</v>
      </c>
      <c r="AE16" s="10" t="s">
        <v>288</v>
      </c>
      <c r="AF16">
        <f t="shared" si="0"/>
        <v>0</v>
      </c>
    </row>
    <row r="17" spans="1:32">
      <c r="A17" s="10" t="s">
        <v>133</v>
      </c>
      <c r="B17" s="10">
        <v>164.32</v>
      </c>
      <c r="C17" s="10">
        <v>0.86</v>
      </c>
      <c r="D17" s="10">
        <v>7719</v>
      </c>
      <c r="E17" s="10">
        <v>1662</v>
      </c>
      <c r="F17" s="10">
        <v>1179</v>
      </c>
      <c r="G17" s="10">
        <v>21.53</v>
      </c>
      <c r="H17" s="10">
        <v>15.27</v>
      </c>
      <c r="I17" s="10">
        <v>43.9</v>
      </c>
      <c r="AE17" s="10" t="s">
        <v>133</v>
      </c>
      <c r="AF17">
        <f t="shared" si="0"/>
        <v>0.19767441860465121</v>
      </c>
    </row>
    <row r="18" spans="1:32">
      <c r="A18" s="10" t="s">
        <v>36</v>
      </c>
      <c r="B18" s="10">
        <v>164.95</v>
      </c>
      <c r="C18" s="10">
        <v>1.03</v>
      </c>
      <c r="D18" s="10">
        <v>7578</v>
      </c>
      <c r="E18" s="10">
        <v>1730</v>
      </c>
      <c r="F18" s="10">
        <v>1199</v>
      </c>
      <c r="G18" s="10">
        <v>22.83</v>
      </c>
      <c r="H18" s="10">
        <v>15.82</v>
      </c>
      <c r="I18" s="10">
        <v>45.66</v>
      </c>
      <c r="AE18" s="10" t="s">
        <v>36</v>
      </c>
      <c r="AF18">
        <f t="shared" si="0"/>
        <v>0</v>
      </c>
    </row>
    <row r="19" spans="1:32">
      <c r="A19" s="10" t="s">
        <v>190</v>
      </c>
      <c r="B19" s="10">
        <v>154.30000000000001</v>
      </c>
      <c r="C19" s="10">
        <v>1.03</v>
      </c>
      <c r="D19" s="10">
        <v>7686</v>
      </c>
      <c r="E19" s="10">
        <v>1840</v>
      </c>
      <c r="F19" s="10">
        <v>1300</v>
      </c>
      <c r="G19" s="10">
        <v>23.94</v>
      </c>
      <c r="H19" s="10">
        <v>16.91</v>
      </c>
      <c r="I19" s="10">
        <v>47.55</v>
      </c>
      <c r="AE19" s="10" t="s">
        <v>190</v>
      </c>
      <c r="AF19">
        <f t="shared" si="0"/>
        <v>0</v>
      </c>
    </row>
    <row r="20" spans="1:32">
      <c r="A20" s="10" t="s">
        <v>256</v>
      </c>
      <c r="B20" s="10">
        <v>141.77000000000001</v>
      </c>
      <c r="C20" s="10">
        <v>1.03</v>
      </c>
      <c r="D20" s="10">
        <v>7712</v>
      </c>
      <c r="E20" s="10">
        <v>1876</v>
      </c>
      <c r="F20" s="10">
        <v>1296</v>
      </c>
      <c r="G20" s="10">
        <v>24.33</v>
      </c>
      <c r="H20" s="10">
        <v>16.809999999999999</v>
      </c>
      <c r="I20" s="10">
        <v>49.09</v>
      </c>
      <c r="AE20" s="10" t="s">
        <v>256</v>
      </c>
      <c r="AF20">
        <f t="shared" si="0"/>
        <v>0</v>
      </c>
    </row>
    <row r="21" spans="1:32">
      <c r="A21" s="10" t="s">
        <v>203</v>
      </c>
      <c r="B21" s="10">
        <v>150.63999999999999</v>
      </c>
      <c r="C21" s="10">
        <v>1.03</v>
      </c>
      <c r="D21" s="10">
        <v>7298</v>
      </c>
      <c r="E21" s="10">
        <v>1500</v>
      </c>
      <c r="F21" s="10">
        <v>1038</v>
      </c>
      <c r="G21" s="10">
        <v>20.55</v>
      </c>
      <c r="H21" s="10">
        <v>14.22</v>
      </c>
      <c r="I21" s="10">
        <v>50.78</v>
      </c>
      <c r="AE21" s="10" t="s">
        <v>203</v>
      </c>
      <c r="AF21">
        <f t="shared" si="0"/>
        <v>7.7669902912621422E-2</v>
      </c>
    </row>
    <row r="22" spans="1:32">
      <c r="A22" s="10" t="s">
        <v>89</v>
      </c>
      <c r="B22" s="10">
        <v>166.63</v>
      </c>
      <c r="C22" s="10">
        <v>1.1100000000000001</v>
      </c>
      <c r="D22" s="10">
        <v>7409</v>
      </c>
      <c r="E22" s="10">
        <v>1788</v>
      </c>
      <c r="F22" s="10">
        <v>1275</v>
      </c>
      <c r="G22" s="10">
        <v>24.13</v>
      </c>
      <c r="H22" s="10">
        <v>17.21</v>
      </c>
      <c r="I22" s="10">
        <v>54.09</v>
      </c>
      <c r="AE22" s="10" t="s">
        <v>89</v>
      </c>
      <c r="AF22">
        <f t="shared" si="0"/>
        <v>0</v>
      </c>
    </row>
    <row r="23" spans="1:32">
      <c r="A23" s="10" t="s">
        <v>127</v>
      </c>
      <c r="B23" s="10">
        <v>175.12</v>
      </c>
      <c r="C23" s="10">
        <v>1.1100000000000001</v>
      </c>
      <c r="D23" s="10">
        <v>7662</v>
      </c>
      <c r="E23" s="10">
        <v>1866</v>
      </c>
      <c r="F23" s="10">
        <v>1291</v>
      </c>
      <c r="G23" s="10">
        <v>24.35</v>
      </c>
      <c r="H23" s="10">
        <v>16.850000000000001</v>
      </c>
      <c r="I23" s="10">
        <v>53.79</v>
      </c>
      <c r="AE23" s="10" t="s">
        <v>127</v>
      </c>
      <c r="AF23">
        <f t="shared" si="0"/>
        <v>0</v>
      </c>
    </row>
    <row r="24" spans="1:32">
      <c r="A24" s="10" t="s">
        <v>88</v>
      </c>
      <c r="B24" s="10">
        <v>176.23</v>
      </c>
      <c r="C24" s="10">
        <v>1.1100000000000001</v>
      </c>
      <c r="D24" s="10">
        <v>7709</v>
      </c>
      <c r="E24" s="10">
        <v>1904</v>
      </c>
      <c r="F24" s="10">
        <v>1329</v>
      </c>
      <c r="G24" s="10">
        <v>24.7</v>
      </c>
      <c r="H24" s="10">
        <v>17.239999999999998</v>
      </c>
      <c r="I24" s="10">
        <v>54.46</v>
      </c>
      <c r="AE24" s="10" t="s">
        <v>88</v>
      </c>
      <c r="AF24">
        <f t="shared" si="0"/>
        <v>0</v>
      </c>
    </row>
    <row r="25" spans="1:32">
      <c r="A25" s="10" t="s">
        <v>24</v>
      </c>
      <c r="B25" s="10">
        <v>178.57</v>
      </c>
      <c r="C25" s="10">
        <v>1.1100000000000001</v>
      </c>
      <c r="D25" s="10">
        <v>7329</v>
      </c>
      <c r="E25" s="10">
        <v>1665</v>
      </c>
      <c r="F25" s="10">
        <v>1155</v>
      </c>
      <c r="G25" s="10">
        <v>22.72</v>
      </c>
      <c r="H25" s="10">
        <v>15.76</v>
      </c>
      <c r="I25" s="10">
        <v>54.85</v>
      </c>
      <c r="AE25" s="10" t="s">
        <v>24</v>
      </c>
      <c r="AF25">
        <f t="shared" si="0"/>
        <v>6.3063063063062919E-2</v>
      </c>
    </row>
    <row r="26" spans="1:32">
      <c r="A26" s="10" t="s">
        <v>55</v>
      </c>
      <c r="B26" s="10">
        <v>191.33</v>
      </c>
      <c r="C26" s="10">
        <v>1.18</v>
      </c>
      <c r="D26" s="10">
        <v>7685</v>
      </c>
      <c r="E26" s="10">
        <v>1774</v>
      </c>
      <c r="F26" s="10">
        <v>1323</v>
      </c>
      <c r="G26" s="10">
        <v>23.08</v>
      </c>
      <c r="H26" s="10">
        <v>17.22</v>
      </c>
      <c r="I26" s="10">
        <v>54.41</v>
      </c>
      <c r="AE26" s="10" t="s">
        <v>55</v>
      </c>
      <c r="AF26">
        <f t="shared" si="0"/>
        <v>0</v>
      </c>
    </row>
    <row r="27" spans="1:32">
      <c r="A27" s="10" t="s">
        <v>183</v>
      </c>
      <c r="B27" s="10">
        <v>208.19</v>
      </c>
      <c r="C27" s="10">
        <v>1.18</v>
      </c>
      <c r="D27" s="10">
        <v>7810</v>
      </c>
      <c r="E27" s="10">
        <v>1723</v>
      </c>
      <c r="F27" s="10">
        <v>1583</v>
      </c>
      <c r="G27" s="10">
        <v>22.06</v>
      </c>
      <c r="H27" s="10">
        <v>20.27</v>
      </c>
      <c r="I27" s="10">
        <v>54.47</v>
      </c>
      <c r="AE27" s="10" t="s">
        <v>183</v>
      </c>
      <c r="AF27">
        <f t="shared" si="0"/>
        <v>0</v>
      </c>
    </row>
    <row r="28" spans="1:32">
      <c r="A28" s="10" t="s">
        <v>34</v>
      </c>
      <c r="B28" s="10">
        <v>209.9</v>
      </c>
      <c r="C28" s="10">
        <v>1.18</v>
      </c>
      <c r="D28" s="10">
        <v>8172</v>
      </c>
      <c r="E28" s="10">
        <v>2041</v>
      </c>
      <c r="F28" s="10">
        <v>1429</v>
      </c>
      <c r="G28" s="10">
        <v>24.98</v>
      </c>
      <c r="H28" s="10">
        <v>17.489999999999998</v>
      </c>
      <c r="I28" s="10">
        <v>52.11</v>
      </c>
      <c r="AE28" s="10" t="s">
        <v>34</v>
      </c>
      <c r="AF28">
        <f t="shared" si="0"/>
        <v>0</v>
      </c>
    </row>
    <row r="29" spans="1:32">
      <c r="A29" s="10" t="s">
        <v>173</v>
      </c>
      <c r="B29" s="10">
        <v>235.37</v>
      </c>
      <c r="C29" s="10">
        <v>1.18</v>
      </c>
      <c r="D29" s="10">
        <v>7990</v>
      </c>
      <c r="E29" s="10">
        <v>1725</v>
      </c>
      <c r="F29" s="10">
        <v>523</v>
      </c>
      <c r="G29" s="10">
        <v>21.59</v>
      </c>
      <c r="H29" s="10">
        <v>6.55</v>
      </c>
      <c r="I29" s="10">
        <v>51.73</v>
      </c>
      <c r="AE29" s="10" t="s">
        <v>173</v>
      </c>
      <c r="AF29">
        <f t="shared" si="0"/>
        <v>0.15254237288135608</v>
      </c>
    </row>
    <row r="30" spans="1:32">
      <c r="A30" s="10" t="s">
        <v>282</v>
      </c>
      <c r="B30" s="10">
        <v>219.52</v>
      </c>
      <c r="C30" s="10">
        <v>1.36</v>
      </c>
      <c r="D30" s="10">
        <v>8278</v>
      </c>
      <c r="E30" s="10">
        <v>983</v>
      </c>
      <c r="F30" s="10">
        <v>602</v>
      </c>
      <c r="G30" s="10">
        <v>11.87</v>
      </c>
      <c r="H30" s="10">
        <v>7.27</v>
      </c>
      <c r="I30" s="10">
        <v>59.27</v>
      </c>
      <c r="AE30" s="10" t="s">
        <v>282</v>
      </c>
      <c r="AF30">
        <f t="shared" si="0"/>
        <v>0</v>
      </c>
    </row>
    <row r="31" spans="1:32">
      <c r="A31" s="10" t="s">
        <v>110</v>
      </c>
      <c r="B31" s="10">
        <v>196.72</v>
      </c>
      <c r="C31" s="10">
        <v>1.36</v>
      </c>
      <c r="D31" s="10">
        <v>8390</v>
      </c>
      <c r="E31" s="10">
        <v>1895</v>
      </c>
      <c r="F31" s="10">
        <v>1857</v>
      </c>
      <c r="G31" s="10">
        <v>22.59</v>
      </c>
      <c r="H31" s="10">
        <v>22.13</v>
      </c>
      <c r="I31" s="10">
        <v>72.37</v>
      </c>
      <c r="AE31" s="10" t="s">
        <v>110</v>
      </c>
      <c r="AF31">
        <f t="shared" si="0"/>
        <v>0</v>
      </c>
    </row>
    <row r="32" spans="1:32">
      <c r="A32" s="10" t="s">
        <v>52</v>
      </c>
      <c r="B32" s="10">
        <v>210.71</v>
      </c>
      <c r="C32" s="10">
        <v>1.36</v>
      </c>
      <c r="D32" s="10">
        <v>8152</v>
      </c>
      <c r="E32" s="10">
        <v>2016</v>
      </c>
      <c r="F32" s="10">
        <v>1543</v>
      </c>
      <c r="G32" s="10">
        <v>24.73</v>
      </c>
      <c r="H32" s="10">
        <v>18.93</v>
      </c>
      <c r="I32" s="10">
        <v>70.12</v>
      </c>
      <c r="AE32" s="10" t="s">
        <v>52</v>
      </c>
      <c r="AF32">
        <f t="shared" si="0"/>
        <v>0</v>
      </c>
    </row>
    <row r="33" spans="1:32">
      <c r="A33" s="10" t="s">
        <v>107</v>
      </c>
      <c r="B33" s="10">
        <v>190.54</v>
      </c>
      <c r="C33" s="10">
        <v>1.36</v>
      </c>
      <c r="D33" s="10">
        <v>7945</v>
      </c>
      <c r="E33" s="10">
        <v>1766</v>
      </c>
      <c r="F33" s="10">
        <v>1347</v>
      </c>
      <c r="G33" s="10">
        <v>22.23</v>
      </c>
      <c r="H33" s="10">
        <v>16.95</v>
      </c>
      <c r="I33" s="10">
        <v>70.44</v>
      </c>
      <c r="AE33" s="10" t="s">
        <v>107</v>
      </c>
      <c r="AF33">
        <f t="shared" si="0"/>
        <v>5.8823529411764594E-2</v>
      </c>
    </row>
    <row r="34" spans="1:32">
      <c r="A34" s="10" t="s">
        <v>18</v>
      </c>
      <c r="B34" s="10">
        <v>207.78</v>
      </c>
      <c r="C34" s="10">
        <v>1.44</v>
      </c>
      <c r="D34" s="10">
        <v>7863</v>
      </c>
      <c r="E34" s="10">
        <v>1128</v>
      </c>
      <c r="F34" s="10">
        <v>891</v>
      </c>
      <c r="G34" s="10">
        <v>14.35</v>
      </c>
      <c r="H34" s="10">
        <v>11.33</v>
      </c>
      <c r="I34" s="10">
        <v>61.19</v>
      </c>
      <c r="AE34" s="10" t="s">
        <v>18</v>
      </c>
      <c r="AF34">
        <f t="shared" si="0"/>
        <v>0</v>
      </c>
    </row>
    <row r="35" spans="1:32">
      <c r="A35" s="10" t="s">
        <v>222</v>
      </c>
      <c r="B35" s="10">
        <v>173.34</v>
      </c>
      <c r="C35" s="10">
        <v>1.44</v>
      </c>
      <c r="D35" s="10">
        <v>8171</v>
      </c>
      <c r="E35" s="10">
        <v>1702</v>
      </c>
      <c r="F35" s="10">
        <v>1127</v>
      </c>
      <c r="G35" s="10">
        <v>20.83</v>
      </c>
      <c r="H35" s="10">
        <v>13.79</v>
      </c>
      <c r="I35" s="10">
        <v>58.6</v>
      </c>
      <c r="AE35" s="10" t="s">
        <v>222</v>
      </c>
      <c r="AF35">
        <f t="shared" si="0"/>
        <v>0</v>
      </c>
    </row>
    <row r="36" spans="1:32">
      <c r="A36" s="10" t="s">
        <v>170</v>
      </c>
      <c r="B36" s="10">
        <v>164.4</v>
      </c>
      <c r="C36" s="10">
        <v>1.44</v>
      </c>
      <c r="D36" s="10">
        <v>7991</v>
      </c>
      <c r="E36" s="10">
        <v>1905</v>
      </c>
      <c r="F36" s="10">
        <v>1583</v>
      </c>
      <c r="G36" s="10">
        <v>23.84</v>
      </c>
      <c r="H36" s="10">
        <v>19.809999999999999</v>
      </c>
      <c r="I36" s="10">
        <v>67.55</v>
      </c>
      <c r="AE36" s="10" t="s">
        <v>170</v>
      </c>
      <c r="AF36">
        <f t="shared" si="0"/>
        <v>0</v>
      </c>
    </row>
    <row r="37" spans="1:32">
      <c r="A37" s="10" t="s">
        <v>250</v>
      </c>
      <c r="B37" s="10">
        <v>176.42</v>
      </c>
      <c r="C37" s="10">
        <v>1.44</v>
      </c>
      <c r="D37" s="10">
        <v>8111</v>
      </c>
      <c r="E37" s="10">
        <v>1325</v>
      </c>
      <c r="F37" s="10">
        <v>969</v>
      </c>
      <c r="G37" s="10">
        <v>16.34</v>
      </c>
      <c r="H37" s="10">
        <v>11.95</v>
      </c>
      <c r="I37" s="10">
        <v>67.38</v>
      </c>
      <c r="AE37" s="10" t="s">
        <v>250</v>
      </c>
      <c r="AF37">
        <f t="shared" si="0"/>
        <v>2.0833333333333353E-2</v>
      </c>
    </row>
    <row r="38" spans="1:32">
      <c r="A38" s="10" t="s">
        <v>126</v>
      </c>
      <c r="B38" s="10">
        <v>136.51</v>
      </c>
      <c r="C38" s="10">
        <v>1.47</v>
      </c>
      <c r="D38" s="10">
        <v>8075</v>
      </c>
      <c r="E38" s="10">
        <v>1661</v>
      </c>
      <c r="F38" s="10">
        <v>1292</v>
      </c>
      <c r="G38" s="10">
        <v>20.57</v>
      </c>
      <c r="H38" s="10">
        <v>16</v>
      </c>
      <c r="I38" s="10">
        <v>73.75</v>
      </c>
      <c r="AE38" s="10" t="s">
        <v>126</v>
      </c>
      <c r="AF38">
        <f t="shared" si="0"/>
        <v>0</v>
      </c>
    </row>
    <row r="39" spans="1:32">
      <c r="A39" s="10" t="s">
        <v>161</v>
      </c>
      <c r="B39" s="10">
        <v>155.99</v>
      </c>
      <c r="C39" s="10">
        <v>1.47</v>
      </c>
      <c r="D39" s="10">
        <v>7176</v>
      </c>
      <c r="E39" s="10">
        <v>1353</v>
      </c>
      <c r="F39" s="10">
        <v>1290</v>
      </c>
      <c r="G39" s="10">
        <v>18.850000000000001</v>
      </c>
      <c r="H39" s="10">
        <v>17.98</v>
      </c>
      <c r="I39" s="10">
        <v>67.959999999999994</v>
      </c>
      <c r="AE39" s="10" t="s">
        <v>161</v>
      </c>
      <c r="AF39">
        <f t="shared" si="0"/>
        <v>0</v>
      </c>
    </row>
    <row r="40" spans="1:32">
      <c r="A40" s="10" t="s">
        <v>28</v>
      </c>
      <c r="B40" s="10">
        <v>160.18</v>
      </c>
      <c r="C40" s="10">
        <v>1.47</v>
      </c>
      <c r="D40" s="10">
        <v>8350</v>
      </c>
      <c r="E40" s="10">
        <v>1909</v>
      </c>
      <c r="F40" s="10">
        <v>1413</v>
      </c>
      <c r="G40" s="10">
        <v>22.86</v>
      </c>
      <c r="H40" s="10">
        <v>16.920000000000002</v>
      </c>
      <c r="I40" s="10">
        <v>66.06</v>
      </c>
      <c r="AE40" s="10" t="s">
        <v>28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1.1640625" bestFit="1" customWidth="1"/>
    <col min="2" max="2" width="7.5" bestFit="1" customWidth="1"/>
    <col min="3" max="3" width="11" bestFit="1" customWidth="1"/>
    <col min="4" max="4" width="14.5" bestFit="1" customWidth="1"/>
    <col min="6" max="6" width="7.1640625" bestFit="1" customWidth="1"/>
    <col min="7" max="7" width="11" bestFit="1" customWidth="1"/>
    <col min="10" max="10" width="19.33203125" bestFit="1" customWidth="1"/>
    <col min="257" max="257" width="11.1640625" bestFit="1" customWidth="1"/>
    <col min="258" max="258" width="7.5" bestFit="1" customWidth="1"/>
    <col min="259" max="259" width="11" bestFit="1" customWidth="1"/>
    <col min="260" max="260" width="14.5" bestFit="1" customWidth="1"/>
    <col min="262" max="262" width="7.1640625" bestFit="1" customWidth="1"/>
    <col min="263" max="263" width="11" bestFit="1" customWidth="1"/>
    <col min="266" max="266" width="19.33203125" bestFit="1" customWidth="1"/>
    <col min="513" max="513" width="11.1640625" bestFit="1" customWidth="1"/>
    <col min="514" max="514" width="7.5" bestFit="1" customWidth="1"/>
    <col min="515" max="515" width="11" bestFit="1" customWidth="1"/>
    <col min="516" max="516" width="14.5" bestFit="1" customWidth="1"/>
    <col min="518" max="518" width="7.1640625" bestFit="1" customWidth="1"/>
    <col min="519" max="519" width="11" bestFit="1" customWidth="1"/>
    <col min="522" max="522" width="19.33203125" bestFit="1" customWidth="1"/>
    <col min="769" max="769" width="11.1640625" bestFit="1" customWidth="1"/>
    <col min="770" max="770" width="7.5" bestFit="1" customWidth="1"/>
    <col min="771" max="771" width="11" bestFit="1" customWidth="1"/>
    <col min="772" max="772" width="14.5" bestFit="1" customWidth="1"/>
    <col min="774" max="774" width="7.1640625" bestFit="1" customWidth="1"/>
    <col min="775" max="775" width="11" bestFit="1" customWidth="1"/>
    <col min="778" max="778" width="19.33203125" bestFit="1" customWidth="1"/>
    <col min="1025" max="1025" width="11.1640625" bestFit="1" customWidth="1"/>
    <col min="1026" max="1026" width="7.5" bestFit="1" customWidth="1"/>
    <col min="1027" max="1027" width="11" bestFit="1" customWidth="1"/>
    <col min="1028" max="1028" width="14.5" bestFit="1" customWidth="1"/>
    <col min="1030" max="1030" width="7.1640625" bestFit="1" customWidth="1"/>
    <col min="1031" max="1031" width="11" bestFit="1" customWidth="1"/>
    <col min="1034" max="1034" width="19.33203125" bestFit="1" customWidth="1"/>
    <col min="1281" max="1281" width="11.1640625" bestFit="1" customWidth="1"/>
    <col min="1282" max="1282" width="7.5" bestFit="1" customWidth="1"/>
    <col min="1283" max="1283" width="11" bestFit="1" customWidth="1"/>
    <col min="1284" max="1284" width="14.5" bestFit="1" customWidth="1"/>
    <col min="1286" max="1286" width="7.1640625" bestFit="1" customWidth="1"/>
    <col min="1287" max="1287" width="11" bestFit="1" customWidth="1"/>
    <col min="1290" max="1290" width="19.33203125" bestFit="1" customWidth="1"/>
    <col min="1537" max="1537" width="11.1640625" bestFit="1" customWidth="1"/>
    <col min="1538" max="1538" width="7.5" bestFit="1" customWidth="1"/>
    <col min="1539" max="1539" width="11" bestFit="1" customWidth="1"/>
    <col min="1540" max="1540" width="14.5" bestFit="1" customWidth="1"/>
    <col min="1542" max="1542" width="7.1640625" bestFit="1" customWidth="1"/>
    <col min="1543" max="1543" width="11" bestFit="1" customWidth="1"/>
    <col min="1546" max="1546" width="19.33203125" bestFit="1" customWidth="1"/>
    <col min="1793" max="1793" width="11.1640625" bestFit="1" customWidth="1"/>
    <col min="1794" max="1794" width="7.5" bestFit="1" customWidth="1"/>
    <col min="1795" max="1795" width="11" bestFit="1" customWidth="1"/>
    <col min="1796" max="1796" width="14.5" bestFit="1" customWidth="1"/>
    <col min="1798" max="1798" width="7.1640625" bestFit="1" customWidth="1"/>
    <col min="1799" max="1799" width="11" bestFit="1" customWidth="1"/>
    <col min="1802" max="1802" width="19.33203125" bestFit="1" customWidth="1"/>
    <col min="2049" max="2049" width="11.1640625" bestFit="1" customWidth="1"/>
    <col min="2050" max="2050" width="7.5" bestFit="1" customWidth="1"/>
    <col min="2051" max="2051" width="11" bestFit="1" customWidth="1"/>
    <col min="2052" max="2052" width="14.5" bestFit="1" customWidth="1"/>
    <col min="2054" max="2054" width="7.1640625" bestFit="1" customWidth="1"/>
    <col min="2055" max="2055" width="11" bestFit="1" customWidth="1"/>
    <col min="2058" max="2058" width="19.33203125" bestFit="1" customWidth="1"/>
    <col min="2305" max="2305" width="11.1640625" bestFit="1" customWidth="1"/>
    <col min="2306" max="2306" width="7.5" bestFit="1" customWidth="1"/>
    <col min="2307" max="2307" width="11" bestFit="1" customWidth="1"/>
    <col min="2308" max="2308" width="14.5" bestFit="1" customWidth="1"/>
    <col min="2310" max="2310" width="7.1640625" bestFit="1" customWidth="1"/>
    <col min="2311" max="2311" width="11" bestFit="1" customWidth="1"/>
    <col min="2314" max="2314" width="19.33203125" bestFit="1" customWidth="1"/>
    <col min="2561" max="2561" width="11.1640625" bestFit="1" customWidth="1"/>
    <col min="2562" max="2562" width="7.5" bestFit="1" customWidth="1"/>
    <col min="2563" max="2563" width="11" bestFit="1" customWidth="1"/>
    <col min="2564" max="2564" width="14.5" bestFit="1" customWidth="1"/>
    <col min="2566" max="2566" width="7.1640625" bestFit="1" customWidth="1"/>
    <col min="2567" max="2567" width="11" bestFit="1" customWidth="1"/>
    <col min="2570" max="2570" width="19.33203125" bestFit="1" customWidth="1"/>
    <col min="2817" max="2817" width="11.1640625" bestFit="1" customWidth="1"/>
    <col min="2818" max="2818" width="7.5" bestFit="1" customWidth="1"/>
    <col min="2819" max="2819" width="11" bestFit="1" customWidth="1"/>
    <col min="2820" max="2820" width="14.5" bestFit="1" customWidth="1"/>
    <col min="2822" max="2822" width="7.1640625" bestFit="1" customWidth="1"/>
    <col min="2823" max="2823" width="11" bestFit="1" customWidth="1"/>
    <col min="2826" max="2826" width="19.33203125" bestFit="1" customWidth="1"/>
    <col min="3073" max="3073" width="11.1640625" bestFit="1" customWidth="1"/>
    <col min="3074" max="3074" width="7.5" bestFit="1" customWidth="1"/>
    <col min="3075" max="3075" width="11" bestFit="1" customWidth="1"/>
    <col min="3076" max="3076" width="14.5" bestFit="1" customWidth="1"/>
    <col min="3078" max="3078" width="7.1640625" bestFit="1" customWidth="1"/>
    <col min="3079" max="3079" width="11" bestFit="1" customWidth="1"/>
    <col min="3082" max="3082" width="19.33203125" bestFit="1" customWidth="1"/>
    <col min="3329" max="3329" width="11.1640625" bestFit="1" customWidth="1"/>
    <col min="3330" max="3330" width="7.5" bestFit="1" customWidth="1"/>
    <col min="3331" max="3331" width="11" bestFit="1" customWidth="1"/>
    <col min="3332" max="3332" width="14.5" bestFit="1" customWidth="1"/>
    <col min="3334" max="3334" width="7.1640625" bestFit="1" customWidth="1"/>
    <col min="3335" max="3335" width="11" bestFit="1" customWidth="1"/>
    <col min="3338" max="3338" width="19.33203125" bestFit="1" customWidth="1"/>
    <col min="3585" max="3585" width="11.1640625" bestFit="1" customWidth="1"/>
    <col min="3586" max="3586" width="7.5" bestFit="1" customWidth="1"/>
    <col min="3587" max="3587" width="11" bestFit="1" customWidth="1"/>
    <col min="3588" max="3588" width="14.5" bestFit="1" customWidth="1"/>
    <col min="3590" max="3590" width="7.1640625" bestFit="1" customWidth="1"/>
    <col min="3591" max="3591" width="11" bestFit="1" customWidth="1"/>
    <col min="3594" max="3594" width="19.33203125" bestFit="1" customWidth="1"/>
    <col min="3841" max="3841" width="11.1640625" bestFit="1" customWidth="1"/>
    <col min="3842" max="3842" width="7.5" bestFit="1" customWidth="1"/>
    <col min="3843" max="3843" width="11" bestFit="1" customWidth="1"/>
    <col min="3844" max="3844" width="14.5" bestFit="1" customWidth="1"/>
    <col min="3846" max="3846" width="7.1640625" bestFit="1" customWidth="1"/>
    <col min="3847" max="3847" width="11" bestFit="1" customWidth="1"/>
    <col min="3850" max="3850" width="19.33203125" bestFit="1" customWidth="1"/>
    <col min="4097" max="4097" width="11.1640625" bestFit="1" customWidth="1"/>
    <col min="4098" max="4098" width="7.5" bestFit="1" customWidth="1"/>
    <col min="4099" max="4099" width="11" bestFit="1" customWidth="1"/>
    <col min="4100" max="4100" width="14.5" bestFit="1" customWidth="1"/>
    <col min="4102" max="4102" width="7.1640625" bestFit="1" customWidth="1"/>
    <col min="4103" max="4103" width="11" bestFit="1" customWidth="1"/>
    <col min="4106" max="4106" width="19.33203125" bestFit="1" customWidth="1"/>
    <col min="4353" max="4353" width="11.1640625" bestFit="1" customWidth="1"/>
    <col min="4354" max="4354" width="7.5" bestFit="1" customWidth="1"/>
    <col min="4355" max="4355" width="11" bestFit="1" customWidth="1"/>
    <col min="4356" max="4356" width="14.5" bestFit="1" customWidth="1"/>
    <col min="4358" max="4358" width="7.1640625" bestFit="1" customWidth="1"/>
    <col min="4359" max="4359" width="11" bestFit="1" customWidth="1"/>
    <col min="4362" max="4362" width="19.33203125" bestFit="1" customWidth="1"/>
    <col min="4609" max="4609" width="11.1640625" bestFit="1" customWidth="1"/>
    <col min="4610" max="4610" width="7.5" bestFit="1" customWidth="1"/>
    <col min="4611" max="4611" width="11" bestFit="1" customWidth="1"/>
    <col min="4612" max="4612" width="14.5" bestFit="1" customWidth="1"/>
    <col min="4614" max="4614" width="7.1640625" bestFit="1" customWidth="1"/>
    <col min="4615" max="4615" width="11" bestFit="1" customWidth="1"/>
    <col min="4618" max="4618" width="19.33203125" bestFit="1" customWidth="1"/>
    <col min="4865" max="4865" width="11.1640625" bestFit="1" customWidth="1"/>
    <col min="4866" max="4866" width="7.5" bestFit="1" customWidth="1"/>
    <col min="4867" max="4867" width="11" bestFit="1" customWidth="1"/>
    <col min="4868" max="4868" width="14.5" bestFit="1" customWidth="1"/>
    <col min="4870" max="4870" width="7.1640625" bestFit="1" customWidth="1"/>
    <col min="4871" max="4871" width="11" bestFit="1" customWidth="1"/>
    <col min="4874" max="4874" width="19.33203125" bestFit="1" customWidth="1"/>
    <col min="5121" max="5121" width="11.1640625" bestFit="1" customWidth="1"/>
    <col min="5122" max="5122" width="7.5" bestFit="1" customWidth="1"/>
    <col min="5123" max="5123" width="11" bestFit="1" customWidth="1"/>
    <col min="5124" max="5124" width="14.5" bestFit="1" customWidth="1"/>
    <col min="5126" max="5126" width="7.1640625" bestFit="1" customWidth="1"/>
    <col min="5127" max="5127" width="11" bestFit="1" customWidth="1"/>
    <col min="5130" max="5130" width="19.33203125" bestFit="1" customWidth="1"/>
    <col min="5377" max="5377" width="11.1640625" bestFit="1" customWidth="1"/>
    <col min="5378" max="5378" width="7.5" bestFit="1" customWidth="1"/>
    <col min="5379" max="5379" width="11" bestFit="1" customWidth="1"/>
    <col min="5380" max="5380" width="14.5" bestFit="1" customWidth="1"/>
    <col min="5382" max="5382" width="7.1640625" bestFit="1" customWidth="1"/>
    <col min="5383" max="5383" width="11" bestFit="1" customWidth="1"/>
    <col min="5386" max="5386" width="19.33203125" bestFit="1" customWidth="1"/>
    <col min="5633" max="5633" width="11.1640625" bestFit="1" customWidth="1"/>
    <col min="5634" max="5634" width="7.5" bestFit="1" customWidth="1"/>
    <col min="5635" max="5635" width="11" bestFit="1" customWidth="1"/>
    <col min="5636" max="5636" width="14.5" bestFit="1" customWidth="1"/>
    <col min="5638" max="5638" width="7.1640625" bestFit="1" customWidth="1"/>
    <col min="5639" max="5639" width="11" bestFit="1" customWidth="1"/>
    <col min="5642" max="5642" width="19.33203125" bestFit="1" customWidth="1"/>
    <col min="5889" max="5889" width="11.1640625" bestFit="1" customWidth="1"/>
    <col min="5890" max="5890" width="7.5" bestFit="1" customWidth="1"/>
    <col min="5891" max="5891" width="11" bestFit="1" customWidth="1"/>
    <col min="5892" max="5892" width="14.5" bestFit="1" customWidth="1"/>
    <col min="5894" max="5894" width="7.1640625" bestFit="1" customWidth="1"/>
    <col min="5895" max="5895" width="11" bestFit="1" customWidth="1"/>
    <col min="5898" max="5898" width="19.33203125" bestFit="1" customWidth="1"/>
    <col min="6145" max="6145" width="11.1640625" bestFit="1" customWidth="1"/>
    <col min="6146" max="6146" width="7.5" bestFit="1" customWidth="1"/>
    <col min="6147" max="6147" width="11" bestFit="1" customWidth="1"/>
    <col min="6148" max="6148" width="14.5" bestFit="1" customWidth="1"/>
    <col min="6150" max="6150" width="7.1640625" bestFit="1" customWidth="1"/>
    <col min="6151" max="6151" width="11" bestFit="1" customWidth="1"/>
    <col min="6154" max="6154" width="19.33203125" bestFit="1" customWidth="1"/>
    <col min="6401" max="6401" width="11.1640625" bestFit="1" customWidth="1"/>
    <col min="6402" max="6402" width="7.5" bestFit="1" customWidth="1"/>
    <col min="6403" max="6403" width="11" bestFit="1" customWidth="1"/>
    <col min="6404" max="6404" width="14.5" bestFit="1" customWidth="1"/>
    <col min="6406" max="6406" width="7.1640625" bestFit="1" customWidth="1"/>
    <col min="6407" max="6407" width="11" bestFit="1" customWidth="1"/>
    <col min="6410" max="6410" width="19.33203125" bestFit="1" customWidth="1"/>
    <col min="6657" max="6657" width="11.1640625" bestFit="1" customWidth="1"/>
    <col min="6658" max="6658" width="7.5" bestFit="1" customWidth="1"/>
    <col min="6659" max="6659" width="11" bestFit="1" customWidth="1"/>
    <col min="6660" max="6660" width="14.5" bestFit="1" customWidth="1"/>
    <col min="6662" max="6662" width="7.1640625" bestFit="1" customWidth="1"/>
    <col min="6663" max="6663" width="11" bestFit="1" customWidth="1"/>
    <col min="6666" max="6666" width="19.33203125" bestFit="1" customWidth="1"/>
    <col min="6913" max="6913" width="11.1640625" bestFit="1" customWidth="1"/>
    <col min="6914" max="6914" width="7.5" bestFit="1" customWidth="1"/>
    <col min="6915" max="6915" width="11" bestFit="1" customWidth="1"/>
    <col min="6916" max="6916" width="14.5" bestFit="1" customWidth="1"/>
    <col min="6918" max="6918" width="7.1640625" bestFit="1" customWidth="1"/>
    <col min="6919" max="6919" width="11" bestFit="1" customWidth="1"/>
    <col min="6922" max="6922" width="19.33203125" bestFit="1" customWidth="1"/>
    <col min="7169" max="7169" width="11.1640625" bestFit="1" customWidth="1"/>
    <col min="7170" max="7170" width="7.5" bestFit="1" customWidth="1"/>
    <col min="7171" max="7171" width="11" bestFit="1" customWidth="1"/>
    <col min="7172" max="7172" width="14.5" bestFit="1" customWidth="1"/>
    <col min="7174" max="7174" width="7.1640625" bestFit="1" customWidth="1"/>
    <col min="7175" max="7175" width="11" bestFit="1" customWidth="1"/>
    <col min="7178" max="7178" width="19.33203125" bestFit="1" customWidth="1"/>
    <col min="7425" max="7425" width="11.1640625" bestFit="1" customWidth="1"/>
    <col min="7426" max="7426" width="7.5" bestFit="1" customWidth="1"/>
    <col min="7427" max="7427" width="11" bestFit="1" customWidth="1"/>
    <col min="7428" max="7428" width="14.5" bestFit="1" customWidth="1"/>
    <col min="7430" max="7430" width="7.1640625" bestFit="1" customWidth="1"/>
    <col min="7431" max="7431" width="11" bestFit="1" customWidth="1"/>
    <col min="7434" max="7434" width="19.33203125" bestFit="1" customWidth="1"/>
    <col min="7681" max="7681" width="11.1640625" bestFit="1" customWidth="1"/>
    <col min="7682" max="7682" width="7.5" bestFit="1" customWidth="1"/>
    <col min="7683" max="7683" width="11" bestFit="1" customWidth="1"/>
    <col min="7684" max="7684" width="14.5" bestFit="1" customWidth="1"/>
    <col min="7686" max="7686" width="7.1640625" bestFit="1" customWidth="1"/>
    <col min="7687" max="7687" width="11" bestFit="1" customWidth="1"/>
    <col min="7690" max="7690" width="19.33203125" bestFit="1" customWidth="1"/>
    <col min="7937" max="7937" width="11.1640625" bestFit="1" customWidth="1"/>
    <col min="7938" max="7938" width="7.5" bestFit="1" customWidth="1"/>
    <col min="7939" max="7939" width="11" bestFit="1" customWidth="1"/>
    <col min="7940" max="7940" width="14.5" bestFit="1" customWidth="1"/>
    <col min="7942" max="7942" width="7.1640625" bestFit="1" customWidth="1"/>
    <col min="7943" max="7943" width="11" bestFit="1" customWidth="1"/>
    <col min="7946" max="7946" width="19.33203125" bestFit="1" customWidth="1"/>
    <col min="8193" max="8193" width="11.1640625" bestFit="1" customWidth="1"/>
    <col min="8194" max="8194" width="7.5" bestFit="1" customWidth="1"/>
    <col min="8195" max="8195" width="11" bestFit="1" customWidth="1"/>
    <col min="8196" max="8196" width="14.5" bestFit="1" customWidth="1"/>
    <col min="8198" max="8198" width="7.1640625" bestFit="1" customWidth="1"/>
    <col min="8199" max="8199" width="11" bestFit="1" customWidth="1"/>
    <col min="8202" max="8202" width="19.33203125" bestFit="1" customWidth="1"/>
    <col min="8449" max="8449" width="11.1640625" bestFit="1" customWidth="1"/>
    <col min="8450" max="8450" width="7.5" bestFit="1" customWidth="1"/>
    <col min="8451" max="8451" width="11" bestFit="1" customWidth="1"/>
    <col min="8452" max="8452" width="14.5" bestFit="1" customWidth="1"/>
    <col min="8454" max="8454" width="7.1640625" bestFit="1" customWidth="1"/>
    <col min="8455" max="8455" width="11" bestFit="1" customWidth="1"/>
    <col min="8458" max="8458" width="19.33203125" bestFit="1" customWidth="1"/>
    <col min="8705" max="8705" width="11.1640625" bestFit="1" customWidth="1"/>
    <col min="8706" max="8706" width="7.5" bestFit="1" customWidth="1"/>
    <col min="8707" max="8707" width="11" bestFit="1" customWidth="1"/>
    <col min="8708" max="8708" width="14.5" bestFit="1" customWidth="1"/>
    <col min="8710" max="8710" width="7.1640625" bestFit="1" customWidth="1"/>
    <col min="8711" max="8711" width="11" bestFit="1" customWidth="1"/>
    <col min="8714" max="8714" width="19.33203125" bestFit="1" customWidth="1"/>
    <col min="8961" max="8961" width="11.1640625" bestFit="1" customWidth="1"/>
    <col min="8962" max="8962" width="7.5" bestFit="1" customWidth="1"/>
    <col min="8963" max="8963" width="11" bestFit="1" customWidth="1"/>
    <col min="8964" max="8964" width="14.5" bestFit="1" customWidth="1"/>
    <col min="8966" max="8966" width="7.1640625" bestFit="1" customWidth="1"/>
    <col min="8967" max="8967" width="11" bestFit="1" customWidth="1"/>
    <col min="8970" max="8970" width="19.33203125" bestFit="1" customWidth="1"/>
    <col min="9217" max="9217" width="11.1640625" bestFit="1" customWidth="1"/>
    <col min="9218" max="9218" width="7.5" bestFit="1" customWidth="1"/>
    <col min="9219" max="9219" width="11" bestFit="1" customWidth="1"/>
    <col min="9220" max="9220" width="14.5" bestFit="1" customWidth="1"/>
    <col min="9222" max="9222" width="7.1640625" bestFit="1" customWidth="1"/>
    <col min="9223" max="9223" width="11" bestFit="1" customWidth="1"/>
    <col min="9226" max="9226" width="19.33203125" bestFit="1" customWidth="1"/>
    <col min="9473" max="9473" width="11.1640625" bestFit="1" customWidth="1"/>
    <col min="9474" max="9474" width="7.5" bestFit="1" customWidth="1"/>
    <col min="9475" max="9475" width="11" bestFit="1" customWidth="1"/>
    <col min="9476" max="9476" width="14.5" bestFit="1" customWidth="1"/>
    <col min="9478" max="9478" width="7.1640625" bestFit="1" customWidth="1"/>
    <col min="9479" max="9479" width="11" bestFit="1" customWidth="1"/>
    <col min="9482" max="9482" width="19.33203125" bestFit="1" customWidth="1"/>
    <col min="9729" max="9729" width="11.1640625" bestFit="1" customWidth="1"/>
    <col min="9730" max="9730" width="7.5" bestFit="1" customWidth="1"/>
    <col min="9731" max="9731" width="11" bestFit="1" customWidth="1"/>
    <col min="9732" max="9732" width="14.5" bestFit="1" customWidth="1"/>
    <col min="9734" max="9734" width="7.1640625" bestFit="1" customWidth="1"/>
    <col min="9735" max="9735" width="11" bestFit="1" customWidth="1"/>
    <col min="9738" max="9738" width="19.33203125" bestFit="1" customWidth="1"/>
    <col min="9985" max="9985" width="11.1640625" bestFit="1" customWidth="1"/>
    <col min="9986" max="9986" width="7.5" bestFit="1" customWidth="1"/>
    <col min="9987" max="9987" width="11" bestFit="1" customWidth="1"/>
    <col min="9988" max="9988" width="14.5" bestFit="1" customWidth="1"/>
    <col min="9990" max="9990" width="7.1640625" bestFit="1" customWidth="1"/>
    <col min="9991" max="9991" width="11" bestFit="1" customWidth="1"/>
    <col min="9994" max="9994" width="19.33203125" bestFit="1" customWidth="1"/>
    <col min="10241" max="10241" width="11.1640625" bestFit="1" customWidth="1"/>
    <col min="10242" max="10242" width="7.5" bestFit="1" customWidth="1"/>
    <col min="10243" max="10243" width="11" bestFit="1" customWidth="1"/>
    <col min="10244" max="10244" width="14.5" bestFit="1" customWidth="1"/>
    <col min="10246" max="10246" width="7.1640625" bestFit="1" customWidth="1"/>
    <col min="10247" max="10247" width="11" bestFit="1" customWidth="1"/>
    <col min="10250" max="10250" width="19.33203125" bestFit="1" customWidth="1"/>
    <col min="10497" max="10497" width="11.1640625" bestFit="1" customWidth="1"/>
    <col min="10498" max="10498" width="7.5" bestFit="1" customWidth="1"/>
    <col min="10499" max="10499" width="11" bestFit="1" customWidth="1"/>
    <col min="10500" max="10500" width="14.5" bestFit="1" customWidth="1"/>
    <col min="10502" max="10502" width="7.1640625" bestFit="1" customWidth="1"/>
    <col min="10503" max="10503" width="11" bestFit="1" customWidth="1"/>
    <col min="10506" max="10506" width="19.33203125" bestFit="1" customWidth="1"/>
    <col min="10753" max="10753" width="11.1640625" bestFit="1" customWidth="1"/>
    <col min="10754" max="10754" width="7.5" bestFit="1" customWidth="1"/>
    <col min="10755" max="10755" width="11" bestFit="1" customWidth="1"/>
    <col min="10756" max="10756" width="14.5" bestFit="1" customWidth="1"/>
    <col min="10758" max="10758" width="7.1640625" bestFit="1" customWidth="1"/>
    <col min="10759" max="10759" width="11" bestFit="1" customWidth="1"/>
    <col min="10762" max="10762" width="19.33203125" bestFit="1" customWidth="1"/>
    <col min="11009" max="11009" width="11.1640625" bestFit="1" customWidth="1"/>
    <col min="11010" max="11010" width="7.5" bestFit="1" customWidth="1"/>
    <col min="11011" max="11011" width="11" bestFit="1" customWidth="1"/>
    <col min="11012" max="11012" width="14.5" bestFit="1" customWidth="1"/>
    <col min="11014" max="11014" width="7.1640625" bestFit="1" customWidth="1"/>
    <col min="11015" max="11015" width="11" bestFit="1" customWidth="1"/>
    <col min="11018" max="11018" width="19.33203125" bestFit="1" customWidth="1"/>
    <col min="11265" max="11265" width="11.1640625" bestFit="1" customWidth="1"/>
    <col min="11266" max="11266" width="7.5" bestFit="1" customWidth="1"/>
    <col min="11267" max="11267" width="11" bestFit="1" customWidth="1"/>
    <col min="11268" max="11268" width="14.5" bestFit="1" customWidth="1"/>
    <col min="11270" max="11270" width="7.1640625" bestFit="1" customWidth="1"/>
    <col min="11271" max="11271" width="11" bestFit="1" customWidth="1"/>
    <col min="11274" max="11274" width="19.33203125" bestFit="1" customWidth="1"/>
    <col min="11521" max="11521" width="11.1640625" bestFit="1" customWidth="1"/>
    <col min="11522" max="11522" width="7.5" bestFit="1" customWidth="1"/>
    <col min="11523" max="11523" width="11" bestFit="1" customWidth="1"/>
    <col min="11524" max="11524" width="14.5" bestFit="1" customWidth="1"/>
    <col min="11526" max="11526" width="7.1640625" bestFit="1" customWidth="1"/>
    <col min="11527" max="11527" width="11" bestFit="1" customWidth="1"/>
    <col min="11530" max="11530" width="19.33203125" bestFit="1" customWidth="1"/>
    <col min="11777" max="11777" width="11.1640625" bestFit="1" customWidth="1"/>
    <col min="11778" max="11778" width="7.5" bestFit="1" customWidth="1"/>
    <col min="11779" max="11779" width="11" bestFit="1" customWidth="1"/>
    <col min="11780" max="11780" width="14.5" bestFit="1" customWidth="1"/>
    <col min="11782" max="11782" width="7.1640625" bestFit="1" customWidth="1"/>
    <col min="11783" max="11783" width="11" bestFit="1" customWidth="1"/>
    <col min="11786" max="11786" width="19.33203125" bestFit="1" customWidth="1"/>
    <col min="12033" max="12033" width="11.1640625" bestFit="1" customWidth="1"/>
    <col min="12034" max="12034" width="7.5" bestFit="1" customWidth="1"/>
    <col min="12035" max="12035" width="11" bestFit="1" customWidth="1"/>
    <col min="12036" max="12036" width="14.5" bestFit="1" customWidth="1"/>
    <col min="12038" max="12038" width="7.1640625" bestFit="1" customWidth="1"/>
    <col min="12039" max="12039" width="11" bestFit="1" customWidth="1"/>
    <col min="12042" max="12042" width="19.33203125" bestFit="1" customWidth="1"/>
    <col min="12289" max="12289" width="11.1640625" bestFit="1" customWidth="1"/>
    <col min="12290" max="12290" width="7.5" bestFit="1" customWidth="1"/>
    <col min="12291" max="12291" width="11" bestFit="1" customWidth="1"/>
    <col min="12292" max="12292" width="14.5" bestFit="1" customWidth="1"/>
    <col min="12294" max="12294" width="7.1640625" bestFit="1" customWidth="1"/>
    <col min="12295" max="12295" width="11" bestFit="1" customWidth="1"/>
    <col min="12298" max="12298" width="19.33203125" bestFit="1" customWidth="1"/>
    <col min="12545" max="12545" width="11.1640625" bestFit="1" customWidth="1"/>
    <col min="12546" max="12546" width="7.5" bestFit="1" customWidth="1"/>
    <col min="12547" max="12547" width="11" bestFit="1" customWidth="1"/>
    <col min="12548" max="12548" width="14.5" bestFit="1" customWidth="1"/>
    <col min="12550" max="12550" width="7.1640625" bestFit="1" customWidth="1"/>
    <col min="12551" max="12551" width="11" bestFit="1" customWidth="1"/>
    <col min="12554" max="12554" width="19.33203125" bestFit="1" customWidth="1"/>
    <col min="12801" max="12801" width="11.1640625" bestFit="1" customWidth="1"/>
    <col min="12802" max="12802" width="7.5" bestFit="1" customWidth="1"/>
    <col min="12803" max="12803" width="11" bestFit="1" customWidth="1"/>
    <col min="12804" max="12804" width="14.5" bestFit="1" customWidth="1"/>
    <col min="12806" max="12806" width="7.1640625" bestFit="1" customWidth="1"/>
    <col min="12807" max="12807" width="11" bestFit="1" customWidth="1"/>
    <col min="12810" max="12810" width="19.33203125" bestFit="1" customWidth="1"/>
    <col min="13057" max="13057" width="11.1640625" bestFit="1" customWidth="1"/>
    <col min="13058" max="13058" width="7.5" bestFit="1" customWidth="1"/>
    <col min="13059" max="13059" width="11" bestFit="1" customWidth="1"/>
    <col min="13060" max="13060" width="14.5" bestFit="1" customWidth="1"/>
    <col min="13062" max="13062" width="7.1640625" bestFit="1" customWidth="1"/>
    <col min="13063" max="13063" width="11" bestFit="1" customWidth="1"/>
    <col min="13066" max="13066" width="19.33203125" bestFit="1" customWidth="1"/>
    <col min="13313" max="13313" width="11.1640625" bestFit="1" customWidth="1"/>
    <col min="13314" max="13314" width="7.5" bestFit="1" customWidth="1"/>
    <col min="13315" max="13315" width="11" bestFit="1" customWidth="1"/>
    <col min="13316" max="13316" width="14.5" bestFit="1" customWidth="1"/>
    <col min="13318" max="13318" width="7.1640625" bestFit="1" customWidth="1"/>
    <col min="13319" max="13319" width="11" bestFit="1" customWidth="1"/>
    <col min="13322" max="13322" width="19.33203125" bestFit="1" customWidth="1"/>
    <col min="13569" max="13569" width="11.1640625" bestFit="1" customWidth="1"/>
    <col min="13570" max="13570" width="7.5" bestFit="1" customWidth="1"/>
    <col min="13571" max="13571" width="11" bestFit="1" customWidth="1"/>
    <col min="13572" max="13572" width="14.5" bestFit="1" customWidth="1"/>
    <col min="13574" max="13574" width="7.1640625" bestFit="1" customWidth="1"/>
    <col min="13575" max="13575" width="11" bestFit="1" customWidth="1"/>
    <col min="13578" max="13578" width="19.33203125" bestFit="1" customWidth="1"/>
    <col min="13825" max="13825" width="11.1640625" bestFit="1" customWidth="1"/>
    <col min="13826" max="13826" width="7.5" bestFit="1" customWidth="1"/>
    <col min="13827" max="13827" width="11" bestFit="1" customWidth="1"/>
    <col min="13828" max="13828" width="14.5" bestFit="1" customWidth="1"/>
    <col min="13830" max="13830" width="7.1640625" bestFit="1" customWidth="1"/>
    <col min="13831" max="13831" width="11" bestFit="1" customWidth="1"/>
    <col min="13834" max="13834" width="19.33203125" bestFit="1" customWidth="1"/>
    <col min="14081" max="14081" width="11.1640625" bestFit="1" customWidth="1"/>
    <col min="14082" max="14082" width="7.5" bestFit="1" customWidth="1"/>
    <col min="14083" max="14083" width="11" bestFit="1" customWidth="1"/>
    <col min="14084" max="14084" width="14.5" bestFit="1" customWidth="1"/>
    <col min="14086" max="14086" width="7.1640625" bestFit="1" customWidth="1"/>
    <col min="14087" max="14087" width="11" bestFit="1" customWidth="1"/>
    <col min="14090" max="14090" width="19.33203125" bestFit="1" customWidth="1"/>
    <col min="14337" max="14337" width="11.1640625" bestFit="1" customWidth="1"/>
    <col min="14338" max="14338" width="7.5" bestFit="1" customWidth="1"/>
    <col min="14339" max="14339" width="11" bestFit="1" customWidth="1"/>
    <col min="14340" max="14340" width="14.5" bestFit="1" customWidth="1"/>
    <col min="14342" max="14342" width="7.1640625" bestFit="1" customWidth="1"/>
    <col min="14343" max="14343" width="11" bestFit="1" customWidth="1"/>
    <col min="14346" max="14346" width="19.33203125" bestFit="1" customWidth="1"/>
    <col min="14593" max="14593" width="11.1640625" bestFit="1" customWidth="1"/>
    <col min="14594" max="14594" width="7.5" bestFit="1" customWidth="1"/>
    <col min="14595" max="14595" width="11" bestFit="1" customWidth="1"/>
    <col min="14596" max="14596" width="14.5" bestFit="1" customWidth="1"/>
    <col min="14598" max="14598" width="7.1640625" bestFit="1" customWidth="1"/>
    <col min="14599" max="14599" width="11" bestFit="1" customWidth="1"/>
    <col min="14602" max="14602" width="19.33203125" bestFit="1" customWidth="1"/>
    <col min="14849" max="14849" width="11.1640625" bestFit="1" customWidth="1"/>
    <col min="14850" max="14850" width="7.5" bestFit="1" customWidth="1"/>
    <col min="14851" max="14851" width="11" bestFit="1" customWidth="1"/>
    <col min="14852" max="14852" width="14.5" bestFit="1" customWidth="1"/>
    <col min="14854" max="14854" width="7.1640625" bestFit="1" customWidth="1"/>
    <col min="14855" max="14855" width="11" bestFit="1" customWidth="1"/>
    <col min="14858" max="14858" width="19.33203125" bestFit="1" customWidth="1"/>
    <col min="15105" max="15105" width="11.1640625" bestFit="1" customWidth="1"/>
    <col min="15106" max="15106" width="7.5" bestFit="1" customWidth="1"/>
    <col min="15107" max="15107" width="11" bestFit="1" customWidth="1"/>
    <col min="15108" max="15108" width="14.5" bestFit="1" customWidth="1"/>
    <col min="15110" max="15110" width="7.1640625" bestFit="1" customWidth="1"/>
    <col min="15111" max="15111" width="11" bestFit="1" customWidth="1"/>
    <col min="15114" max="15114" width="19.33203125" bestFit="1" customWidth="1"/>
    <col min="15361" max="15361" width="11.1640625" bestFit="1" customWidth="1"/>
    <col min="15362" max="15362" width="7.5" bestFit="1" customWidth="1"/>
    <col min="15363" max="15363" width="11" bestFit="1" customWidth="1"/>
    <col min="15364" max="15364" width="14.5" bestFit="1" customWidth="1"/>
    <col min="15366" max="15366" width="7.1640625" bestFit="1" customWidth="1"/>
    <col min="15367" max="15367" width="11" bestFit="1" customWidth="1"/>
    <col min="15370" max="15370" width="19.33203125" bestFit="1" customWidth="1"/>
    <col min="15617" max="15617" width="11.1640625" bestFit="1" customWidth="1"/>
    <col min="15618" max="15618" width="7.5" bestFit="1" customWidth="1"/>
    <col min="15619" max="15619" width="11" bestFit="1" customWidth="1"/>
    <col min="15620" max="15620" width="14.5" bestFit="1" customWidth="1"/>
    <col min="15622" max="15622" width="7.1640625" bestFit="1" customWidth="1"/>
    <col min="15623" max="15623" width="11" bestFit="1" customWidth="1"/>
    <col min="15626" max="15626" width="19.33203125" bestFit="1" customWidth="1"/>
    <col min="15873" max="15873" width="11.1640625" bestFit="1" customWidth="1"/>
    <col min="15874" max="15874" width="7.5" bestFit="1" customWidth="1"/>
    <col min="15875" max="15875" width="11" bestFit="1" customWidth="1"/>
    <col min="15876" max="15876" width="14.5" bestFit="1" customWidth="1"/>
    <col min="15878" max="15878" width="7.1640625" bestFit="1" customWidth="1"/>
    <col min="15879" max="15879" width="11" bestFit="1" customWidth="1"/>
    <col min="15882" max="15882" width="19.33203125" bestFit="1" customWidth="1"/>
    <col min="16129" max="16129" width="11.1640625" bestFit="1" customWidth="1"/>
    <col min="16130" max="16130" width="7.5" bestFit="1" customWidth="1"/>
    <col min="16131" max="16131" width="11" bestFit="1" customWidth="1"/>
    <col min="16132" max="16132" width="14.5" bestFit="1" customWidth="1"/>
    <col min="16134" max="16134" width="7.1640625" bestFit="1" customWidth="1"/>
    <col min="16135" max="16135" width="11" bestFit="1" customWidth="1"/>
    <col min="16138" max="16138" width="19.33203125" bestFit="1" customWidth="1"/>
  </cols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64.41</v>
      </c>
      <c r="C2" s="10">
        <v>0.48</v>
      </c>
      <c r="D2" s="10">
        <v>11937</v>
      </c>
      <c r="E2" s="10">
        <v>1726</v>
      </c>
      <c r="F2" s="10">
        <v>1143</v>
      </c>
      <c r="G2" s="10">
        <v>14.46</v>
      </c>
      <c r="H2" s="10">
        <v>9.56</v>
      </c>
      <c r="I2" s="10">
        <v>51.47</v>
      </c>
      <c r="J2" s="10">
        <v>380</v>
      </c>
      <c r="K2">
        <f t="shared" ref="K2:K39" si="0">(C3-C2)/C2</f>
        <v>8.3333333333333412E-2</v>
      </c>
    </row>
    <row r="3" spans="1:11">
      <c r="A3" s="10" t="s">
        <v>79</v>
      </c>
      <c r="B3" s="10">
        <v>70.430000000000007</v>
      </c>
      <c r="C3" s="10">
        <v>0.52</v>
      </c>
      <c r="D3" s="10">
        <v>16827</v>
      </c>
      <c r="E3" s="10">
        <v>2754</v>
      </c>
      <c r="F3" s="10">
        <v>1885</v>
      </c>
      <c r="G3" s="10">
        <v>16.37</v>
      </c>
      <c r="H3" s="10">
        <v>11.19</v>
      </c>
      <c r="I3" s="10">
        <v>49.75</v>
      </c>
      <c r="J3" s="10">
        <v>1973</v>
      </c>
      <c r="K3">
        <f t="shared" si="0"/>
        <v>0</v>
      </c>
    </row>
    <row r="4" spans="1:11">
      <c r="A4" s="10" t="s">
        <v>181</v>
      </c>
      <c r="B4" s="10">
        <v>61.9</v>
      </c>
      <c r="C4" s="10">
        <v>0.52</v>
      </c>
      <c r="D4" s="10">
        <v>17582</v>
      </c>
      <c r="E4" s="10">
        <v>2906</v>
      </c>
      <c r="F4" s="10">
        <v>2000</v>
      </c>
      <c r="G4" s="10">
        <v>16.53</v>
      </c>
      <c r="H4" s="10">
        <v>11.37</v>
      </c>
      <c r="I4" s="10">
        <v>49.87</v>
      </c>
      <c r="J4" s="10">
        <v>3481</v>
      </c>
      <c r="K4">
        <f t="shared" si="0"/>
        <v>0</v>
      </c>
    </row>
    <row r="5" spans="1:11">
      <c r="A5" s="10" t="s">
        <v>217</v>
      </c>
      <c r="B5" s="10">
        <v>66.349999999999994</v>
      </c>
      <c r="C5" s="10">
        <v>0.52</v>
      </c>
      <c r="D5" s="10">
        <v>20158</v>
      </c>
      <c r="E5" s="10">
        <v>2247</v>
      </c>
      <c r="F5" s="10">
        <v>1415</v>
      </c>
      <c r="G5" s="10">
        <v>11.15</v>
      </c>
      <c r="H5" s="10">
        <v>7.01</v>
      </c>
      <c r="I5" s="10">
        <v>49.87</v>
      </c>
      <c r="J5" s="10">
        <v>3110</v>
      </c>
      <c r="K5">
        <f t="shared" si="0"/>
        <v>0</v>
      </c>
    </row>
    <row r="6" spans="1:11">
      <c r="A6" s="10" t="s">
        <v>162</v>
      </c>
      <c r="B6" s="10">
        <v>66.349999999999994</v>
      </c>
      <c r="C6" s="10">
        <v>0.52</v>
      </c>
      <c r="D6" s="10">
        <v>12428</v>
      </c>
      <c r="E6" s="10">
        <v>1722</v>
      </c>
      <c r="F6" s="10">
        <v>1127</v>
      </c>
      <c r="G6" s="10">
        <v>13.86</v>
      </c>
      <c r="H6" s="10">
        <v>9.06</v>
      </c>
      <c r="I6" s="10">
        <v>50.25</v>
      </c>
      <c r="J6" s="10">
        <v>-690</v>
      </c>
      <c r="K6">
        <f t="shared" si="0"/>
        <v>3.8461538461538491E-2</v>
      </c>
    </row>
    <row r="7" spans="1:11">
      <c r="A7" s="10" t="s">
        <v>64</v>
      </c>
      <c r="B7" s="10">
        <v>70.66</v>
      </c>
      <c r="C7" s="10">
        <v>0.54</v>
      </c>
      <c r="D7" s="10">
        <v>16458</v>
      </c>
      <c r="E7" s="10">
        <v>2377</v>
      </c>
      <c r="F7" s="10">
        <v>1488</v>
      </c>
      <c r="G7" s="10">
        <v>14.44</v>
      </c>
      <c r="H7" s="10">
        <v>9.02</v>
      </c>
      <c r="I7" s="10">
        <v>51.12</v>
      </c>
      <c r="J7" s="10">
        <v>1937</v>
      </c>
      <c r="K7">
        <f t="shared" si="0"/>
        <v>0</v>
      </c>
    </row>
    <row r="8" spans="1:11">
      <c r="A8" s="10" t="s">
        <v>226</v>
      </c>
      <c r="B8" s="10">
        <v>70.77</v>
      </c>
      <c r="C8" s="10">
        <v>0.54</v>
      </c>
      <c r="D8" s="10">
        <v>16652</v>
      </c>
      <c r="E8" s="10">
        <v>2800</v>
      </c>
      <c r="F8" s="10">
        <v>1902</v>
      </c>
      <c r="G8" s="10">
        <v>16.809999999999999</v>
      </c>
      <c r="H8" s="10">
        <v>11.42</v>
      </c>
      <c r="I8" s="10">
        <v>54.95</v>
      </c>
      <c r="J8" s="10">
        <v>3871</v>
      </c>
      <c r="K8">
        <f t="shared" si="0"/>
        <v>0</v>
      </c>
    </row>
    <row r="9" spans="1:11">
      <c r="A9" s="10" t="s">
        <v>247</v>
      </c>
      <c r="B9" s="10">
        <v>68.430000000000007</v>
      </c>
      <c r="C9" s="10">
        <v>0.54</v>
      </c>
      <c r="D9" s="10">
        <v>19954</v>
      </c>
      <c r="E9" s="10">
        <v>2213</v>
      </c>
      <c r="F9" s="10">
        <v>1661</v>
      </c>
      <c r="G9" s="10">
        <v>11.09</v>
      </c>
      <c r="H9" s="10">
        <v>8.31</v>
      </c>
      <c r="I9" s="10">
        <v>54.27</v>
      </c>
      <c r="J9" s="10">
        <v>3361</v>
      </c>
      <c r="K9">
        <f t="shared" si="0"/>
        <v>0</v>
      </c>
    </row>
    <row r="10" spans="1:11">
      <c r="A10" s="10" t="s">
        <v>19</v>
      </c>
      <c r="B10" s="10">
        <v>79.11</v>
      </c>
      <c r="C10" s="10">
        <v>0.54</v>
      </c>
      <c r="D10" s="10">
        <v>12581</v>
      </c>
      <c r="E10" s="10">
        <v>1658</v>
      </c>
      <c r="F10" s="10">
        <v>1075</v>
      </c>
      <c r="G10" s="10">
        <v>13.18</v>
      </c>
      <c r="H10" s="10">
        <v>8.5299999999999994</v>
      </c>
      <c r="I10" s="10">
        <v>54.27</v>
      </c>
      <c r="J10" s="10">
        <v>702</v>
      </c>
      <c r="K10">
        <f t="shared" si="0"/>
        <v>5.5555555555555393E-2</v>
      </c>
    </row>
    <row r="11" spans="1:11">
      <c r="A11" s="10" t="s">
        <v>192</v>
      </c>
      <c r="B11" s="10">
        <v>81.790000000000006</v>
      </c>
      <c r="C11" s="10">
        <v>0.56999999999999995</v>
      </c>
      <c r="D11" s="10">
        <v>16807</v>
      </c>
      <c r="E11" s="10">
        <v>2869</v>
      </c>
      <c r="F11" s="10">
        <v>2010</v>
      </c>
      <c r="G11" s="10">
        <v>17.07</v>
      </c>
      <c r="H11" s="10">
        <v>11.94</v>
      </c>
      <c r="I11" s="10">
        <v>55.13</v>
      </c>
      <c r="J11" s="10">
        <v>2313</v>
      </c>
      <c r="K11">
        <f t="shared" si="0"/>
        <v>0</v>
      </c>
    </row>
    <row r="12" spans="1:11">
      <c r="A12" s="10" t="s">
        <v>160</v>
      </c>
      <c r="B12" s="10">
        <v>79.5</v>
      </c>
      <c r="C12" s="10">
        <v>0.56999999999999995</v>
      </c>
      <c r="D12" s="10">
        <v>16909</v>
      </c>
      <c r="E12" s="10">
        <v>2780</v>
      </c>
      <c r="F12" s="10">
        <v>1913</v>
      </c>
      <c r="G12" s="10">
        <v>16.440000000000001</v>
      </c>
      <c r="H12" s="10">
        <v>11.31</v>
      </c>
      <c r="I12" s="10">
        <v>51.42</v>
      </c>
      <c r="J12" s="10">
        <v>3647</v>
      </c>
      <c r="K12">
        <f t="shared" si="0"/>
        <v>0</v>
      </c>
    </row>
    <row r="13" spans="1:11">
      <c r="A13" s="10" t="s">
        <v>168</v>
      </c>
      <c r="B13" s="10">
        <v>82.94</v>
      </c>
      <c r="C13" s="10">
        <v>0.56999999999999995</v>
      </c>
      <c r="D13" s="10">
        <v>20118</v>
      </c>
      <c r="E13" s="10">
        <v>2398</v>
      </c>
      <c r="F13" s="10">
        <v>1742</v>
      </c>
      <c r="G13" s="10">
        <v>11.92</v>
      </c>
      <c r="H13" s="10">
        <v>8.64</v>
      </c>
      <c r="I13" s="10">
        <v>51.88</v>
      </c>
      <c r="J13" s="10">
        <v>3026</v>
      </c>
      <c r="K13">
        <f t="shared" si="0"/>
        <v>0</v>
      </c>
    </row>
    <row r="14" spans="1:11">
      <c r="A14" s="10" t="s">
        <v>63</v>
      </c>
      <c r="B14" s="10">
        <v>83.5</v>
      </c>
      <c r="C14" s="10">
        <v>0.56999999999999995</v>
      </c>
      <c r="D14" s="10">
        <v>12623</v>
      </c>
      <c r="E14" s="10">
        <v>1807</v>
      </c>
      <c r="F14" s="10">
        <v>1216</v>
      </c>
      <c r="G14" s="10">
        <v>14.32</v>
      </c>
      <c r="H14" s="10">
        <v>9.6300000000000008</v>
      </c>
      <c r="I14" s="10">
        <v>51.85</v>
      </c>
      <c r="J14" s="10">
        <v>181</v>
      </c>
      <c r="K14">
        <f t="shared" si="0"/>
        <v>0.15789473684210542</v>
      </c>
    </row>
    <row r="15" spans="1:11">
      <c r="A15" s="10" t="s">
        <v>14</v>
      </c>
      <c r="B15" s="10">
        <v>89.34</v>
      </c>
      <c r="C15" s="10">
        <v>0.66</v>
      </c>
      <c r="D15" s="10">
        <v>16894</v>
      </c>
      <c r="E15" s="10">
        <v>2896</v>
      </c>
      <c r="F15" s="10">
        <v>1978</v>
      </c>
      <c r="G15" s="10">
        <v>17.14</v>
      </c>
      <c r="H15" s="10">
        <v>11.7</v>
      </c>
      <c r="I15" s="10">
        <v>51.36</v>
      </c>
      <c r="J15" s="10">
        <v>2491</v>
      </c>
      <c r="K15">
        <f t="shared" si="0"/>
        <v>0</v>
      </c>
    </row>
    <row r="16" spans="1:11">
      <c r="A16" s="10" t="s">
        <v>288</v>
      </c>
      <c r="B16" s="10">
        <v>93.09</v>
      </c>
      <c r="C16" s="10">
        <v>0.66</v>
      </c>
      <c r="D16" s="10">
        <v>17218</v>
      </c>
      <c r="E16" s="10">
        <v>2847</v>
      </c>
      <c r="F16" s="10">
        <v>2008</v>
      </c>
      <c r="G16" s="10">
        <v>16.54</v>
      </c>
      <c r="H16" s="10">
        <v>11.64</v>
      </c>
      <c r="I16" s="10">
        <v>53.22</v>
      </c>
      <c r="J16" s="10">
        <v>4021</v>
      </c>
      <c r="K16">
        <f t="shared" si="0"/>
        <v>0</v>
      </c>
    </row>
    <row r="17" spans="1:11">
      <c r="A17" s="10" t="s">
        <v>133</v>
      </c>
      <c r="B17" s="10">
        <v>94.56</v>
      </c>
      <c r="C17" s="10">
        <v>0.66</v>
      </c>
      <c r="D17" s="10">
        <v>19948</v>
      </c>
      <c r="E17" s="10">
        <v>2031</v>
      </c>
      <c r="F17" s="10">
        <v>1311</v>
      </c>
      <c r="G17" s="10">
        <v>10.18</v>
      </c>
      <c r="H17" s="10">
        <v>6.55</v>
      </c>
      <c r="I17" s="10">
        <v>54.09</v>
      </c>
      <c r="J17" s="10">
        <v>3813</v>
      </c>
      <c r="K17">
        <f t="shared" si="0"/>
        <v>0</v>
      </c>
    </row>
    <row r="18" spans="1:11">
      <c r="A18" s="10" t="s">
        <v>36</v>
      </c>
      <c r="B18" s="10">
        <v>95.62</v>
      </c>
      <c r="C18" s="10">
        <v>0.66</v>
      </c>
      <c r="D18" s="10">
        <v>12217</v>
      </c>
      <c r="E18" s="10">
        <v>1797</v>
      </c>
      <c r="F18" s="10">
        <v>1221</v>
      </c>
      <c r="G18" s="10">
        <v>14.71</v>
      </c>
      <c r="H18" s="10">
        <v>9.99</v>
      </c>
      <c r="I18" s="10">
        <v>59.31</v>
      </c>
      <c r="J18" s="10">
        <v>270</v>
      </c>
      <c r="K18">
        <f t="shared" si="0"/>
        <v>6.060606060606049E-2</v>
      </c>
    </row>
    <row r="19" spans="1:11">
      <c r="A19" s="10" t="s">
        <v>190</v>
      </c>
      <c r="B19" s="10">
        <v>93.34</v>
      </c>
      <c r="C19" s="10">
        <v>0.7</v>
      </c>
      <c r="D19" s="10">
        <v>15923</v>
      </c>
      <c r="E19" s="10">
        <v>2900</v>
      </c>
      <c r="F19" s="10">
        <v>1980</v>
      </c>
      <c r="G19" s="10">
        <v>18.21</v>
      </c>
      <c r="H19" s="10">
        <v>12.43</v>
      </c>
      <c r="I19" s="10">
        <v>61.07</v>
      </c>
      <c r="J19" s="10">
        <v>2491</v>
      </c>
      <c r="K19">
        <f t="shared" si="0"/>
        <v>0</v>
      </c>
    </row>
    <row r="20" spans="1:11">
      <c r="A20" s="10" t="s">
        <v>256</v>
      </c>
      <c r="B20" s="10">
        <v>94.3</v>
      </c>
      <c r="C20" s="10">
        <v>0.7</v>
      </c>
      <c r="D20" s="10">
        <v>16331</v>
      </c>
      <c r="E20" s="10">
        <v>2775</v>
      </c>
      <c r="F20" s="10">
        <v>533</v>
      </c>
      <c r="G20" s="10">
        <v>16.989999999999998</v>
      </c>
      <c r="H20" s="10">
        <v>3.25</v>
      </c>
      <c r="I20" s="10">
        <v>61.61</v>
      </c>
      <c r="J20" s="10">
        <v>4014</v>
      </c>
      <c r="K20">
        <f t="shared" si="0"/>
        <v>0</v>
      </c>
    </row>
    <row r="21" spans="1:11">
      <c r="A21" s="10" t="s">
        <v>203</v>
      </c>
      <c r="B21" s="10">
        <v>99.92</v>
      </c>
      <c r="C21" s="10">
        <v>0.7</v>
      </c>
      <c r="D21" s="10">
        <v>18585</v>
      </c>
      <c r="E21" s="10">
        <v>2240</v>
      </c>
      <c r="F21" s="10">
        <v>1718</v>
      </c>
      <c r="G21" s="10">
        <v>12.05</v>
      </c>
      <c r="H21" s="10">
        <v>9.23</v>
      </c>
      <c r="I21" s="10">
        <v>80.56</v>
      </c>
      <c r="J21" s="10">
        <v>3805</v>
      </c>
      <c r="K21">
        <f t="shared" si="0"/>
        <v>0</v>
      </c>
    </row>
    <row r="22" spans="1:11">
      <c r="A22" s="10" t="s">
        <v>89</v>
      </c>
      <c r="B22" s="10">
        <v>102.48</v>
      </c>
      <c r="C22" s="10">
        <v>0.7</v>
      </c>
      <c r="D22" s="10">
        <v>11862</v>
      </c>
      <c r="E22" s="10">
        <v>1619</v>
      </c>
      <c r="F22" s="10">
        <v>931</v>
      </c>
      <c r="G22" s="10">
        <v>13.65</v>
      </c>
      <c r="H22" s="10">
        <v>7.84</v>
      </c>
      <c r="I22" s="10">
        <v>75.27</v>
      </c>
      <c r="J22" s="10">
        <v>131</v>
      </c>
      <c r="K22">
        <f t="shared" si="0"/>
        <v>7.1428571428571494E-2</v>
      </c>
    </row>
    <row r="23" spans="1:11">
      <c r="A23" s="10" t="s">
        <v>127</v>
      </c>
      <c r="B23" s="10">
        <v>105.94</v>
      </c>
      <c r="C23" s="10">
        <v>0.75</v>
      </c>
      <c r="D23" s="10">
        <v>15395</v>
      </c>
      <c r="E23" s="10">
        <v>2964</v>
      </c>
      <c r="F23" s="10">
        <v>2005</v>
      </c>
      <c r="G23" s="10">
        <v>19.25</v>
      </c>
      <c r="H23" s="10">
        <v>13.02</v>
      </c>
      <c r="I23" s="10">
        <v>80.290000000000006</v>
      </c>
      <c r="J23" s="10">
        <v>2790</v>
      </c>
      <c r="K23">
        <f t="shared" si="0"/>
        <v>0</v>
      </c>
    </row>
    <row r="24" spans="1:11">
      <c r="A24" s="10" t="s">
        <v>88</v>
      </c>
      <c r="B24" s="10">
        <v>108.77</v>
      </c>
      <c r="C24" s="10">
        <v>0.75</v>
      </c>
      <c r="D24" s="10">
        <v>16027</v>
      </c>
      <c r="E24" s="10">
        <v>2821</v>
      </c>
      <c r="F24" s="10">
        <v>1992</v>
      </c>
      <c r="G24" s="10">
        <v>17.600000000000001</v>
      </c>
      <c r="H24" s="10">
        <v>12.42</v>
      </c>
      <c r="I24" s="10">
        <v>63.82</v>
      </c>
      <c r="J24" s="10">
        <v>3674</v>
      </c>
      <c r="K24">
        <f t="shared" si="0"/>
        <v>0</v>
      </c>
    </row>
    <row r="25" spans="1:11">
      <c r="A25" s="10" t="s">
        <v>24</v>
      </c>
      <c r="B25" s="10">
        <v>104.63</v>
      </c>
      <c r="C25" s="10">
        <v>0.75</v>
      </c>
      <c r="D25" s="10">
        <v>19515</v>
      </c>
      <c r="E25" s="10">
        <v>2381</v>
      </c>
      <c r="F25" s="10">
        <v>1401</v>
      </c>
      <c r="G25" s="10">
        <v>12.2</v>
      </c>
      <c r="H25" s="10">
        <v>7.16</v>
      </c>
      <c r="I25" s="10">
        <v>63.82</v>
      </c>
      <c r="J25" s="10">
        <v>3809</v>
      </c>
      <c r="K25">
        <f t="shared" si="0"/>
        <v>0</v>
      </c>
    </row>
    <row r="26" spans="1:11">
      <c r="A26" s="10" t="s">
        <v>55</v>
      </c>
      <c r="B26" s="10">
        <v>111.86</v>
      </c>
      <c r="C26" s="10">
        <v>0.75</v>
      </c>
      <c r="D26" s="10">
        <v>12049</v>
      </c>
      <c r="E26" s="10">
        <v>1933</v>
      </c>
      <c r="F26" s="10">
        <v>1318</v>
      </c>
      <c r="G26" s="10">
        <v>16.04</v>
      </c>
      <c r="H26" s="10">
        <v>10.92</v>
      </c>
      <c r="I26" s="10">
        <v>67.89</v>
      </c>
      <c r="J26" s="10">
        <v>-199</v>
      </c>
      <c r="K26">
        <f t="shared" si="0"/>
        <v>8.0000000000000071E-2</v>
      </c>
    </row>
    <row r="27" spans="1:11">
      <c r="A27" s="10" t="s">
        <v>183</v>
      </c>
      <c r="B27" s="10">
        <v>115.49</v>
      </c>
      <c r="C27" s="10">
        <v>0.81</v>
      </c>
      <c r="D27" s="10">
        <v>15710</v>
      </c>
      <c r="E27" s="10">
        <v>2990</v>
      </c>
      <c r="F27" s="10">
        <v>2105</v>
      </c>
      <c r="G27" s="10">
        <v>19.03</v>
      </c>
      <c r="H27" s="10">
        <v>13.4</v>
      </c>
      <c r="I27" s="10">
        <v>65.010000000000005</v>
      </c>
      <c r="J27" s="10">
        <v>2440</v>
      </c>
      <c r="K27">
        <f t="shared" si="0"/>
        <v>0</v>
      </c>
    </row>
    <row r="28" spans="1:11">
      <c r="A28" s="10" t="s">
        <v>34</v>
      </c>
      <c r="B28" s="10">
        <v>111.43</v>
      </c>
      <c r="C28" s="10">
        <v>0.81</v>
      </c>
      <c r="D28" s="10">
        <v>16240</v>
      </c>
      <c r="E28" s="10">
        <v>2993</v>
      </c>
      <c r="F28" s="10">
        <v>2144</v>
      </c>
      <c r="G28" s="10">
        <v>18.43</v>
      </c>
      <c r="H28" s="10">
        <v>13.2</v>
      </c>
      <c r="I28" s="10">
        <v>64.75</v>
      </c>
      <c r="J28" s="10">
        <v>3821</v>
      </c>
      <c r="K28">
        <f t="shared" si="0"/>
        <v>0</v>
      </c>
    </row>
    <row r="29" spans="1:11">
      <c r="A29" s="10" t="s">
        <v>173</v>
      </c>
      <c r="B29" s="10">
        <v>119.92</v>
      </c>
      <c r="C29" s="10">
        <v>0.81</v>
      </c>
      <c r="D29" s="10">
        <v>19526</v>
      </c>
      <c r="E29" s="10">
        <v>2593</v>
      </c>
      <c r="F29" s="10">
        <v>-710</v>
      </c>
      <c r="G29" s="10">
        <v>13.28</v>
      </c>
      <c r="H29" s="10">
        <v>-3.64</v>
      </c>
      <c r="I29" s="10">
        <v>64.36</v>
      </c>
      <c r="J29" s="10">
        <v>3932</v>
      </c>
      <c r="K29">
        <f t="shared" si="0"/>
        <v>0</v>
      </c>
    </row>
    <row r="30" spans="1:11">
      <c r="A30" s="10" t="s">
        <v>282</v>
      </c>
      <c r="B30" s="10">
        <v>109.15</v>
      </c>
      <c r="C30" s="10">
        <v>0.81</v>
      </c>
      <c r="D30" s="10">
        <v>12562</v>
      </c>
      <c r="E30" s="10">
        <v>1807</v>
      </c>
      <c r="F30" s="10">
        <v>1343</v>
      </c>
      <c r="G30" s="10">
        <v>14.38</v>
      </c>
      <c r="H30" s="10">
        <v>10.68</v>
      </c>
      <c r="I30" s="10">
        <v>93.71</v>
      </c>
      <c r="J30" s="10">
        <v>-1309</v>
      </c>
      <c r="K30">
        <f t="shared" si="0"/>
        <v>0.14814814814814814</v>
      </c>
    </row>
    <row r="31" spans="1:11">
      <c r="A31" s="10" t="s">
        <v>110</v>
      </c>
      <c r="B31" s="10">
        <v>108.87</v>
      </c>
      <c r="C31" s="10">
        <v>0.93</v>
      </c>
      <c r="D31" s="10">
        <v>16090</v>
      </c>
      <c r="E31" s="10">
        <v>3028</v>
      </c>
      <c r="F31" s="10">
        <v>1820</v>
      </c>
      <c r="G31" s="10">
        <v>18.82</v>
      </c>
      <c r="H31" s="10">
        <v>11.31</v>
      </c>
      <c r="I31" s="10">
        <v>94.43</v>
      </c>
      <c r="J31" s="10">
        <v>2396</v>
      </c>
      <c r="K31">
        <f t="shared" si="0"/>
        <v>0</v>
      </c>
    </row>
    <row r="32" spans="1:11">
      <c r="A32" s="10" t="s">
        <v>52</v>
      </c>
      <c r="B32" s="10">
        <v>111.8</v>
      </c>
      <c r="C32" s="10">
        <v>0.93</v>
      </c>
      <c r="D32" s="10">
        <v>16485</v>
      </c>
      <c r="E32" s="10">
        <v>2844</v>
      </c>
      <c r="F32" s="10">
        <v>2498</v>
      </c>
      <c r="G32" s="10">
        <v>17.25</v>
      </c>
      <c r="H32" s="10">
        <v>15.15</v>
      </c>
      <c r="I32" s="10">
        <v>104.13</v>
      </c>
      <c r="J32" s="10">
        <v>3645</v>
      </c>
      <c r="K32">
        <f t="shared" si="0"/>
        <v>0</v>
      </c>
    </row>
    <row r="33" spans="1:11">
      <c r="A33" s="10" t="s">
        <v>107</v>
      </c>
      <c r="B33" s="10">
        <v>110.48</v>
      </c>
      <c r="C33" s="10">
        <v>0.93</v>
      </c>
      <c r="D33" s="10">
        <v>19524</v>
      </c>
      <c r="E33" s="10">
        <v>2431</v>
      </c>
      <c r="F33" s="10">
        <v>6854</v>
      </c>
      <c r="G33" s="10">
        <v>12.45</v>
      </c>
      <c r="H33" s="10">
        <v>35.11</v>
      </c>
      <c r="I33" s="10">
        <v>99.57</v>
      </c>
      <c r="J33" s="10">
        <v>4683</v>
      </c>
      <c r="K33">
        <f t="shared" si="0"/>
        <v>0</v>
      </c>
    </row>
    <row r="34" spans="1:11">
      <c r="A34" s="10" t="s">
        <v>18</v>
      </c>
      <c r="B34" s="10">
        <v>122.55</v>
      </c>
      <c r="C34" s="10">
        <v>0.93</v>
      </c>
      <c r="D34" s="10">
        <v>12884</v>
      </c>
      <c r="E34" s="10">
        <v>2008</v>
      </c>
      <c r="F34" s="10">
        <v>1413</v>
      </c>
      <c r="G34" s="10">
        <v>15.59</v>
      </c>
      <c r="H34" s="10">
        <v>10.97</v>
      </c>
      <c r="I34" s="10">
        <v>40.86</v>
      </c>
      <c r="J34" s="10">
        <v>-345</v>
      </c>
      <c r="K34">
        <f t="shared" si="0"/>
        <v>3.2258064516128941E-2</v>
      </c>
    </row>
    <row r="35" spans="1:11">
      <c r="A35" s="10" t="s">
        <v>222</v>
      </c>
      <c r="B35" s="10">
        <v>131.13</v>
      </c>
      <c r="C35" s="10">
        <v>0.96</v>
      </c>
      <c r="D35" s="10">
        <v>16449</v>
      </c>
      <c r="E35" s="10">
        <v>2729</v>
      </c>
      <c r="F35" s="10">
        <v>2035</v>
      </c>
      <c r="G35" s="10">
        <v>16.59</v>
      </c>
      <c r="H35" s="10">
        <v>12.37</v>
      </c>
      <c r="I35" s="10">
        <v>41.97</v>
      </c>
      <c r="J35" s="10">
        <v>1733</v>
      </c>
      <c r="K35">
        <f t="shared" si="0"/>
        <v>0</v>
      </c>
    </row>
    <row r="36" spans="1:11">
      <c r="A36" s="10" t="s">
        <v>170</v>
      </c>
      <c r="B36" s="10">
        <v>137.1</v>
      </c>
      <c r="C36" s="10">
        <v>0.96</v>
      </c>
      <c r="D36" s="10">
        <v>17188</v>
      </c>
      <c r="E36" s="10">
        <v>2855</v>
      </c>
      <c r="F36" s="10">
        <v>2100</v>
      </c>
      <c r="G36" s="10">
        <v>16.61</v>
      </c>
      <c r="H36" s="10">
        <v>12.22</v>
      </c>
      <c r="I36" s="10">
        <v>41.48</v>
      </c>
      <c r="J36" s="10">
        <v>3675</v>
      </c>
      <c r="K36">
        <f t="shared" si="0"/>
        <v>0</v>
      </c>
    </row>
    <row r="37" spans="1:11">
      <c r="A37" s="10" t="s">
        <v>250</v>
      </c>
      <c r="B37" s="10">
        <v>136.66999999999999</v>
      </c>
      <c r="C37" s="10">
        <v>0.96</v>
      </c>
      <c r="D37" s="10">
        <v>20640</v>
      </c>
      <c r="E37" s="10">
        <v>2699</v>
      </c>
      <c r="F37" s="10">
        <v>1766</v>
      </c>
      <c r="G37" s="10">
        <v>13.08</v>
      </c>
      <c r="H37" s="10">
        <v>8.56</v>
      </c>
      <c r="I37" s="10">
        <v>43.03</v>
      </c>
      <c r="J37" s="10">
        <v>4586</v>
      </c>
      <c r="K37">
        <f t="shared" si="0"/>
        <v>0</v>
      </c>
    </row>
    <row r="38" spans="1:11">
      <c r="A38" s="10" t="s">
        <v>126</v>
      </c>
      <c r="B38" s="10">
        <v>120.1</v>
      </c>
      <c r="C38" s="10">
        <v>0.96</v>
      </c>
      <c r="D38" s="10">
        <v>13881</v>
      </c>
      <c r="E38" s="10">
        <v>1924</v>
      </c>
      <c r="F38" s="10">
        <v>1338</v>
      </c>
      <c r="G38" s="10">
        <v>13.86</v>
      </c>
      <c r="H38" s="10">
        <v>9.64</v>
      </c>
      <c r="I38" s="10">
        <v>72.930000000000007</v>
      </c>
      <c r="J38" s="10">
        <v>-749</v>
      </c>
      <c r="K38">
        <f t="shared" si="0"/>
        <v>6.2500000000000056E-2</v>
      </c>
    </row>
    <row r="39" spans="1:11">
      <c r="A39" s="10" t="s">
        <v>161</v>
      </c>
      <c r="B39" s="10">
        <v>132.26</v>
      </c>
      <c r="C39" s="10">
        <v>1.02</v>
      </c>
      <c r="D39" s="10">
        <v>15945</v>
      </c>
      <c r="E39" s="10">
        <v>2319</v>
      </c>
      <c r="F39" s="10">
        <v>1646</v>
      </c>
      <c r="G39" s="10">
        <v>14.54</v>
      </c>
      <c r="H39" s="10">
        <v>10.32</v>
      </c>
      <c r="I39" s="10">
        <v>74.03</v>
      </c>
      <c r="J39" s="10">
        <v>2211</v>
      </c>
      <c r="K39">
        <f t="shared" si="0"/>
        <v>0</v>
      </c>
    </row>
    <row r="40" spans="1:11">
      <c r="A40" s="10" t="s">
        <v>28</v>
      </c>
      <c r="B40" s="10">
        <v>138.6</v>
      </c>
      <c r="C40" s="10">
        <v>1.02</v>
      </c>
      <c r="D40" s="10">
        <v>18091</v>
      </c>
      <c r="E40" s="10">
        <v>3011</v>
      </c>
      <c r="F40" s="10">
        <v>2291</v>
      </c>
      <c r="G40" s="10">
        <v>16.64</v>
      </c>
      <c r="H40" s="10">
        <v>12.66</v>
      </c>
      <c r="I40" s="10">
        <v>79.34</v>
      </c>
      <c r="J40" s="10">
        <v>4661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K32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19</v>
      </c>
      <c r="B2" s="10">
        <v>40.78</v>
      </c>
      <c r="C2" s="10">
        <v>0.4</v>
      </c>
      <c r="D2" s="10">
        <v>4329</v>
      </c>
      <c r="E2" s="10">
        <v>1305</v>
      </c>
      <c r="F2" s="10">
        <v>968</v>
      </c>
      <c r="G2" s="10">
        <v>30.15</v>
      </c>
      <c r="H2" s="10">
        <v>22.36</v>
      </c>
      <c r="I2" s="10" t="s">
        <v>240</v>
      </c>
      <c r="J2" s="10">
        <v>1187</v>
      </c>
      <c r="K2">
        <f t="shared" ref="K2:K31" si="0">(C3-C2)/C2</f>
        <v>0</v>
      </c>
    </row>
    <row r="3" spans="1:11">
      <c r="A3" s="10" t="s">
        <v>192</v>
      </c>
      <c r="B3" s="10">
        <v>41.34</v>
      </c>
      <c r="C3" s="10">
        <v>0.4</v>
      </c>
      <c r="D3" s="10">
        <v>4692</v>
      </c>
      <c r="E3" s="10">
        <v>1453</v>
      </c>
      <c r="F3" s="10">
        <v>1068</v>
      </c>
      <c r="G3" s="10">
        <v>30.97</v>
      </c>
      <c r="H3" s="10">
        <v>22.76</v>
      </c>
      <c r="I3" s="10">
        <v>11.82</v>
      </c>
      <c r="J3" s="10">
        <v>2037</v>
      </c>
      <c r="K3">
        <f t="shared" si="0"/>
        <v>0</v>
      </c>
    </row>
    <row r="4" spans="1:11">
      <c r="A4" s="10" t="s">
        <v>160</v>
      </c>
      <c r="B4" s="10">
        <v>44.73</v>
      </c>
      <c r="C4" s="10">
        <v>0.4</v>
      </c>
      <c r="D4" s="10">
        <v>4658</v>
      </c>
      <c r="E4" s="10">
        <v>1371</v>
      </c>
      <c r="F4" s="10">
        <v>964</v>
      </c>
      <c r="G4" s="10">
        <v>29.43</v>
      </c>
      <c r="H4" s="10">
        <v>20.7</v>
      </c>
      <c r="I4" s="10">
        <v>24.58</v>
      </c>
      <c r="J4" s="10">
        <v>1798</v>
      </c>
      <c r="K4">
        <f t="shared" si="0"/>
        <v>0</v>
      </c>
    </row>
    <row r="5" spans="1:11">
      <c r="A5" s="10" t="s">
        <v>168</v>
      </c>
      <c r="B5" s="10">
        <v>52.81</v>
      </c>
      <c r="C5" s="10">
        <v>0.4</v>
      </c>
      <c r="D5" s="10">
        <v>5111</v>
      </c>
      <c r="E5" s="10">
        <v>1535</v>
      </c>
      <c r="F5" s="10">
        <v>1128</v>
      </c>
      <c r="G5" s="10">
        <v>30.03</v>
      </c>
      <c r="H5" s="10">
        <v>22.07</v>
      </c>
      <c r="I5" s="10">
        <v>42.05</v>
      </c>
      <c r="J5" s="10">
        <v>1245</v>
      </c>
      <c r="K5">
        <f t="shared" si="0"/>
        <v>0</v>
      </c>
    </row>
    <row r="6" spans="1:11">
      <c r="A6" s="10" t="s">
        <v>63</v>
      </c>
      <c r="B6" s="10">
        <v>51.4</v>
      </c>
      <c r="C6" s="10">
        <v>0.4</v>
      </c>
      <c r="D6" s="10">
        <v>4563</v>
      </c>
      <c r="E6" s="10">
        <v>1351</v>
      </c>
      <c r="F6" s="10">
        <v>980</v>
      </c>
      <c r="G6" s="10">
        <v>29.61</v>
      </c>
      <c r="H6" s="10">
        <v>21.48</v>
      </c>
      <c r="I6" s="10">
        <v>62.5</v>
      </c>
      <c r="J6" s="10">
        <v>624</v>
      </c>
      <c r="K6">
        <f t="shared" si="0"/>
        <v>4.9999999999999906E-2</v>
      </c>
    </row>
    <row r="7" spans="1:11">
      <c r="A7" s="10" t="s">
        <v>14</v>
      </c>
      <c r="B7" s="10">
        <v>56.44</v>
      </c>
      <c r="C7" s="10">
        <v>0.42</v>
      </c>
      <c r="D7" s="10">
        <v>4926</v>
      </c>
      <c r="E7" s="10">
        <v>1515</v>
      </c>
      <c r="F7" s="10">
        <v>1098</v>
      </c>
      <c r="G7" s="10">
        <v>30.76</v>
      </c>
      <c r="H7" s="10">
        <v>22.29</v>
      </c>
      <c r="I7" s="10">
        <v>62.26</v>
      </c>
      <c r="J7" s="10">
        <v>1717</v>
      </c>
      <c r="K7">
        <f t="shared" si="0"/>
        <v>0</v>
      </c>
    </row>
    <row r="8" spans="1:11">
      <c r="A8" s="10" t="s">
        <v>288</v>
      </c>
      <c r="B8" s="10">
        <v>57.76</v>
      </c>
      <c r="C8" s="10">
        <v>0.42</v>
      </c>
      <c r="D8" s="10">
        <v>5019</v>
      </c>
      <c r="E8" s="10">
        <v>960</v>
      </c>
      <c r="F8" s="10">
        <v>506</v>
      </c>
      <c r="G8" s="10">
        <v>19.13</v>
      </c>
      <c r="H8" s="10">
        <v>10.08</v>
      </c>
      <c r="I8" s="10">
        <v>62.79</v>
      </c>
      <c r="J8" s="10">
        <v>1786</v>
      </c>
      <c r="K8">
        <f t="shared" si="0"/>
        <v>0</v>
      </c>
    </row>
    <row r="9" spans="1:11">
      <c r="A9" s="10" t="s">
        <v>133</v>
      </c>
      <c r="B9" s="10">
        <v>65.44</v>
      </c>
      <c r="C9" s="10">
        <v>0.42</v>
      </c>
      <c r="D9" s="10">
        <v>5452</v>
      </c>
      <c r="E9" s="10">
        <v>-415</v>
      </c>
      <c r="F9" s="10">
        <v>-810</v>
      </c>
      <c r="G9" s="10">
        <v>-7.61</v>
      </c>
      <c r="H9" s="10">
        <v>-14.86</v>
      </c>
      <c r="I9" s="10">
        <v>71.3</v>
      </c>
      <c r="J9" s="10">
        <v>-578</v>
      </c>
      <c r="K9">
        <f t="shared" si="0"/>
        <v>0.16666666666666669</v>
      </c>
    </row>
    <row r="10" spans="1:11">
      <c r="A10" s="10" t="s">
        <v>36</v>
      </c>
      <c r="B10" s="10">
        <v>58.54</v>
      </c>
      <c r="C10" s="10">
        <v>0.49</v>
      </c>
      <c r="D10" s="10">
        <v>5040</v>
      </c>
      <c r="E10" s="10">
        <v>1687</v>
      </c>
      <c r="F10" s="10">
        <v>1022</v>
      </c>
      <c r="G10" s="10">
        <v>33.47</v>
      </c>
      <c r="H10" s="10">
        <v>20.28</v>
      </c>
      <c r="I10" s="10">
        <v>150.91</v>
      </c>
      <c r="J10" s="10">
        <v>1585</v>
      </c>
      <c r="K10">
        <f t="shared" si="0"/>
        <v>4.0816326530612283E-2</v>
      </c>
    </row>
    <row r="11" spans="1:11">
      <c r="A11" s="10" t="s">
        <v>190</v>
      </c>
      <c r="B11" s="10">
        <v>67.19</v>
      </c>
      <c r="C11" s="10">
        <v>0.51</v>
      </c>
      <c r="D11" s="10">
        <v>5475</v>
      </c>
      <c r="E11" s="10">
        <v>1852</v>
      </c>
      <c r="F11" s="10">
        <v>1366</v>
      </c>
      <c r="G11" s="10">
        <v>33.83</v>
      </c>
      <c r="H11" s="10">
        <v>24.95</v>
      </c>
      <c r="I11" s="10">
        <v>156.25</v>
      </c>
      <c r="J11" s="10">
        <v>1832</v>
      </c>
      <c r="K11">
        <f t="shared" si="0"/>
        <v>0</v>
      </c>
    </row>
    <row r="12" spans="1:11">
      <c r="A12" s="10" t="s">
        <v>256</v>
      </c>
      <c r="B12" s="10">
        <v>54.41</v>
      </c>
      <c r="C12" s="10">
        <v>0.51</v>
      </c>
      <c r="D12" s="10">
        <v>5944</v>
      </c>
      <c r="E12" s="10">
        <v>1885</v>
      </c>
      <c r="F12" s="10">
        <v>1239</v>
      </c>
      <c r="G12" s="10">
        <v>31.71</v>
      </c>
      <c r="H12" s="10">
        <v>20.84</v>
      </c>
      <c r="I12" s="10">
        <v>143.75</v>
      </c>
      <c r="J12" s="10">
        <v>2155</v>
      </c>
      <c r="K12">
        <f t="shared" si="0"/>
        <v>0</v>
      </c>
    </row>
    <row r="13" spans="1:11">
      <c r="A13" s="10" t="s">
        <v>203</v>
      </c>
      <c r="B13" s="10">
        <v>59.24</v>
      </c>
      <c r="C13" s="10">
        <v>0.51</v>
      </c>
      <c r="D13" s="10">
        <v>6400</v>
      </c>
      <c r="E13" s="10">
        <v>2113</v>
      </c>
      <c r="F13" s="10">
        <v>1517</v>
      </c>
      <c r="G13" s="10">
        <v>33.020000000000003</v>
      </c>
      <c r="H13" s="10">
        <v>23.7</v>
      </c>
      <c r="I13" s="10">
        <v>112.87</v>
      </c>
      <c r="J13" s="10">
        <v>1963</v>
      </c>
      <c r="K13">
        <f t="shared" si="0"/>
        <v>0.1176470588235293</v>
      </c>
    </row>
    <row r="14" spans="1:11">
      <c r="A14" s="10" t="s">
        <v>89</v>
      </c>
      <c r="B14" s="10">
        <v>57.12</v>
      </c>
      <c r="C14" s="10">
        <v>0.56999999999999995</v>
      </c>
      <c r="D14" s="10">
        <v>5958</v>
      </c>
      <c r="E14" s="10">
        <v>2278</v>
      </c>
      <c r="F14" s="10">
        <v>1354</v>
      </c>
      <c r="G14" s="10">
        <v>38.229999999999997</v>
      </c>
      <c r="H14" s="10">
        <v>22.73</v>
      </c>
      <c r="I14" s="10">
        <v>64.540000000000006</v>
      </c>
      <c r="J14" s="10">
        <v>2128</v>
      </c>
      <c r="K14">
        <f t="shared" si="0"/>
        <v>0</v>
      </c>
    </row>
    <row r="15" spans="1:11">
      <c r="A15" s="10" t="s">
        <v>127</v>
      </c>
      <c r="B15" s="10">
        <v>61.91</v>
      </c>
      <c r="C15" s="10">
        <v>0.56999999999999995</v>
      </c>
      <c r="D15" s="10">
        <v>6452</v>
      </c>
      <c r="E15" s="10">
        <v>2387</v>
      </c>
      <c r="F15" s="10">
        <v>1610</v>
      </c>
      <c r="G15" s="10">
        <v>37</v>
      </c>
      <c r="H15" s="10">
        <v>24.95</v>
      </c>
      <c r="I15" s="10">
        <v>63.06</v>
      </c>
      <c r="J15" s="10">
        <v>1918</v>
      </c>
      <c r="K15">
        <f t="shared" si="0"/>
        <v>0</v>
      </c>
    </row>
    <row r="16" spans="1:11">
      <c r="A16" s="10" t="s">
        <v>88</v>
      </c>
      <c r="B16" s="10">
        <v>63.07</v>
      </c>
      <c r="C16" s="10">
        <v>0.56999999999999995</v>
      </c>
      <c r="D16" s="10">
        <v>6432</v>
      </c>
      <c r="E16" s="10">
        <v>2361</v>
      </c>
      <c r="F16" s="10">
        <v>1598</v>
      </c>
      <c r="G16" s="10">
        <v>36.71</v>
      </c>
      <c r="H16" s="10">
        <v>24.72</v>
      </c>
      <c r="I16" s="10">
        <v>62.25</v>
      </c>
      <c r="J16" s="10">
        <v>1454</v>
      </c>
      <c r="K16">
        <f t="shared" si="0"/>
        <v>0</v>
      </c>
    </row>
    <row r="17" spans="1:11">
      <c r="A17" s="10" t="s">
        <v>24</v>
      </c>
      <c r="B17" s="10">
        <v>62.62</v>
      </c>
      <c r="C17" s="10">
        <v>0.56999999999999995</v>
      </c>
      <c r="D17" s="10">
        <v>6796</v>
      </c>
      <c r="E17" s="10">
        <v>2358</v>
      </c>
      <c r="F17" s="10">
        <v>1391</v>
      </c>
      <c r="G17" s="10">
        <v>34.700000000000003</v>
      </c>
      <c r="H17" s="10">
        <v>20.36</v>
      </c>
      <c r="I17" s="10">
        <v>60</v>
      </c>
      <c r="J17" s="10">
        <v>1541</v>
      </c>
      <c r="K17">
        <f t="shared" si="0"/>
        <v>0.12280701754385977</v>
      </c>
    </row>
    <row r="18" spans="1:11">
      <c r="A18" s="10" t="s">
        <v>55</v>
      </c>
      <c r="B18" s="10">
        <v>65.16</v>
      </c>
      <c r="C18" s="10">
        <v>0.64</v>
      </c>
      <c r="D18" s="10">
        <v>6538</v>
      </c>
      <c r="E18" s="10">
        <v>2419</v>
      </c>
      <c r="F18" s="10">
        <v>1711</v>
      </c>
      <c r="G18" s="10">
        <v>37</v>
      </c>
      <c r="H18" s="10">
        <v>26.03</v>
      </c>
      <c r="I18" s="10">
        <v>62.81</v>
      </c>
      <c r="J18" s="10">
        <v>2102</v>
      </c>
      <c r="K18">
        <f t="shared" si="0"/>
        <v>0</v>
      </c>
    </row>
    <row r="19" spans="1:11">
      <c r="A19" s="10" t="s">
        <v>183</v>
      </c>
      <c r="B19" s="10">
        <v>72.510000000000005</v>
      </c>
      <c r="C19" s="10">
        <v>0.64</v>
      </c>
      <c r="D19" s="10">
        <v>6944</v>
      </c>
      <c r="E19" s="10">
        <v>2674</v>
      </c>
      <c r="F19" s="10">
        <v>1915</v>
      </c>
      <c r="G19" s="10">
        <v>38.51</v>
      </c>
      <c r="H19" s="10">
        <v>27.45</v>
      </c>
      <c r="I19" s="10">
        <v>60.88</v>
      </c>
      <c r="J19" s="10">
        <v>2003</v>
      </c>
      <c r="K19">
        <f t="shared" si="0"/>
        <v>0</v>
      </c>
    </row>
    <row r="20" spans="1:11">
      <c r="A20" s="10" t="s">
        <v>34</v>
      </c>
      <c r="B20" s="10">
        <v>88.86</v>
      </c>
      <c r="C20" s="10">
        <v>0.64</v>
      </c>
      <c r="D20" s="10">
        <v>6995</v>
      </c>
      <c r="E20" s="10">
        <v>2705</v>
      </c>
      <c r="F20" s="10">
        <v>1631</v>
      </c>
      <c r="G20" s="10">
        <v>38.67</v>
      </c>
      <c r="H20" s="10">
        <v>23.2</v>
      </c>
      <c r="I20" s="10">
        <v>59.46</v>
      </c>
      <c r="J20" s="10">
        <v>3271</v>
      </c>
      <c r="K20">
        <f t="shared" si="0"/>
        <v>0</v>
      </c>
    </row>
    <row r="21" spans="1:11">
      <c r="A21" s="10" t="s">
        <v>173</v>
      </c>
      <c r="B21" s="10">
        <v>96.71</v>
      </c>
      <c r="C21" s="10">
        <v>0.64</v>
      </c>
      <c r="D21" s="10">
        <v>7739</v>
      </c>
      <c r="E21" s="10">
        <v>1794</v>
      </c>
      <c r="F21" s="10">
        <v>52</v>
      </c>
      <c r="G21" s="10">
        <v>23.18</v>
      </c>
      <c r="H21" s="10">
        <v>0.67</v>
      </c>
      <c r="I21" s="10">
        <v>60.44</v>
      </c>
      <c r="J21" s="10">
        <v>2584</v>
      </c>
      <c r="K21">
        <f t="shared" si="0"/>
        <v>0.10937499999999992</v>
      </c>
    </row>
    <row r="22" spans="1:11">
      <c r="A22" s="10" t="s">
        <v>282</v>
      </c>
      <c r="B22" s="10">
        <v>94.65</v>
      </c>
      <c r="C22" s="10">
        <v>0.71</v>
      </c>
      <c r="D22" s="10">
        <v>7934</v>
      </c>
      <c r="E22" s="10">
        <v>2903</v>
      </c>
      <c r="F22" s="10">
        <v>2783</v>
      </c>
      <c r="G22" s="10">
        <v>36.590000000000003</v>
      </c>
      <c r="H22" s="10">
        <v>34.93</v>
      </c>
      <c r="I22" s="10">
        <v>77.58</v>
      </c>
      <c r="J22" s="10">
        <v>2645</v>
      </c>
      <c r="K22">
        <f t="shared" si="0"/>
        <v>0.35211267605633806</v>
      </c>
    </row>
    <row r="23" spans="1:11">
      <c r="A23" s="10" t="s">
        <v>110</v>
      </c>
      <c r="B23" s="10">
        <v>92.65</v>
      </c>
      <c r="C23" s="10">
        <v>0.96</v>
      </c>
      <c r="D23" s="10">
        <v>8278</v>
      </c>
      <c r="E23" s="10">
        <v>2762</v>
      </c>
      <c r="F23" s="10">
        <v>1983</v>
      </c>
      <c r="G23" s="10">
        <v>33.369999999999997</v>
      </c>
      <c r="H23" s="10">
        <v>23.83</v>
      </c>
      <c r="I23" s="10">
        <v>66.08</v>
      </c>
      <c r="J23" s="10">
        <v>2866</v>
      </c>
      <c r="K23">
        <f t="shared" si="0"/>
        <v>0</v>
      </c>
    </row>
    <row r="24" spans="1:11">
      <c r="A24" s="10" t="s">
        <v>52</v>
      </c>
      <c r="B24" s="10">
        <v>94.58</v>
      </c>
      <c r="C24" s="10">
        <v>0.96</v>
      </c>
      <c r="D24" s="10">
        <v>8236</v>
      </c>
      <c r="E24" s="10">
        <v>3159</v>
      </c>
      <c r="F24" s="10">
        <v>2747</v>
      </c>
      <c r="G24" s="10">
        <v>38.36</v>
      </c>
      <c r="H24" s="10">
        <v>33.21</v>
      </c>
      <c r="I24" s="10">
        <v>73.02</v>
      </c>
      <c r="J24" s="10">
        <v>4524</v>
      </c>
      <c r="K24">
        <f t="shared" si="0"/>
        <v>0</v>
      </c>
    </row>
    <row r="25" spans="1:11">
      <c r="A25" s="10" t="s">
        <v>107</v>
      </c>
      <c r="B25" s="10">
        <v>92.19</v>
      </c>
      <c r="C25" s="10">
        <v>0.96</v>
      </c>
      <c r="D25" s="10">
        <v>8305</v>
      </c>
      <c r="E25" s="10">
        <v>-2441</v>
      </c>
      <c r="F25" s="10">
        <v>-1826</v>
      </c>
      <c r="G25" s="10">
        <v>-29.39</v>
      </c>
      <c r="H25" s="10">
        <v>-21.94</v>
      </c>
      <c r="I25" s="10">
        <v>67.84</v>
      </c>
      <c r="J25" s="10">
        <v>3392</v>
      </c>
      <c r="K25">
        <f t="shared" si="0"/>
        <v>0.11458333333333344</v>
      </c>
    </row>
    <row r="26" spans="1:11">
      <c r="A26" s="10" t="s">
        <v>18</v>
      </c>
      <c r="B26" s="10">
        <v>80.59</v>
      </c>
      <c r="C26" s="10">
        <v>1.07</v>
      </c>
      <c r="D26" s="10">
        <v>7828</v>
      </c>
      <c r="E26" s="10">
        <v>3010</v>
      </c>
      <c r="F26" s="10">
        <v>2456</v>
      </c>
      <c r="G26" s="10">
        <v>38.450000000000003</v>
      </c>
      <c r="H26" s="10">
        <v>31.22</v>
      </c>
      <c r="I26" s="10">
        <v>98.09</v>
      </c>
      <c r="J26" s="10">
        <v>3017</v>
      </c>
      <c r="K26">
        <f t="shared" si="0"/>
        <v>0</v>
      </c>
    </row>
    <row r="27" spans="1:11">
      <c r="A27" s="10" t="s">
        <v>222</v>
      </c>
      <c r="B27" s="10">
        <v>72.72</v>
      </c>
      <c r="C27" s="10">
        <v>1.07</v>
      </c>
      <c r="D27" s="10">
        <v>8255</v>
      </c>
      <c r="E27" s="10">
        <v>3400</v>
      </c>
      <c r="F27" s="10">
        <v>741</v>
      </c>
      <c r="G27" s="10">
        <v>41.19</v>
      </c>
      <c r="H27" s="10">
        <v>8.8800000000000008</v>
      </c>
      <c r="I27" s="10">
        <v>110.64</v>
      </c>
      <c r="J27" s="10">
        <v>2477</v>
      </c>
      <c r="K27">
        <f t="shared" si="0"/>
        <v>0</v>
      </c>
    </row>
    <row r="28" spans="1:11">
      <c r="A28" s="10" t="s">
        <v>170</v>
      </c>
      <c r="B28" s="10">
        <v>75.72</v>
      </c>
      <c r="C28" s="10">
        <v>1.07</v>
      </c>
      <c r="D28" s="10">
        <v>8479</v>
      </c>
      <c r="E28" s="10">
        <v>2617</v>
      </c>
      <c r="F28" s="10">
        <v>1884</v>
      </c>
      <c r="G28" s="10">
        <v>30.86</v>
      </c>
      <c r="H28" s="10">
        <v>22.1</v>
      </c>
      <c r="I28" s="10">
        <v>144.47999999999999</v>
      </c>
      <c r="J28" s="10">
        <v>4555</v>
      </c>
      <c r="K28">
        <f t="shared" si="0"/>
        <v>0</v>
      </c>
    </row>
    <row r="29" spans="1:11">
      <c r="A29" s="10" t="s">
        <v>250</v>
      </c>
      <c r="B29" s="10">
        <v>88.54</v>
      </c>
      <c r="C29" s="10">
        <v>1.07</v>
      </c>
      <c r="D29" s="10">
        <v>8704</v>
      </c>
      <c r="E29" s="10">
        <v>3956</v>
      </c>
      <c r="F29" s="10">
        <v>2801</v>
      </c>
      <c r="G29" s="10">
        <v>45.45</v>
      </c>
      <c r="H29" s="10">
        <v>32.03</v>
      </c>
      <c r="I29" s="10">
        <v>183.7</v>
      </c>
      <c r="J29" s="10">
        <v>3275</v>
      </c>
      <c r="K29">
        <f t="shared" si="0"/>
        <v>0.10280373831775688</v>
      </c>
    </row>
    <row r="30" spans="1:11">
      <c r="A30" s="10" t="s">
        <v>126</v>
      </c>
      <c r="B30" s="10">
        <v>76.19</v>
      </c>
      <c r="C30" s="10">
        <v>1.18</v>
      </c>
      <c r="D30" s="10">
        <v>8619</v>
      </c>
      <c r="E30" s="10">
        <v>3603</v>
      </c>
      <c r="F30" s="10">
        <v>3010</v>
      </c>
      <c r="G30" s="10">
        <v>41.8</v>
      </c>
      <c r="H30" s="10">
        <v>34.76</v>
      </c>
      <c r="I30" s="10">
        <v>81.06</v>
      </c>
      <c r="J30" s="10">
        <v>3815</v>
      </c>
      <c r="K30">
        <f t="shared" si="0"/>
        <v>0</v>
      </c>
    </row>
    <row r="31" spans="1:11">
      <c r="A31" s="10" t="s">
        <v>161</v>
      </c>
      <c r="B31" s="10">
        <v>98.18</v>
      </c>
      <c r="C31" s="10">
        <v>1.18</v>
      </c>
      <c r="D31" s="10">
        <v>10425</v>
      </c>
      <c r="E31" s="10">
        <v>752</v>
      </c>
      <c r="F31" s="10">
        <v>-738</v>
      </c>
      <c r="G31" s="10">
        <v>7.21</v>
      </c>
      <c r="H31" s="10">
        <v>-7.25</v>
      </c>
      <c r="I31" s="10">
        <v>77.7</v>
      </c>
      <c r="J31" s="10">
        <v>3089</v>
      </c>
      <c r="K31">
        <f t="shared" si="0"/>
        <v>0</v>
      </c>
    </row>
    <row r="32" spans="1:11">
      <c r="A32" s="10" t="s">
        <v>28</v>
      </c>
      <c r="B32" s="10">
        <v>87.59</v>
      </c>
      <c r="C32" s="10">
        <v>1.18</v>
      </c>
      <c r="D32" s="10">
        <v>12902</v>
      </c>
      <c r="E32" s="10">
        <v>3255</v>
      </c>
      <c r="F32" s="10">
        <v>2308</v>
      </c>
      <c r="G32" s="10">
        <v>25.23</v>
      </c>
      <c r="H32" s="10">
        <v>17.760000000000002</v>
      </c>
      <c r="I32" s="10">
        <v>98.47</v>
      </c>
      <c r="J32" s="10">
        <v>5830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67</v>
      </c>
    </row>
    <row r="2" spans="1:11">
      <c r="A2" s="10" t="s">
        <v>32</v>
      </c>
      <c r="B2" s="10">
        <v>50.72</v>
      </c>
      <c r="C2" s="10">
        <v>0.6</v>
      </c>
      <c r="D2" s="10">
        <v>3349</v>
      </c>
      <c r="E2" s="10">
        <v>626</v>
      </c>
      <c r="F2" s="10">
        <v>314</v>
      </c>
      <c r="G2" s="10">
        <v>18.690000000000001</v>
      </c>
      <c r="H2" s="10">
        <v>9.2899999999999991</v>
      </c>
      <c r="I2" s="10">
        <v>63.94</v>
      </c>
      <c r="J2" s="10">
        <v>362</v>
      </c>
      <c r="K2">
        <f t="shared" ref="K2:K39" si="0">(C3-C2)/C2</f>
        <v>0</v>
      </c>
    </row>
    <row r="3" spans="1:11">
      <c r="A3" s="10" t="s">
        <v>79</v>
      </c>
      <c r="B3" s="10">
        <v>53.24</v>
      </c>
      <c r="C3" s="10">
        <v>0.6</v>
      </c>
      <c r="D3" s="10">
        <v>2993</v>
      </c>
      <c r="E3" s="10">
        <v>398</v>
      </c>
      <c r="F3" s="10">
        <v>168</v>
      </c>
      <c r="G3" s="10">
        <v>13.3</v>
      </c>
      <c r="H3" s="10">
        <v>5.51</v>
      </c>
      <c r="I3" s="10">
        <v>65.48</v>
      </c>
      <c r="J3" s="10">
        <v>1227</v>
      </c>
      <c r="K3">
        <f t="shared" si="0"/>
        <v>0</v>
      </c>
    </row>
    <row r="4" spans="1:11">
      <c r="A4" s="10" t="s">
        <v>181</v>
      </c>
      <c r="B4" s="10">
        <v>57.02</v>
      </c>
      <c r="C4" s="10">
        <v>0.6</v>
      </c>
      <c r="D4" s="10">
        <v>3629</v>
      </c>
      <c r="E4" s="10">
        <v>756</v>
      </c>
      <c r="F4" s="10">
        <v>386</v>
      </c>
      <c r="G4" s="10">
        <v>20.83</v>
      </c>
      <c r="H4" s="10">
        <v>10.55</v>
      </c>
      <c r="I4" s="10">
        <v>64.56</v>
      </c>
      <c r="J4" s="10">
        <v>572</v>
      </c>
      <c r="K4">
        <f t="shared" si="0"/>
        <v>0</v>
      </c>
    </row>
    <row r="5" spans="1:11">
      <c r="A5" s="10" t="s">
        <v>217</v>
      </c>
      <c r="B5" s="10">
        <v>62.03</v>
      </c>
      <c r="C5" s="10">
        <v>0.6</v>
      </c>
      <c r="D5" s="10">
        <v>2966</v>
      </c>
      <c r="E5" s="10">
        <v>458</v>
      </c>
      <c r="F5" s="10">
        <v>193</v>
      </c>
      <c r="G5" s="10">
        <v>15.44</v>
      </c>
      <c r="H5" s="10">
        <v>6.44</v>
      </c>
      <c r="I5" s="10">
        <v>64.56</v>
      </c>
      <c r="J5" s="10">
        <v>976</v>
      </c>
      <c r="K5">
        <f t="shared" si="0"/>
        <v>1.6666666666666684E-2</v>
      </c>
    </row>
    <row r="6" spans="1:11">
      <c r="A6" s="10" t="s">
        <v>162</v>
      </c>
      <c r="B6" s="10">
        <v>58.42</v>
      </c>
      <c r="C6" s="10">
        <v>0.61</v>
      </c>
      <c r="D6" s="10">
        <v>3078</v>
      </c>
      <c r="E6" s="10">
        <v>561</v>
      </c>
      <c r="F6" s="10">
        <v>280</v>
      </c>
      <c r="G6" s="10">
        <v>18.23</v>
      </c>
      <c r="H6" s="10">
        <v>9</v>
      </c>
      <c r="I6" s="10">
        <v>67.23</v>
      </c>
      <c r="J6" s="10">
        <v>402</v>
      </c>
      <c r="K6">
        <f t="shared" si="0"/>
        <v>0</v>
      </c>
    </row>
    <row r="7" spans="1:11">
      <c r="A7" s="10" t="s">
        <v>64</v>
      </c>
      <c r="B7" s="10">
        <v>62.19</v>
      </c>
      <c r="C7" s="10">
        <v>0.61</v>
      </c>
      <c r="D7" s="10">
        <v>2771</v>
      </c>
      <c r="E7" s="10">
        <v>475</v>
      </c>
      <c r="F7" s="10">
        <v>214</v>
      </c>
      <c r="G7" s="10">
        <v>17.14</v>
      </c>
      <c r="H7" s="10">
        <v>7.72</v>
      </c>
      <c r="I7" s="10">
        <v>69.709999999999994</v>
      </c>
      <c r="J7" s="10">
        <v>845</v>
      </c>
      <c r="K7">
        <f t="shared" si="0"/>
        <v>0</v>
      </c>
    </row>
    <row r="8" spans="1:11">
      <c r="A8" s="10" t="s">
        <v>226</v>
      </c>
      <c r="B8" s="10">
        <v>59.89</v>
      </c>
      <c r="C8" s="10">
        <v>0.61</v>
      </c>
      <c r="D8" s="10">
        <v>3438</v>
      </c>
      <c r="E8" s="10">
        <v>851</v>
      </c>
      <c r="F8" s="10">
        <v>440</v>
      </c>
      <c r="G8" s="10">
        <v>24.75</v>
      </c>
      <c r="H8" s="10">
        <v>12.8</v>
      </c>
      <c r="I8" s="10">
        <v>66.569999999999993</v>
      </c>
      <c r="J8" s="10">
        <v>391</v>
      </c>
      <c r="K8">
        <f t="shared" si="0"/>
        <v>0</v>
      </c>
    </row>
    <row r="9" spans="1:11">
      <c r="A9" s="10" t="s">
        <v>247</v>
      </c>
      <c r="B9" s="10">
        <v>55.54</v>
      </c>
      <c r="C9" s="10">
        <v>0.61</v>
      </c>
      <c r="D9" s="10">
        <v>2901</v>
      </c>
      <c r="E9" s="10">
        <v>453</v>
      </c>
      <c r="F9" s="10">
        <v>207</v>
      </c>
      <c r="G9" s="10">
        <v>15.62</v>
      </c>
      <c r="H9" s="10">
        <v>7.14</v>
      </c>
      <c r="I9" s="10">
        <v>62.69</v>
      </c>
      <c r="J9" s="10">
        <v>961</v>
      </c>
      <c r="K9">
        <f t="shared" si="0"/>
        <v>1.6393442622950834E-2</v>
      </c>
    </row>
    <row r="10" spans="1:11">
      <c r="A10" s="10" t="s">
        <v>19</v>
      </c>
      <c r="B10" s="10">
        <v>61.03</v>
      </c>
      <c r="C10" s="10">
        <v>0.62</v>
      </c>
      <c r="D10" s="10">
        <v>3184</v>
      </c>
      <c r="E10" s="10">
        <v>526</v>
      </c>
      <c r="F10" s="10">
        <v>192</v>
      </c>
      <c r="G10" s="10">
        <v>16.52</v>
      </c>
      <c r="H10" s="10">
        <v>6.03</v>
      </c>
      <c r="I10" s="10">
        <v>62.69</v>
      </c>
      <c r="J10" s="10">
        <v>-84</v>
      </c>
      <c r="K10">
        <f t="shared" si="0"/>
        <v>0</v>
      </c>
    </row>
    <row r="11" spans="1:11">
      <c r="A11" s="10" t="s">
        <v>192</v>
      </c>
      <c r="B11" s="10">
        <v>58.31</v>
      </c>
      <c r="C11" s="10">
        <v>0.62</v>
      </c>
      <c r="D11" s="10">
        <v>2818</v>
      </c>
      <c r="E11" s="10">
        <v>386</v>
      </c>
      <c r="F11" s="10">
        <v>172</v>
      </c>
      <c r="G11" s="10">
        <v>13.7</v>
      </c>
      <c r="H11" s="10">
        <v>6.1</v>
      </c>
      <c r="I11" s="10">
        <v>68.069999999999993</v>
      </c>
      <c r="J11" s="10">
        <v>1057</v>
      </c>
      <c r="K11">
        <f t="shared" si="0"/>
        <v>0</v>
      </c>
    </row>
    <row r="12" spans="1:11">
      <c r="A12" s="10" t="s">
        <v>160</v>
      </c>
      <c r="B12" s="10">
        <v>55.14</v>
      </c>
      <c r="C12" s="10">
        <v>0.62</v>
      </c>
      <c r="D12" s="10">
        <v>3484</v>
      </c>
      <c r="E12" s="10">
        <v>855</v>
      </c>
      <c r="F12" s="10">
        <v>464</v>
      </c>
      <c r="G12" s="10">
        <v>24.54</v>
      </c>
      <c r="H12" s="10">
        <v>13.32</v>
      </c>
      <c r="I12" s="10">
        <v>71.14</v>
      </c>
      <c r="J12" s="10">
        <v>265</v>
      </c>
      <c r="K12">
        <f t="shared" si="0"/>
        <v>0</v>
      </c>
    </row>
    <row r="13" spans="1:11">
      <c r="A13" s="10" t="s">
        <v>168</v>
      </c>
      <c r="B13" s="10">
        <v>55.28</v>
      </c>
      <c r="C13" s="10">
        <v>0.62</v>
      </c>
      <c r="D13" s="10">
        <v>2867</v>
      </c>
      <c r="E13" s="10">
        <v>477</v>
      </c>
      <c r="F13" s="10">
        <v>234</v>
      </c>
      <c r="G13" s="10">
        <v>16.64</v>
      </c>
      <c r="H13" s="10">
        <v>8.16</v>
      </c>
      <c r="I13" s="10">
        <v>69.8</v>
      </c>
      <c r="J13" s="10">
        <v>1314</v>
      </c>
      <c r="K13">
        <f t="shared" si="0"/>
        <v>1.612903225806453E-2</v>
      </c>
    </row>
    <row r="14" spans="1:11">
      <c r="A14" s="10" t="s">
        <v>63</v>
      </c>
      <c r="B14" s="10">
        <v>53.65</v>
      </c>
      <c r="C14" s="10">
        <v>0.63</v>
      </c>
      <c r="D14" s="10">
        <v>3789</v>
      </c>
      <c r="E14" s="10">
        <v>685</v>
      </c>
      <c r="F14" s="10">
        <v>361</v>
      </c>
      <c r="G14" s="10">
        <v>18.079999999999998</v>
      </c>
      <c r="H14" s="10">
        <v>9.5299999999999994</v>
      </c>
      <c r="I14" s="10">
        <v>68.14</v>
      </c>
      <c r="J14" s="10">
        <v>224</v>
      </c>
      <c r="K14">
        <f t="shared" si="0"/>
        <v>0</v>
      </c>
    </row>
    <row r="15" spans="1:11">
      <c r="A15" s="10" t="s">
        <v>14</v>
      </c>
      <c r="B15" s="10">
        <v>57.74</v>
      </c>
      <c r="C15" s="10">
        <v>0.63</v>
      </c>
      <c r="D15" s="10">
        <v>2911</v>
      </c>
      <c r="E15" s="10">
        <v>410</v>
      </c>
      <c r="F15" s="10">
        <v>212</v>
      </c>
      <c r="G15" s="10">
        <v>14.08</v>
      </c>
      <c r="H15" s="10">
        <v>7.28</v>
      </c>
      <c r="I15" s="10">
        <v>59.07</v>
      </c>
      <c r="J15" s="10">
        <v>1033</v>
      </c>
      <c r="K15">
        <f t="shared" si="0"/>
        <v>0</v>
      </c>
    </row>
    <row r="16" spans="1:11">
      <c r="A16" s="10" t="s">
        <v>288</v>
      </c>
      <c r="B16" s="10">
        <v>56.66</v>
      </c>
      <c r="C16" s="10">
        <v>0.63</v>
      </c>
      <c r="D16" s="10">
        <v>3390</v>
      </c>
      <c r="E16" s="10">
        <v>819</v>
      </c>
      <c r="F16" s="10">
        <v>436</v>
      </c>
      <c r="G16" s="10">
        <v>24.16</v>
      </c>
      <c r="H16" s="10">
        <v>12.86</v>
      </c>
      <c r="I16" s="10">
        <v>57.64</v>
      </c>
      <c r="J16" s="10">
        <v>494</v>
      </c>
      <c r="K16">
        <f t="shared" si="0"/>
        <v>0</v>
      </c>
    </row>
    <row r="17" spans="1:11">
      <c r="A17" s="10" t="s">
        <v>133</v>
      </c>
      <c r="B17" s="10">
        <v>66.010000000000005</v>
      </c>
      <c r="C17" s="10">
        <v>0.63</v>
      </c>
      <c r="D17" s="10">
        <v>2828</v>
      </c>
      <c r="E17" s="10">
        <v>250</v>
      </c>
      <c r="F17" s="10">
        <v>82</v>
      </c>
      <c r="G17" s="10">
        <v>8.84</v>
      </c>
      <c r="H17" s="10">
        <v>2.9</v>
      </c>
      <c r="I17" s="10">
        <v>59.08</v>
      </c>
      <c r="J17" s="10">
        <v>1080</v>
      </c>
      <c r="K17">
        <f t="shared" si="0"/>
        <v>3.1746031746031772E-2</v>
      </c>
    </row>
    <row r="18" spans="1:11">
      <c r="A18" s="10" t="s">
        <v>36</v>
      </c>
      <c r="B18" s="10">
        <v>61</v>
      </c>
      <c r="C18" s="10">
        <v>0.65</v>
      </c>
      <c r="D18" s="10">
        <v>3616</v>
      </c>
      <c r="E18" s="10">
        <v>726</v>
      </c>
      <c r="F18" s="10">
        <v>370</v>
      </c>
      <c r="G18" s="10">
        <v>20.079999999999998</v>
      </c>
      <c r="H18" s="10">
        <v>10.23</v>
      </c>
      <c r="I18" s="10">
        <v>67.92</v>
      </c>
      <c r="J18" s="10">
        <v>559</v>
      </c>
      <c r="K18">
        <f t="shared" si="0"/>
        <v>0</v>
      </c>
    </row>
    <row r="19" spans="1:11">
      <c r="A19" s="10" t="s">
        <v>190</v>
      </c>
      <c r="B19" s="10">
        <v>57.88</v>
      </c>
      <c r="C19" s="10">
        <v>0.65</v>
      </c>
      <c r="D19" s="10">
        <v>2788</v>
      </c>
      <c r="E19" s="10">
        <v>472</v>
      </c>
      <c r="F19" s="10">
        <v>219</v>
      </c>
      <c r="G19" s="10">
        <v>16.93</v>
      </c>
      <c r="H19" s="10">
        <v>7.86</v>
      </c>
      <c r="I19" s="10">
        <v>67.91</v>
      </c>
      <c r="J19" s="10">
        <v>927</v>
      </c>
      <c r="K19">
        <f t="shared" si="0"/>
        <v>0</v>
      </c>
    </row>
    <row r="20" spans="1:11">
      <c r="A20" s="10" t="s">
        <v>256</v>
      </c>
      <c r="B20" s="10">
        <v>66.849999999999994</v>
      </c>
      <c r="C20" s="10">
        <v>0.65</v>
      </c>
      <c r="D20" s="10">
        <v>3443</v>
      </c>
      <c r="E20" s="10">
        <v>830</v>
      </c>
      <c r="F20" s="10">
        <v>428</v>
      </c>
      <c r="G20" s="10">
        <v>24.11</v>
      </c>
      <c r="H20" s="10">
        <v>12.43</v>
      </c>
      <c r="I20" s="10">
        <v>67.900000000000006</v>
      </c>
      <c r="J20" s="10">
        <v>713</v>
      </c>
      <c r="K20">
        <f t="shared" si="0"/>
        <v>0</v>
      </c>
    </row>
    <row r="21" spans="1:11">
      <c r="A21" s="10" t="s">
        <v>203</v>
      </c>
      <c r="B21" s="10">
        <v>64.27</v>
      </c>
      <c r="C21" s="10">
        <v>0.65</v>
      </c>
      <c r="D21" s="10">
        <v>2707</v>
      </c>
      <c r="E21" s="10">
        <v>399</v>
      </c>
      <c r="F21" s="10">
        <v>176</v>
      </c>
      <c r="G21" s="10">
        <v>14.74</v>
      </c>
      <c r="H21" s="10">
        <v>6.5</v>
      </c>
      <c r="I21" s="10">
        <v>69.17</v>
      </c>
      <c r="J21" s="10">
        <v>1078</v>
      </c>
      <c r="K21">
        <f t="shared" si="0"/>
        <v>3.0769230769230795E-2</v>
      </c>
    </row>
    <row r="22" spans="1:11">
      <c r="A22" s="10" t="s">
        <v>89</v>
      </c>
      <c r="B22" s="10">
        <v>76.62</v>
      </c>
      <c r="C22" s="10">
        <v>0.67</v>
      </c>
      <c r="D22" s="10">
        <v>3156</v>
      </c>
      <c r="E22" s="10">
        <v>642</v>
      </c>
      <c r="F22" s="10">
        <v>310</v>
      </c>
      <c r="G22" s="10">
        <v>20.34</v>
      </c>
      <c r="H22" s="10">
        <v>9.82</v>
      </c>
      <c r="I22" s="10">
        <v>64.2</v>
      </c>
      <c r="J22" s="10">
        <v>524</v>
      </c>
      <c r="K22">
        <f t="shared" si="0"/>
        <v>0</v>
      </c>
    </row>
    <row r="23" spans="1:11">
      <c r="A23" s="10" t="s">
        <v>127</v>
      </c>
      <c r="B23" s="10">
        <v>80.44</v>
      </c>
      <c r="C23" s="10">
        <v>0.67</v>
      </c>
      <c r="D23" s="10">
        <v>2794</v>
      </c>
      <c r="E23" s="10">
        <v>515</v>
      </c>
      <c r="F23" s="10">
        <v>232</v>
      </c>
      <c r="G23" s="10">
        <v>18.43</v>
      </c>
      <c r="H23" s="10">
        <v>8.3000000000000007</v>
      </c>
      <c r="I23" s="10">
        <v>68.23</v>
      </c>
      <c r="J23" s="10">
        <v>1107</v>
      </c>
      <c r="K23">
        <f t="shared" si="0"/>
        <v>0</v>
      </c>
    </row>
    <row r="24" spans="1:11">
      <c r="A24" s="10" t="s">
        <v>88</v>
      </c>
      <c r="B24" s="10">
        <v>75.3</v>
      </c>
      <c r="C24" s="10">
        <v>0.67</v>
      </c>
      <c r="D24" s="10">
        <v>3417</v>
      </c>
      <c r="E24" s="10">
        <v>836</v>
      </c>
      <c r="F24" s="10">
        <v>497</v>
      </c>
      <c r="G24" s="10">
        <v>24.47</v>
      </c>
      <c r="H24" s="10">
        <v>14.54</v>
      </c>
      <c r="I24" s="10">
        <v>68.39</v>
      </c>
      <c r="J24" s="10">
        <v>705</v>
      </c>
      <c r="K24">
        <f t="shared" si="0"/>
        <v>0</v>
      </c>
    </row>
    <row r="25" spans="1:11">
      <c r="A25" s="10" t="s">
        <v>24</v>
      </c>
      <c r="B25" s="10">
        <v>73.680000000000007</v>
      </c>
      <c r="C25" s="10">
        <v>0.67</v>
      </c>
      <c r="D25" s="10">
        <v>2707</v>
      </c>
      <c r="E25" s="10">
        <v>478</v>
      </c>
      <c r="F25" s="10">
        <v>206</v>
      </c>
      <c r="G25" s="10">
        <v>17.66</v>
      </c>
      <c r="H25" s="10">
        <v>7.61</v>
      </c>
      <c r="I25" s="10">
        <v>65.680000000000007</v>
      </c>
      <c r="J25" s="10">
        <v>1123</v>
      </c>
      <c r="K25">
        <f t="shared" si="0"/>
        <v>2.9850746268656577E-2</v>
      </c>
    </row>
    <row r="26" spans="1:11">
      <c r="A26" s="10" t="s">
        <v>55</v>
      </c>
      <c r="B26" s="10">
        <v>77.66</v>
      </c>
      <c r="C26" s="10">
        <v>0.69</v>
      </c>
      <c r="D26" s="10">
        <v>3228</v>
      </c>
      <c r="E26" s="10">
        <v>771</v>
      </c>
      <c r="F26" s="10">
        <v>388</v>
      </c>
      <c r="G26" s="10">
        <v>23.88</v>
      </c>
      <c r="H26" s="10">
        <v>12.02</v>
      </c>
      <c r="I26" s="10">
        <v>65.05</v>
      </c>
      <c r="J26" s="10">
        <v>448</v>
      </c>
      <c r="K26">
        <f t="shared" si="0"/>
        <v>0</v>
      </c>
    </row>
    <row r="27" spans="1:11">
      <c r="A27" s="10" t="s">
        <v>183</v>
      </c>
      <c r="B27" s="10">
        <v>80.819999999999993</v>
      </c>
      <c r="C27" s="10">
        <v>0.69</v>
      </c>
      <c r="D27" s="10">
        <v>2633</v>
      </c>
      <c r="E27" s="10">
        <v>422</v>
      </c>
      <c r="F27" s="10">
        <v>175</v>
      </c>
      <c r="G27" s="10">
        <v>16.03</v>
      </c>
      <c r="H27" s="10">
        <v>6.65</v>
      </c>
      <c r="I27" s="10">
        <v>62.21</v>
      </c>
      <c r="J27" s="10">
        <v>1126</v>
      </c>
      <c r="K27">
        <f t="shared" si="0"/>
        <v>0</v>
      </c>
    </row>
    <row r="28" spans="1:11">
      <c r="A28" s="10" t="s">
        <v>34</v>
      </c>
      <c r="B28" s="10">
        <v>80.680000000000007</v>
      </c>
      <c r="C28" s="10">
        <v>0.69</v>
      </c>
      <c r="D28" s="10">
        <v>3211</v>
      </c>
      <c r="E28" s="10">
        <v>873</v>
      </c>
      <c r="F28" s="10">
        <v>457</v>
      </c>
      <c r="G28" s="10">
        <v>27.19</v>
      </c>
      <c r="H28" s="10">
        <v>14.23</v>
      </c>
      <c r="I28" s="10">
        <v>65.7</v>
      </c>
      <c r="J28" s="10">
        <v>653</v>
      </c>
      <c r="K28">
        <f t="shared" si="0"/>
        <v>0</v>
      </c>
    </row>
    <row r="29" spans="1:11">
      <c r="A29" s="10" t="s">
        <v>173</v>
      </c>
      <c r="B29" s="10">
        <v>84.95</v>
      </c>
      <c r="C29" s="10">
        <v>0.69</v>
      </c>
      <c r="D29" s="10">
        <v>2961</v>
      </c>
      <c r="E29" s="10">
        <v>544</v>
      </c>
      <c r="F29" s="10">
        <v>505</v>
      </c>
      <c r="G29" s="10">
        <v>18.37</v>
      </c>
      <c r="H29" s="10">
        <v>17.05</v>
      </c>
      <c r="I29" s="10">
        <v>69.02</v>
      </c>
      <c r="J29" s="10">
        <v>1140</v>
      </c>
      <c r="K29">
        <f t="shared" si="0"/>
        <v>4.3478260869565258E-2</v>
      </c>
    </row>
    <row r="30" spans="1:11">
      <c r="A30" s="10" t="s">
        <v>282</v>
      </c>
      <c r="B30" s="10">
        <v>77.94</v>
      </c>
      <c r="C30" s="10">
        <v>0.72</v>
      </c>
      <c r="D30" s="10">
        <v>3364</v>
      </c>
      <c r="E30" s="10">
        <v>755</v>
      </c>
      <c r="F30" s="10">
        <v>428</v>
      </c>
      <c r="G30" s="10">
        <v>22.44</v>
      </c>
      <c r="H30" s="10">
        <v>12.72</v>
      </c>
      <c r="I30" s="10">
        <v>55.87</v>
      </c>
      <c r="J30" s="10">
        <v>143</v>
      </c>
      <c r="K30">
        <f t="shared" si="0"/>
        <v>0</v>
      </c>
    </row>
    <row r="31" spans="1:11">
      <c r="A31" s="10" t="s">
        <v>110</v>
      </c>
      <c r="B31" s="10">
        <v>77.98</v>
      </c>
      <c r="C31" s="10">
        <v>0.72</v>
      </c>
      <c r="D31" s="10">
        <v>2696</v>
      </c>
      <c r="E31" s="10">
        <v>426</v>
      </c>
      <c r="F31" s="10">
        <v>188</v>
      </c>
      <c r="G31" s="10">
        <v>15.8</v>
      </c>
      <c r="H31" s="10">
        <v>6.97</v>
      </c>
      <c r="I31" s="10">
        <v>55.26</v>
      </c>
      <c r="J31" s="10">
        <v>897</v>
      </c>
      <c r="K31">
        <f t="shared" si="0"/>
        <v>0</v>
      </c>
    </row>
    <row r="32" spans="1:11">
      <c r="A32" s="10" t="s">
        <v>52</v>
      </c>
      <c r="B32" s="10">
        <v>76.19</v>
      </c>
      <c r="C32" s="10">
        <v>0.72</v>
      </c>
      <c r="D32" s="10">
        <v>3328</v>
      </c>
      <c r="E32" s="10">
        <v>826</v>
      </c>
      <c r="F32" s="10">
        <v>435</v>
      </c>
      <c r="G32" s="10">
        <v>24.82</v>
      </c>
      <c r="H32" s="10">
        <v>13.07</v>
      </c>
      <c r="I32" s="10">
        <v>55.31</v>
      </c>
      <c r="J32" s="10">
        <v>560</v>
      </c>
      <c r="K32">
        <f t="shared" si="0"/>
        <v>0</v>
      </c>
    </row>
    <row r="33" spans="1:11">
      <c r="A33" s="10" t="s">
        <v>107</v>
      </c>
      <c r="B33" s="10">
        <v>76.459999999999994</v>
      </c>
      <c r="C33" s="10">
        <v>0.72</v>
      </c>
      <c r="D33" s="10">
        <v>2949</v>
      </c>
      <c r="E33" s="10">
        <v>526</v>
      </c>
      <c r="F33" s="10">
        <v>331</v>
      </c>
      <c r="G33" s="10">
        <v>17.84</v>
      </c>
      <c r="H33" s="10">
        <v>11.22</v>
      </c>
      <c r="I33" s="10">
        <v>56.7</v>
      </c>
      <c r="J33" s="10">
        <v>1095</v>
      </c>
      <c r="K33">
        <f t="shared" si="0"/>
        <v>2.7777777777777804E-2</v>
      </c>
    </row>
    <row r="34" spans="1:11">
      <c r="A34" s="10" t="s">
        <v>18</v>
      </c>
      <c r="B34" s="10">
        <v>84.81</v>
      </c>
      <c r="C34" s="10">
        <v>0.74</v>
      </c>
      <c r="D34" s="10">
        <v>3514</v>
      </c>
      <c r="E34" s="10">
        <v>786</v>
      </c>
      <c r="F34" s="10">
        <v>424</v>
      </c>
      <c r="G34" s="10">
        <v>22.37</v>
      </c>
      <c r="H34" s="10">
        <v>12.07</v>
      </c>
      <c r="I34" s="10">
        <v>64.709999999999994</v>
      </c>
      <c r="J34" s="10">
        <v>464</v>
      </c>
      <c r="K34">
        <f t="shared" si="0"/>
        <v>0</v>
      </c>
    </row>
    <row r="35" spans="1:11">
      <c r="A35" s="10" t="s">
        <v>222</v>
      </c>
      <c r="B35" s="10">
        <v>87.68</v>
      </c>
      <c r="C35" s="10">
        <v>0.74</v>
      </c>
      <c r="D35" s="10">
        <v>2331</v>
      </c>
      <c r="E35" s="10">
        <v>376</v>
      </c>
      <c r="F35" s="10">
        <v>152</v>
      </c>
      <c r="G35" s="10">
        <v>16.13</v>
      </c>
      <c r="H35" s="10">
        <v>6.52</v>
      </c>
      <c r="I35" s="10">
        <v>66.17</v>
      </c>
      <c r="J35" s="10">
        <v>1074</v>
      </c>
      <c r="K35">
        <f t="shared" si="0"/>
        <v>0</v>
      </c>
    </row>
    <row r="36" spans="1:11">
      <c r="A36" s="10" t="s">
        <v>170</v>
      </c>
      <c r="B36" s="10">
        <v>94.47</v>
      </c>
      <c r="C36" s="10">
        <v>0.74</v>
      </c>
      <c r="D36" s="10">
        <v>3365</v>
      </c>
      <c r="E36" s="10">
        <v>867</v>
      </c>
      <c r="F36" s="10">
        <v>473</v>
      </c>
      <c r="G36" s="10">
        <v>25.77</v>
      </c>
      <c r="H36" s="10">
        <v>14.06</v>
      </c>
      <c r="I36" s="10">
        <v>69.12</v>
      </c>
      <c r="J36" s="10">
        <v>422</v>
      </c>
      <c r="K36">
        <f t="shared" si="0"/>
        <v>0</v>
      </c>
    </row>
    <row r="37" spans="1:11">
      <c r="A37" s="10" t="s">
        <v>250</v>
      </c>
      <c r="B37" s="10">
        <v>90.47</v>
      </c>
      <c r="C37" s="10">
        <v>0.74</v>
      </c>
      <c r="D37" s="10">
        <v>2951</v>
      </c>
      <c r="E37" s="10">
        <v>565</v>
      </c>
      <c r="F37" s="10">
        <v>295</v>
      </c>
      <c r="G37" s="10">
        <v>19.149999999999999</v>
      </c>
      <c r="H37" s="10">
        <v>10</v>
      </c>
      <c r="I37" s="10">
        <v>69.22</v>
      </c>
      <c r="J37" s="10">
        <v>1174</v>
      </c>
      <c r="K37">
        <f t="shared" si="0"/>
        <v>4.0540540540540577E-2</v>
      </c>
    </row>
    <row r="38" spans="1:11">
      <c r="A38" s="10" t="s">
        <v>126</v>
      </c>
      <c r="B38" s="10">
        <v>78</v>
      </c>
      <c r="C38" s="10">
        <v>0.77</v>
      </c>
      <c r="D38" s="10">
        <v>3234</v>
      </c>
      <c r="E38" s="10">
        <v>808</v>
      </c>
      <c r="F38" s="10">
        <v>375</v>
      </c>
      <c r="G38" s="10">
        <v>24.98</v>
      </c>
      <c r="H38" s="10">
        <v>11.6</v>
      </c>
      <c r="I38" s="10">
        <v>72.55</v>
      </c>
      <c r="J38" s="10">
        <v>412</v>
      </c>
      <c r="K38">
        <f t="shared" si="0"/>
        <v>0</v>
      </c>
    </row>
    <row r="39" spans="1:11">
      <c r="A39" s="10" t="s">
        <v>161</v>
      </c>
      <c r="B39" s="10">
        <v>71.930000000000007</v>
      </c>
      <c r="C39" s="10">
        <v>0.77</v>
      </c>
      <c r="D39" s="10">
        <v>2719</v>
      </c>
      <c r="E39" s="10">
        <v>479</v>
      </c>
      <c r="F39" s="10">
        <v>190</v>
      </c>
      <c r="G39" s="10">
        <v>17.62</v>
      </c>
      <c r="H39" s="10">
        <v>6.99</v>
      </c>
      <c r="I39" s="10">
        <v>76.739999999999995</v>
      </c>
      <c r="J39" s="10">
        <v>768</v>
      </c>
      <c r="K39">
        <f t="shared" si="0"/>
        <v>0</v>
      </c>
    </row>
    <row r="40" spans="1:11">
      <c r="A40" s="10" t="s">
        <v>28</v>
      </c>
      <c r="B40" s="10">
        <v>77.8</v>
      </c>
      <c r="C40" s="10">
        <v>0.77</v>
      </c>
      <c r="D40" s="10">
        <v>3333</v>
      </c>
      <c r="E40" s="10">
        <v>860</v>
      </c>
      <c r="F40" s="10">
        <v>493</v>
      </c>
      <c r="G40" s="10">
        <v>25.8</v>
      </c>
      <c r="H40" s="10">
        <v>14.79</v>
      </c>
      <c r="I40" s="10">
        <v>75.25</v>
      </c>
      <c r="J40" s="10">
        <v>188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K40"/>
  <sheetViews>
    <sheetView topLeftCell="A13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  <c r="K1" s="11" t="s">
        <v>204</v>
      </c>
    </row>
    <row r="2" spans="1:11">
      <c r="A2" s="10" t="s">
        <v>32</v>
      </c>
      <c r="B2" s="10">
        <v>38.54</v>
      </c>
      <c r="C2" s="10">
        <v>0.49</v>
      </c>
      <c r="D2" s="10">
        <v>26990</v>
      </c>
      <c r="E2" s="10">
        <v>4453</v>
      </c>
      <c r="F2" s="10">
        <v>1439</v>
      </c>
      <c r="G2" s="10">
        <v>16.5</v>
      </c>
      <c r="H2" s="10">
        <v>5.33</v>
      </c>
      <c r="I2" s="10">
        <v>155</v>
      </c>
      <c r="J2" s="10">
        <v>5035</v>
      </c>
      <c r="K2">
        <f t="shared" ref="K2:K39" si="0">(C3-C2)/C2</f>
        <v>0</v>
      </c>
    </row>
    <row r="3" spans="1:11">
      <c r="A3" s="10" t="s">
        <v>79</v>
      </c>
      <c r="B3" s="10">
        <v>37.229999999999997</v>
      </c>
      <c r="C3" s="10">
        <v>0.49</v>
      </c>
      <c r="D3" s="10">
        <v>27536</v>
      </c>
      <c r="E3" s="10">
        <v>4892</v>
      </c>
      <c r="F3" s="10">
        <v>1609</v>
      </c>
      <c r="G3" s="10">
        <v>17.77</v>
      </c>
      <c r="H3" s="10">
        <v>5.84</v>
      </c>
      <c r="I3" s="10">
        <v>87.44</v>
      </c>
      <c r="J3" s="10">
        <v>7757</v>
      </c>
      <c r="K3">
        <f t="shared" si="0"/>
        <v>2.0408163265306142E-2</v>
      </c>
    </row>
    <row r="4" spans="1:11">
      <c r="A4" s="10" t="s">
        <v>181</v>
      </c>
      <c r="B4" s="10">
        <v>36.799999999999997</v>
      </c>
      <c r="C4" s="10">
        <v>0.5</v>
      </c>
      <c r="D4" s="10">
        <v>27913</v>
      </c>
      <c r="E4" s="10">
        <v>4647</v>
      </c>
      <c r="F4" s="10">
        <v>1379</v>
      </c>
      <c r="G4" s="10">
        <v>16.649999999999999</v>
      </c>
      <c r="H4" s="10">
        <v>4.9400000000000004</v>
      </c>
      <c r="I4" s="10">
        <v>78.819999999999993</v>
      </c>
      <c r="J4" s="10">
        <v>8720</v>
      </c>
      <c r="K4">
        <f t="shared" si="0"/>
        <v>0</v>
      </c>
    </row>
    <row r="5" spans="1:11">
      <c r="A5" s="10" t="s">
        <v>217</v>
      </c>
      <c r="B5" s="10">
        <v>40.119999999999997</v>
      </c>
      <c r="C5" s="10">
        <v>0.5</v>
      </c>
      <c r="D5" s="10">
        <v>28436</v>
      </c>
      <c r="E5" s="10">
        <v>-1112</v>
      </c>
      <c r="F5" s="10">
        <v>-2023</v>
      </c>
      <c r="G5" s="10">
        <v>-3.91</v>
      </c>
      <c r="H5" s="10">
        <v>-7.11</v>
      </c>
      <c r="I5" s="10">
        <v>78.819999999999993</v>
      </c>
      <c r="J5" s="10">
        <v>8268</v>
      </c>
      <c r="K5">
        <f t="shared" si="0"/>
        <v>0</v>
      </c>
    </row>
    <row r="6" spans="1:11">
      <c r="A6" s="10" t="s">
        <v>162</v>
      </c>
      <c r="B6" s="10">
        <v>38.229999999999997</v>
      </c>
      <c r="C6" s="10">
        <v>0.5</v>
      </c>
      <c r="D6" s="10">
        <v>28242</v>
      </c>
      <c r="E6" s="10">
        <v>5195</v>
      </c>
      <c r="F6" s="10">
        <v>1686</v>
      </c>
      <c r="G6" s="10">
        <v>18.39</v>
      </c>
      <c r="H6" s="10">
        <v>5.97</v>
      </c>
      <c r="I6" s="10">
        <v>232.35</v>
      </c>
      <c r="J6" s="10">
        <v>5957</v>
      </c>
      <c r="K6">
        <f t="shared" si="0"/>
        <v>0</v>
      </c>
    </row>
    <row r="7" spans="1:11">
      <c r="A7" s="10" t="s">
        <v>64</v>
      </c>
      <c r="B7" s="10">
        <v>44.44</v>
      </c>
      <c r="C7" s="10">
        <v>0.5</v>
      </c>
      <c r="D7" s="10">
        <v>28552</v>
      </c>
      <c r="E7" s="10">
        <v>5651</v>
      </c>
      <c r="F7" s="10">
        <v>1825</v>
      </c>
      <c r="G7" s="10">
        <v>19.79</v>
      </c>
      <c r="H7" s="10">
        <v>6.39</v>
      </c>
      <c r="I7" s="10">
        <v>213.71</v>
      </c>
      <c r="J7" s="10">
        <v>9314</v>
      </c>
      <c r="K7">
        <f t="shared" si="0"/>
        <v>4.0000000000000036E-2</v>
      </c>
    </row>
    <row r="8" spans="1:11">
      <c r="A8" s="10" t="s">
        <v>226</v>
      </c>
      <c r="B8" s="10">
        <v>45.57</v>
      </c>
      <c r="C8" s="10">
        <v>0.52</v>
      </c>
      <c r="D8" s="10">
        <v>29007</v>
      </c>
      <c r="E8" s="10">
        <v>5483</v>
      </c>
      <c r="F8" s="10">
        <v>1593</v>
      </c>
      <c r="G8" s="10">
        <v>18.899999999999999</v>
      </c>
      <c r="H8" s="10">
        <v>5.49</v>
      </c>
      <c r="I8" s="10">
        <v>200</v>
      </c>
      <c r="J8" s="10">
        <v>9487</v>
      </c>
      <c r="K8">
        <f t="shared" si="0"/>
        <v>0</v>
      </c>
    </row>
    <row r="9" spans="1:11">
      <c r="A9" s="10" t="s">
        <v>247</v>
      </c>
      <c r="B9" s="10">
        <v>43.27</v>
      </c>
      <c r="C9" s="10">
        <v>0.52</v>
      </c>
      <c r="D9" s="10">
        <v>30045</v>
      </c>
      <c r="E9" s="10">
        <v>-3169</v>
      </c>
      <c r="F9" s="10">
        <v>-4229</v>
      </c>
      <c r="G9" s="10">
        <v>-10.55</v>
      </c>
      <c r="H9" s="10">
        <v>-14.08</v>
      </c>
      <c r="I9" s="10">
        <v>663.19</v>
      </c>
      <c r="J9" s="10">
        <v>6728</v>
      </c>
      <c r="K9">
        <f t="shared" si="0"/>
        <v>0</v>
      </c>
    </row>
    <row r="10" spans="1:11">
      <c r="A10" s="10" t="s">
        <v>19</v>
      </c>
      <c r="B10" s="10">
        <v>49.15</v>
      </c>
      <c r="C10" s="10">
        <v>0.52</v>
      </c>
      <c r="D10" s="10">
        <v>29420</v>
      </c>
      <c r="E10" s="10">
        <v>6222</v>
      </c>
      <c r="F10" s="10">
        <v>1952</v>
      </c>
      <c r="G10" s="10">
        <v>21.15</v>
      </c>
      <c r="H10" s="10">
        <v>6.63</v>
      </c>
      <c r="I10" s="10">
        <v>663.19</v>
      </c>
      <c r="J10" s="10">
        <v>7531</v>
      </c>
      <c r="K10">
        <f t="shared" si="0"/>
        <v>0</v>
      </c>
    </row>
    <row r="11" spans="1:11">
      <c r="A11" s="10" t="s">
        <v>192</v>
      </c>
      <c r="B11" s="10">
        <v>50.34</v>
      </c>
      <c r="C11" s="10">
        <v>0.52</v>
      </c>
      <c r="D11" s="10">
        <v>29786</v>
      </c>
      <c r="E11" s="10">
        <v>6555</v>
      </c>
      <c r="F11" s="10">
        <v>2246</v>
      </c>
      <c r="G11" s="10">
        <v>22.01</v>
      </c>
      <c r="H11" s="10">
        <v>7.54</v>
      </c>
      <c r="I11" s="10">
        <v>516.29</v>
      </c>
      <c r="J11" s="10">
        <v>9617</v>
      </c>
      <c r="K11">
        <f t="shared" si="0"/>
        <v>1.9230769230769246E-2</v>
      </c>
    </row>
    <row r="12" spans="1:11">
      <c r="A12" s="10" t="s">
        <v>160</v>
      </c>
      <c r="B12" s="10">
        <v>46.674999999999997</v>
      </c>
      <c r="C12" s="10">
        <v>0.53</v>
      </c>
      <c r="D12" s="10">
        <v>30279</v>
      </c>
      <c r="E12" s="10">
        <v>7128</v>
      </c>
      <c r="F12" s="10">
        <v>2232</v>
      </c>
      <c r="G12" s="10">
        <v>23.54</v>
      </c>
      <c r="H12" s="10">
        <v>7.37</v>
      </c>
      <c r="I12" s="10">
        <v>384.26</v>
      </c>
      <c r="J12" s="10">
        <v>11239</v>
      </c>
      <c r="K12">
        <f t="shared" si="0"/>
        <v>0</v>
      </c>
    </row>
    <row r="13" spans="1:11">
      <c r="A13" s="10" t="s">
        <v>168</v>
      </c>
      <c r="B13" s="10">
        <v>49.14</v>
      </c>
      <c r="C13" s="10">
        <v>0.53</v>
      </c>
      <c r="D13" s="10">
        <v>31065</v>
      </c>
      <c r="E13" s="10">
        <v>12063</v>
      </c>
      <c r="F13" s="10">
        <v>5067</v>
      </c>
      <c r="G13" s="10">
        <v>38.83</v>
      </c>
      <c r="H13" s="10">
        <v>16.309999999999999</v>
      </c>
      <c r="I13" s="10">
        <v>274.44</v>
      </c>
      <c r="J13" s="10">
        <v>10431</v>
      </c>
      <c r="K13">
        <f t="shared" si="0"/>
        <v>0</v>
      </c>
    </row>
    <row r="14" spans="1:11">
      <c r="A14" s="10" t="s">
        <v>63</v>
      </c>
      <c r="B14" s="10">
        <v>47.57</v>
      </c>
      <c r="C14" s="10">
        <v>0.53</v>
      </c>
      <c r="D14" s="10">
        <v>30818</v>
      </c>
      <c r="E14" s="10">
        <v>7160</v>
      </c>
      <c r="F14" s="10">
        <v>3947</v>
      </c>
      <c r="G14" s="10">
        <v>23.23</v>
      </c>
      <c r="H14" s="10">
        <v>12.81</v>
      </c>
      <c r="I14" s="10">
        <v>52.03</v>
      </c>
      <c r="J14" s="10">
        <v>7139</v>
      </c>
      <c r="K14">
        <f t="shared" si="0"/>
        <v>0</v>
      </c>
    </row>
    <row r="15" spans="1:11">
      <c r="A15" s="10" t="s">
        <v>14</v>
      </c>
      <c r="B15" s="10">
        <v>48.93</v>
      </c>
      <c r="C15" s="10">
        <v>0.53</v>
      </c>
      <c r="D15" s="10">
        <v>31483</v>
      </c>
      <c r="E15" s="10">
        <v>7685</v>
      </c>
      <c r="F15" s="10">
        <v>4214</v>
      </c>
      <c r="G15" s="10">
        <v>24.41</v>
      </c>
      <c r="H15" s="10">
        <v>13.39</v>
      </c>
      <c r="I15" s="10">
        <v>46.91</v>
      </c>
      <c r="J15" s="10">
        <v>7665</v>
      </c>
      <c r="K15">
        <f t="shared" si="0"/>
        <v>3.7735849056603807E-2</v>
      </c>
    </row>
    <row r="16" spans="1:11">
      <c r="A16" s="10" t="s">
        <v>288</v>
      </c>
      <c r="B16" s="10">
        <v>49.99</v>
      </c>
      <c r="C16" s="10">
        <v>0.55000000000000004</v>
      </c>
      <c r="D16" s="10">
        <v>31586</v>
      </c>
      <c r="E16" s="10">
        <v>6890</v>
      </c>
      <c r="F16" s="10">
        <v>3695</v>
      </c>
      <c r="G16" s="10">
        <v>21.81</v>
      </c>
      <c r="H16" s="10">
        <v>11.7</v>
      </c>
      <c r="I16" s="10">
        <v>45.04</v>
      </c>
      <c r="J16" s="10">
        <v>8353</v>
      </c>
      <c r="K16">
        <f t="shared" si="0"/>
        <v>0</v>
      </c>
    </row>
    <row r="17" spans="1:11">
      <c r="A17" s="10" t="s">
        <v>133</v>
      </c>
      <c r="B17" s="10">
        <v>46.78</v>
      </c>
      <c r="C17" s="10">
        <v>0.55000000000000004</v>
      </c>
      <c r="D17" s="10">
        <v>33192</v>
      </c>
      <c r="E17" s="10">
        <v>-2136</v>
      </c>
      <c r="F17" s="10">
        <v>-2231</v>
      </c>
      <c r="G17" s="10">
        <v>-6.44</v>
      </c>
      <c r="H17" s="10">
        <v>-6.72</v>
      </c>
      <c r="I17" s="10">
        <v>44.52</v>
      </c>
      <c r="J17" s="10">
        <v>7474</v>
      </c>
      <c r="K17">
        <f t="shared" si="0"/>
        <v>0</v>
      </c>
    </row>
    <row r="18" spans="1:11">
      <c r="A18" s="10" t="s">
        <v>36</v>
      </c>
      <c r="B18" s="10">
        <v>48.63</v>
      </c>
      <c r="C18" s="10">
        <v>0.55000000000000004</v>
      </c>
      <c r="D18" s="10">
        <v>31984</v>
      </c>
      <c r="E18" s="10">
        <v>7960</v>
      </c>
      <c r="F18" s="10">
        <v>4219</v>
      </c>
      <c r="G18" s="10">
        <v>24.89</v>
      </c>
      <c r="H18" s="10">
        <v>13.19</v>
      </c>
      <c r="I18" s="10">
        <v>89.26</v>
      </c>
      <c r="J18" s="10">
        <v>10169</v>
      </c>
      <c r="K18">
        <f t="shared" si="0"/>
        <v>0</v>
      </c>
    </row>
    <row r="19" spans="1:11">
      <c r="A19" s="10" t="s">
        <v>190</v>
      </c>
      <c r="B19" s="10">
        <v>46.61</v>
      </c>
      <c r="C19" s="10">
        <v>0.55000000000000004</v>
      </c>
      <c r="D19" s="10">
        <v>32224</v>
      </c>
      <c r="E19" s="10">
        <v>7821</v>
      </c>
      <c r="F19" s="10">
        <v>4231</v>
      </c>
      <c r="G19" s="10">
        <v>24.27</v>
      </c>
      <c r="H19" s="10">
        <v>13.13</v>
      </c>
      <c r="I19" s="10">
        <v>95.2</v>
      </c>
      <c r="J19" s="10">
        <v>8737</v>
      </c>
      <c r="K19">
        <f t="shared" si="0"/>
        <v>3.6363636363636188E-2</v>
      </c>
    </row>
    <row r="20" spans="1:11">
      <c r="A20" s="10" t="s">
        <v>256</v>
      </c>
      <c r="B20" s="10">
        <v>43.51</v>
      </c>
      <c r="C20" s="10">
        <v>0.56999999999999995</v>
      </c>
      <c r="D20" s="10">
        <v>33158</v>
      </c>
      <c r="E20" s="10">
        <v>7535</v>
      </c>
      <c r="F20" s="10">
        <v>4038</v>
      </c>
      <c r="G20" s="10">
        <v>22.72</v>
      </c>
      <c r="H20" s="10">
        <v>12.18</v>
      </c>
      <c r="I20" s="10">
        <v>94.42</v>
      </c>
      <c r="J20" s="10">
        <v>9520</v>
      </c>
      <c r="K20">
        <f t="shared" si="0"/>
        <v>0</v>
      </c>
    </row>
    <row r="21" spans="1:11">
      <c r="A21" s="10" t="s">
        <v>203</v>
      </c>
      <c r="B21" s="10">
        <v>46.22</v>
      </c>
      <c r="C21" s="10">
        <v>0.56999999999999995</v>
      </c>
      <c r="D21" s="10">
        <v>34254</v>
      </c>
      <c r="E21" s="10">
        <v>9744</v>
      </c>
      <c r="F21" s="10">
        <v>5391</v>
      </c>
      <c r="G21" s="10">
        <v>28.45</v>
      </c>
      <c r="H21" s="10">
        <v>15.74</v>
      </c>
      <c r="I21" s="10">
        <v>90.78</v>
      </c>
      <c r="J21" s="10">
        <v>10504</v>
      </c>
      <c r="K21">
        <f t="shared" si="0"/>
        <v>0</v>
      </c>
    </row>
    <row r="22" spans="1:11">
      <c r="A22" s="10" t="s">
        <v>89</v>
      </c>
      <c r="B22" s="10">
        <v>54.08</v>
      </c>
      <c r="C22" s="10">
        <v>0.56999999999999995</v>
      </c>
      <c r="D22" s="10">
        <v>32171</v>
      </c>
      <c r="E22" s="10">
        <v>7942</v>
      </c>
      <c r="F22" s="10">
        <v>4310</v>
      </c>
      <c r="G22" s="10">
        <v>24.69</v>
      </c>
      <c r="H22" s="10">
        <v>13.4</v>
      </c>
      <c r="I22" s="10">
        <v>51.03</v>
      </c>
      <c r="J22" s="10">
        <v>7419</v>
      </c>
      <c r="K22">
        <f t="shared" si="0"/>
        <v>0</v>
      </c>
    </row>
    <row r="23" spans="1:11">
      <c r="A23" s="10" t="s">
        <v>127</v>
      </c>
      <c r="B23" s="10">
        <v>55.84</v>
      </c>
      <c r="C23" s="10">
        <v>0.56999999999999995</v>
      </c>
      <c r="D23" s="10">
        <v>30532</v>
      </c>
      <c r="E23" s="10">
        <v>4554</v>
      </c>
      <c r="F23" s="10">
        <v>702</v>
      </c>
      <c r="G23" s="10">
        <v>14.92</v>
      </c>
      <c r="H23" s="10">
        <v>2.2999999999999998</v>
      </c>
      <c r="I23" s="10">
        <v>50.91</v>
      </c>
      <c r="J23" s="10">
        <v>5411</v>
      </c>
      <c r="K23">
        <f t="shared" si="0"/>
        <v>1.7543859649122823E-2</v>
      </c>
    </row>
    <row r="24" spans="1:11">
      <c r="A24" s="10" t="s">
        <v>88</v>
      </c>
      <c r="B24" s="10">
        <v>51.98</v>
      </c>
      <c r="C24" s="10">
        <v>0.57999999999999996</v>
      </c>
      <c r="D24" s="10">
        <v>30937</v>
      </c>
      <c r="E24" s="10">
        <v>6540</v>
      </c>
      <c r="F24" s="10">
        <v>3620</v>
      </c>
      <c r="G24" s="10">
        <v>21.14</v>
      </c>
      <c r="H24" s="10">
        <v>11.7</v>
      </c>
      <c r="I24" s="10">
        <v>63.84</v>
      </c>
      <c r="J24" s="10">
        <v>4799</v>
      </c>
      <c r="K24">
        <f t="shared" si="0"/>
        <v>0</v>
      </c>
    </row>
    <row r="25" spans="1:11">
      <c r="A25" s="10" t="s">
        <v>24</v>
      </c>
      <c r="B25" s="10">
        <v>53.38</v>
      </c>
      <c r="C25" s="10">
        <v>0.57999999999999996</v>
      </c>
      <c r="D25" s="10">
        <v>32340</v>
      </c>
      <c r="E25" s="10">
        <v>8023</v>
      </c>
      <c r="F25" s="10">
        <v>4495</v>
      </c>
      <c r="G25" s="10">
        <v>24.81</v>
      </c>
      <c r="H25" s="10">
        <v>13.9</v>
      </c>
      <c r="I25" s="10">
        <v>66.25</v>
      </c>
      <c r="J25" s="10">
        <v>5086</v>
      </c>
      <c r="K25">
        <f t="shared" si="0"/>
        <v>0</v>
      </c>
    </row>
    <row r="26" spans="1:11">
      <c r="A26" s="10" t="s">
        <v>55</v>
      </c>
      <c r="B26" s="10">
        <v>48.75</v>
      </c>
      <c r="C26" s="10">
        <v>0.57999999999999996</v>
      </c>
      <c r="D26" s="10">
        <v>29814</v>
      </c>
      <c r="E26" s="10">
        <v>7181</v>
      </c>
      <c r="F26" s="10">
        <v>3450</v>
      </c>
      <c r="G26" s="10">
        <v>24.09</v>
      </c>
      <c r="H26" s="10">
        <v>11.57</v>
      </c>
      <c r="I26" s="10">
        <v>71.180000000000007</v>
      </c>
      <c r="J26" s="10">
        <v>1681</v>
      </c>
      <c r="K26">
        <f t="shared" si="0"/>
        <v>0</v>
      </c>
    </row>
    <row r="27" spans="1:11">
      <c r="A27" s="10" t="s">
        <v>183</v>
      </c>
      <c r="B27" s="10">
        <v>44.66</v>
      </c>
      <c r="C27" s="10">
        <v>0.57999999999999996</v>
      </c>
      <c r="D27" s="10">
        <v>30548</v>
      </c>
      <c r="E27" s="10">
        <v>10006</v>
      </c>
      <c r="F27" s="10">
        <v>4362</v>
      </c>
      <c r="G27" s="10">
        <v>32.76</v>
      </c>
      <c r="H27" s="10">
        <v>14.28</v>
      </c>
      <c r="I27" s="10">
        <v>76.84</v>
      </c>
      <c r="J27" s="10">
        <v>8237</v>
      </c>
      <c r="K27">
        <f t="shared" si="0"/>
        <v>1.7241379310344845E-2</v>
      </c>
    </row>
    <row r="28" spans="1:11">
      <c r="A28" s="10" t="s">
        <v>34</v>
      </c>
      <c r="B28" s="10">
        <v>49.49</v>
      </c>
      <c r="C28" s="10">
        <v>0.59</v>
      </c>
      <c r="D28" s="10">
        <v>31717</v>
      </c>
      <c r="E28" s="10">
        <v>7208</v>
      </c>
      <c r="F28" s="10">
        <v>3620</v>
      </c>
      <c r="G28" s="10">
        <v>22.73</v>
      </c>
      <c r="H28" s="10">
        <v>11.41</v>
      </c>
      <c r="I28" s="10">
        <v>59.38</v>
      </c>
      <c r="J28" s="10">
        <v>7303</v>
      </c>
      <c r="K28">
        <f t="shared" si="0"/>
        <v>0</v>
      </c>
    </row>
    <row r="29" spans="1:11">
      <c r="A29" s="10" t="s">
        <v>173</v>
      </c>
      <c r="B29" s="10">
        <v>52.93</v>
      </c>
      <c r="C29" s="10">
        <v>0.59</v>
      </c>
      <c r="D29" s="10">
        <v>33955</v>
      </c>
      <c r="E29" s="10">
        <v>4793</v>
      </c>
      <c r="F29" s="10">
        <v>18669</v>
      </c>
      <c r="G29" s="10">
        <v>14.12</v>
      </c>
      <c r="H29" s="10">
        <v>54.98</v>
      </c>
      <c r="I29" s="10">
        <v>59.55</v>
      </c>
      <c r="J29" s="10">
        <v>8084</v>
      </c>
      <c r="K29">
        <f t="shared" si="0"/>
        <v>0</v>
      </c>
    </row>
    <row r="30" spans="1:11">
      <c r="A30" s="10" t="s">
        <v>282</v>
      </c>
      <c r="B30" s="10">
        <v>47.82</v>
      </c>
      <c r="C30" s="10">
        <v>0.59</v>
      </c>
      <c r="D30" s="10">
        <v>31772</v>
      </c>
      <c r="E30" s="10">
        <v>7349</v>
      </c>
      <c r="F30" s="10">
        <v>4545</v>
      </c>
      <c r="G30" s="10">
        <v>23.13</v>
      </c>
      <c r="H30" s="10">
        <v>14.3</v>
      </c>
      <c r="I30" s="10">
        <v>31.73</v>
      </c>
      <c r="J30" s="10">
        <v>6648</v>
      </c>
      <c r="K30">
        <f t="shared" si="0"/>
        <v>0</v>
      </c>
    </row>
    <row r="31" spans="1:11">
      <c r="A31" s="10" t="s">
        <v>110</v>
      </c>
      <c r="B31" s="10">
        <v>50.31</v>
      </c>
      <c r="C31" s="10">
        <v>0.59</v>
      </c>
      <c r="D31" s="10">
        <v>32203</v>
      </c>
      <c r="E31" s="10">
        <v>6617</v>
      </c>
      <c r="F31" s="10">
        <v>4120</v>
      </c>
      <c r="G31" s="10">
        <v>20.55</v>
      </c>
      <c r="H31" s="10">
        <v>12.79</v>
      </c>
      <c r="I31" s="10">
        <v>30.77</v>
      </c>
      <c r="J31" s="10">
        <v>9785</v>
      </c>
      <c r="K31">
        <f t="shared" si="0"/>
        <v>1.6949152542372899E-2</v>
      </c>
    </row>
    <row r="32" spans="1:11">
      <c r="A32" s="10" t="s">
        <v>52</v>
      </c>
      <c r="B32" s="10">
        <v>53.39</v>
      </c>
      <c r="C32" s="10">
        <v>0.6</v>
      </c>
      <c r="D32" s="10">
        <v>32607</v>
      </c>
      <c r="E32" s="10">
        <v>7675</v>
      </c>
      <c r="F32" s="10">
        <v>4924</v>
      </c>
      <c r="G32" s="10">
        <v>23.54</v>
      </c>
      <c r="H32" s="10">
        <v>15.1</v>
      </c>
      <c r="I32" s="10">
        <v>31.26</v>
      </c>
      <c r="J32" s="10">
        <v>9811</v>
      </c>
      <c r="K32">
        <f t="shared" si="0"/>
        <v>0</v>
      </c>
    </row>
    <row r="33" spans="1:11">
      <c r="A33" s="10" t="s">
        <v>107</v>
      </c>
      <c r="B33" s="10">
        <v>56.22</v>
      </c>
      <c r="C33" s="10">
        <v>0.6</v>
      </c>
      <c r="D33" s="10">
        <v>34281</v>
      </c>
      <c r="E33" s="10">
        <v>5228</v>
      </c>
      <c r="F33" s="10">
        <v>1939</v>
      </c>
      <c r="G33" s="10">
        <v>15.25</v>
      </c>
      <c r="H33" s="10">
        <v>5.66</v>
      </c>
      <c r="I33" s="10">
        <v>30.22</v>
      </c>
      <c r="J33" s="10">
        <v>8095</v>
      </c>
      <c r="K33">
        <f t="shared" si="0"/>
        <v>0</v>
      </c>
    </row>
    <row r="34" spans="1:11">
      <c r="A34" s="10" t="s">
        <v>18</v>
      </c>
      <c r="B34" s="10">
        <v>59.13</v>
      </c>
      <c r="C34" s="10">
        <v>0.6</v>
      </c>
      <c r="D34" s="10">
        <v>32128</v>
      </c>
      <c r="E34" s="10">
        <v>7709</v>
      </c>
      <c r="F34" s="10">
        <v>5032</v>
      </c>
      <c r="G34" s="10">
        <v>23.99</v>
      </c>
      <c r="H34" s="10">
        <v>15.66</v>
      </c>
      <c r="I34" s="10">
        <v>63.43</v>
      </c>
      <c r="J34" s="10">
        <v>7081</v>
      </c>
      <c r="K34">
        <f t="shared" si="0"/>
        <v>0</v>
      </c>
    </row>
    <row r="35" spans="1:11">
      <c r="A35" s="10" t="s">
        <v>222</v>
      </c>
      <c r="B35" s="10">
        <v>57.13</v>
      </c>
      <c r="C35" s="10">
        <v>0.6</v>
      </c>
      <c r="D35" s="10">
        <v>32071</v>
      </c>
      <c r="E35" s="10">
        <v>7850</v>
      </c>
      <c r="F35" s="10">
        <v>3944</v>
      </c>
      <c r="G35" s="10">
        <v>24.48</v>
      </c>
      <c r="H35" s="10">
        <v>12.3</v>
      </c>
      <c r="I35" s="10">
        <v>61.95</v>
      </c>
      <c r="J35" s="10">
        <v>8755</v>
      </c>
      <c r="K35">
        <f t="shared" si="0"/>
        <v>3.3333333333333368E-2</v>
      </c>
    </row>
    <row r="36" spans="1:11">
      <c r="A36" s="10" t="s">
        <v>170</v>
      </c>
      <c r="B36" s="10">
        <v>60.36</v>
      </c>
      <c r="C36" s="10">
        <v>0.62</v>
      </c>
      <c r="D36" s="10">
        <v>32894</v>
      </c>
      <c r="E36" s="10">
        <v>8180</v>
      </c>
      <c r="F36" s="10">
        <v>5194</v>
      </c>
      <c r="G36" s="10">
        <v>24.87</v>
      </c>
      <c r="H36" s="10">
        <v>15.79</v>
      </c>
      <c r="I36" s="10">
        <v>62.92</v>
      </c>
      <c r="J36" s="10">
        <v>10912</v>
      </c>
      <c r="K36">
        <f t="shared" si="0"/>
        <v>0</v>
      </c>
    </row>
    <row r="37" spans="1:11">
      <c r="A37" s="10" t="s">
        <v>250</v>
      </c>
      <c r="B37" s="10">
        <v>61.4</v>
      </c>
      <c r="C37" s="10">
        <v>0.62</v>
      </c>
      <c r="D37" s="10">
        <v>34775</v>
      </c>
      <c r="E37" s="10">
        <v>6731</v>
      </c>
      <c r="F37" s="10">
        <v>5095</v>
      </c>
      <c r="G37" s="10">
        <v>19.36</v>
      </c>
      <c r="H37" s="10">
        <v>14.65</v>
      </c>
      <c r="I37" s="10">
        <v>62.28</v>
      </c>
      <c r="J37" s="10">
        <v>8998</v>
      </c>
      <c r="K37">
        <f t="shared" si="0"/>
        <v>0</v>
      </c>
    </row>
    <row r="38" spans="1:11">
      <c r="A38" s="10" t="s">
        <v>126</v>
      </c>
      <c r="B38" s="10">
        <v>53.73</v>
      </c>
      <c r="C38" s="10">
        <v>0.62</v>
      </c>
      <c r="D38" s="10">
        <v>31610</v>
      </c>
      <c r="E38" s="10">
        <v>6579</v>
      </c>
      <c r="F38" s="10">
        <v>4156</v>
      </c>
      <c r="G38" s="10">
        <v>20.81</v>
      </c>
      <c r="H38" s="10">
        <v>13.15</v>
      </c>
      <c r="I38" s="10">
        <v>52.37</v>
      </c>
      <c r="J38" s="10">
        <v>8824</v>
      </c>
      <c r="K38">
        <f t="shared" si="0"/>
        <v>0</v>
      </c>
    </row>
    <row r="39" spans="1:11">
      <c r="A39" s="10" t="s">
        <v>161</v>
      </c>
      <c r="B39" s="10">
        <v>55.13</v>
      </c>
      <c r="C39" s="10">
        <v>0.62</v>
      </c>
      <c r="D39" s="10">
        <v>30447</v>
      </c>
      <c r="E39" s="10">
        <v>7361</v>
      </c>
      <c r="F39" s="10">
        <v>4700</v>
      </c>
      <c r="G39" s="10">
        <v>24.18</v>
      </c>
      <c r="H39" s="10">
        <v>15.44</v>
      </c>
      <c r="I39" s="10">
        <v>55.25</v>
      </c>
      <c r="J39" s="10">
        <v>14728</v>
      </c>
      <c r="K39">
        <f t="shared" si="0"/>
        <v>1.612903225806453E-2</v>
      </c>
    </row>
    <row r="40" spans="1:11">
      <c r="A40" s="10" t="s">
        <v>28</v>
      </c>
      <c r="B40" s="10">
        <v>59.49</v>
      </c>
      <c r="C40" s="10">
        <v>0.63</v>
      </c>
      <c r="D40" s="10">
        <v>31543</v>
      </c>
      <c r="E40" s="10">
        <v>7678</v>
      </c>
      <c r="F40" s="10">
        <v>4357</v>
      </c>
      <c r="G40" s="10">
        <v>24.34</v>
      </c>
      <c r="H40" s="10">
        <v>13.81</v>
      </c>
      <c r="I40" s="10">
        <v>53.25</v>
      </c>
      <c r="J40" s="10">
        <v>8920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K34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2" t="s">
        <v>273</v>
      </c>
      <c r="B1" s="12" t="s">
        <v>262</v>
      </c>
      <c r="C1" s="12" t="s">
        <v>223</v>
      </c>
      <c r="D1" s="12" t="s">
        <v>259</v>
      </c>
      <c r="E1" s="12" t="s">
        <v>258</v>
      </c>
      <c r="F1" s="12" t="s">
        <v>27</v>
      </c>
      <c r="G1" s="12" t="s">
        <v>77</v>
      </c>
      <c r="H1" s="12" t="s">
        <v>278</v>
      </c>
      <c r="I1" s="12" t="s">
        <v>128</v>
      </c>
      <c r="J1" s="12" t="s">
        <v>308</v>
      </c>
    </row>
    <row r="2" spans="1:11" ht="17">
      <c r="A2" s="12" t="s">
        <v>226</v>
      </c>
      <c r="B2" s="12">
        <v>23.825700000000001</v>
      </c>
      <c r="C2" s="12">
        <v>0.09</v>
      </c>
      <c r="D2" s="12">
        <v>35966</v>
      </c>
      <c r="E2" s="12">
        <v>10944</v>
      </c>
      <c r="F2" s="12">
        <v>8223</v>
      </c>
      <c r="G2" s="12">
        <v>30.43</v>
      </c>
      <c r="H2" s="12">
        <v>22.86</v>
      </c>
      <c r="I2" s="12" t="s">
        <v>240</v>
      </c>
      <c r="J2" s="12">
        <v>9136</v>
      </c>
    </row>
    <row r="3" spans="1:11" ht="17">
      <c r="A3" s="12" t="s">
        <v>247</v>
      </c>
      <c r="B3" s="12">
        <v>19.006599999999999</v>
      </c>
      <c r="C3" s="12">
        <v>0.09</v>
      </c>
      <c r="D3" s="12">
        <v>54512</v>
      </c>
      <c r="E3" s="12">
        <v>17210</v>
      </c>
      <c r="F3" s="12">
        <v>13078</v>
      </c>
      <c r="G3" s="12">
        <v>31.57</v>
      </c>
      <c r="H3" s="12">
        <v>23.99</v>
      </c>
      <c r="I3" s="12">
        <v>12.02</v>
      </c>
      <c r="J3" s="12">
        <v>23426</v>
      </c>
      <c r="K3">
        <f t="shared" ref="K3:K33" si="0">(C4-C3)/C4</f>
        <v>0</v>
      </c>
    </row>
    <row r="4" spans="1:11" ht="17">
      <c r="A4" s="12" t="s">
        <v>19</v>
      </c>
      <c r="B4" s="12">
        <v>15.8096</v>
      </c>
      <c r="C4" s="12">
        <v>0.09</v>
      </c>
      <c r="D4" s="12">
        <v>43603</v>
      </c>
      <c r="E4" s="12">
        <v>12558</v>
      </c>
      <c r="F4" s="12">
        <v>9547</v>
      </c>
      <c r="G4" s="12">
        <v>28.8</v>
      </c>
      <c r="H4" s="12">
        <v>21.9</v>
      </c>
      <c r="I4" s="12">
        <v>12.02</v>
      </c>
      <c r="J4" s="12">
        <v>12504</v>
      </c>
      <c r="K4">
        <f t="shared" si="0"/>
        <v>0.18181818181818185</v>
      </c>
    </row>
    <row r="5" spans="1:11" ht="17">
      <c r="A5" s="12" t="s">
        <v>192</v>
      </c>
      <c r="B5" s="12">
        <v>14.162100000000001</v>
      </c>
      <c r="C5" s="12">
        <v>0.11</v>
      </c>
      <c r="D5" s="12">
        <v>35323</v>
      </c>
      <c r="E5" s="12">
        <v>9201</v>
      </c>
      <c r="F5" s="12">
        <v>6900</v>
      </c>
      <c r="G5" s="12">
        <v>26.05</v>
      </c>
      <c r="H5" s="12">
        <v>19.53</v>
      </c>
      <c r="I5" s="12">
        <v>18.98</v>
      </c>
      <c r="J5" s="12">
        <v>7828</v>
      </c>
      <c r="K5">
        <f t="shared" si="0"/>
        <v>0</v>
      </c>
    </row>
    <row r="6" spans="1:11" ht="17">
      <c r="A6" s="12" t="s">
        <v>160</v>
      </c>
      <c r="B6" s="12">
        <v>17.027100000000001</v>
      </c>
      <c r="C6" s="12">
        <v>0.11</v>
      </c>
      <c r="D6" s="12">
        <v>37472</v>
      </c>
      <c r="E6" s="12">
        <v>10030</v>
      </c>
      <c r="F6" s="12">
        <v>7512</v>
      </c>
      <c r="G6" s="12">
        <v>26.77</v>
      </c>
      <c r="H6" s="12">
        <v>20.05</v>
      </c>
      <c r="I6" s="12">
        <v>27.42</v>
      </c>
      <c r="J6" s="12">
        <v>9908</v>
      </c>
      <c r="K6">
        <f t="shared" si="0"/>
        <v>0</v>
      </c>
    </row>
    <row r="7" spans="1:11" ht="17">
      <c r="A7" s="12" t="s">
        <v>168</v>
      </c>
      <c r="B7" s="12">
        <v>20.036799999999999</v>
      </c>
      <c r="C7" s="12">
        <v>0.11</v>
      </c>
      <c r="D7" s="12">
        <v>57594</v>
      </c>
      <c r="E7" s="12">
        <v>17463</v>
      </c>
      <c r="F7" s="12">
        <v>13072</v>
      </c>
      <c r="G7" s="12">
        <v>30.32</v>
      </c>
      <c r="H7" s="12">
        <v>22.7</v>
      </c>
      <c r="I7" s="12">
        <v>28.68</v>
      </c>
      <c r="J7" s="12">
        <v>22670</v>
      </c>
      <c r="K7">
        <f t="shared" si="0"/>
        <v>0</v>
      </c>
    </row>
    <row r="8" spans="1:11" ht="17">
      <c r="A8" s="12" t="s">
        <v>63</v>
      </c>
      <c r="B8" s="12">
        <v>19.169699999999999</v>
      </c>
      <c r="C8" s="12">
        <v>0.11</v>
      </c>
      <c r="D8" s="12">
        <v>45646</v>
      </c>
      <c r="E8" s="12">
        <v>13593</v>
      </c>
      <c r="F8" s="12">
        <v>10223</v>
      </c>
      <c r="G8" s="12">
        <v>29.78</v>
      </c>
      <c r="H8" s="12">
        <v>22.4</v>
      </c>
      <c r="I8" s="12">
        <v>29.18</v>
      </c>
      <c r="J8" s="12">
        <v>13538</v>
      </c>
      <c r="K8">
        <f t="shared" si="0"/>
        <v>8.3333333333333301E-2</v>
      </c>
    </row>
    <row r="9" spans="1:11" ht="17">
      <c r="A9" s="12" t="s">
        <v>14</v>
      </c>
      <c r="B9" s="12">
        <v>23.232500000000002</v>
      </c>
      <c r="C9" s="12">
        <v>0.12</v>
      </c>
      <c r="D9" s="12">
        <v>37432</v>
      </c>
      <c r="E9" s="12">
        <v>10282</v>
      </c>
      <c r="F9" s="12">
        <v>7748</v>
      </c>
      <c r="G9" s="12">
        <v>27.47</v>
      </c>
      <c r="H9" s="12">
        <v>20.7</v>
      </c>
      <c r="I9" s="12">
        <v>29.04</v>
      </c>
      <c r="J9" s="12">
        <v>10255</v>
      </c>
      <c r="K9">
        <f t="shared" si="0"/>
        <v>0</v>
      </c>
    </row>
    <row r="10" spans="1:11" ht="17">
      <c r="A10" s="12" t="s">
        <v>288</v>
      </c>
      <c r="B10" s="12">
        <v>25.1875</v>
      </c>
      <c r="C10" s="12">
        <v>0.12</v>
      </c>
      <c r="D10" s="12">
        <v>42123</v>
      </c>
      <c r="E10" s="12">
        <v>11165</v>
      </c>
      <c r="F10" s="12">
        <v>8467</v>
      </c>
      <c r="G10" s="12">
        <v>26.51</v>
      </c>
      <c r="H10" s="12">
        <v>20.100000000000001</v>
      </c>
      <c r="I10" s="12">
        <v>28.58</v>
      </c>
      <c r="J10" s="12">
        <v>13250</v>
      </c>
      <c r="K10">
        <f t="shared" si="0"/>
        <v>0</v>
      </c>
    </row>
    <row r="11" spans="1:11" ht="17">
      <c r="A11" s="12" t="s">
        <v>133</v>
      </c>
      <c r="B11" s="12">
        <v>27.594999999999999</v>
      </c>
      <c r="C11" s="12">
        <v>0.12</v>
      </c>
      <c r="D11" s="12">
        <v>74599</v>
      </c>
      <c r="E11" s="12">
        <v>24246</v>
      </c>
      <c r="F11" s="12">
        <v>18024</v>
      </c>
      <c r="G11" s="12">
        <v>32.5</v>
      </c>
      <c r="H11" s="12">
        <v>24.16</v>
      </c>
      <c r="I11" s="12">
        <v>28.08</v>
      </c>
      <c r="J11" s="12">
        <v>33722</v>
      </c>
      <c r="K11">
        <f t="shared" si="0"/>
        <v>0</v>
      </c>
    </row>
    <row r="12" spans="1:11" ht="17">
      <c r="A12" s="12" t="s">
        <v>36</v>
      </c>
      <c r="B12" s="12">
        <v>31.107500000000002</v>
      </c>
      <c r="C12" s="12">
        <v>0.12</v>
      </c>
      <c r="D12" s="12">
        <v>58010</v>
      </c>
      <c r="E12" s="12">
        <v>18278</v>
      </c>
      <c r="F12" s="12">
        <v>13569</v>
      </c>
      <c r="G12" s="12">
        <v>31.51</v>
      </c>
      <c r="H12" s="12">
        <v>23.39</v>
      </c>
      <c r="I12" s="12">
        <v>24.81</v>
      </c>
      <c r="J12" s="12">
        <v>19081</v>
      </c>
      <c r="K12">
        <f t="shared" si="0"/>
        <v>7.6923076923076983E-2</v>
      </c>
    </row>
    <row r="13" spans="1:11" ht="17">
      <c r="A13" s="12" t="s">
        <v>190</v>
      </c>
      <c r="B13" s="12">
        <v>31.356200000000001</v>
      </c>
      <c r="C13" s="12">
        <v>0.13</v>
      </c>
      <c r="D13" s="12">
        <v>49605</v>
      </c>
      <c r="E13" s="12">
        <v>14083</v>
      </c>
      <c r="F13" s="12">
        <v>10677</v>
      </c>
      <c r="G13" s="12">
        <v>28.39</v>
      </c>
      <c r="H13" s="12">
        <v>21.52</v>
      </c>
      <c r="I13" s="12">
        <v>23.21</v>
      </c>
      <c r="J13" s="12">
        <v>14988</v>
      </c>
      <c r="K13">
        <f t="shared" si="0"/>
        <v>0</v>
      </c>
    </row>
    <row r="14" spans="1:11" ht="17">
      <c r="A14" s="12" t="s">
        <v>256</v>
      </c>
      <c r="B14" s="12">
        <v>27.574999999999999</v>
      </c>
      <c r="C14" s="12">
        <v>0.13</v>
      </c>
      <c r="D14" s="12">
        <v>51501</v>
      </c>
      <c r="E14" s="12">
        <v>14623</v>
      </c>
      <c r="F14" s="12">
        <v>11124</v>
      </c>
      <c r="G14" s="12">
        <v>28.39</v>
      </c>
      <c r="H14" s="12">
        <v>21.6</v>
      </c>
      <c r="I14" s="12">
        <v>22.26</v>
      </c>
      <c r="J14" s="12">
        <v>13475</v>
      </c>
      <c r="K14">
        <f t="shared" si="0"/>
        <v>0</v>
      </c>
    </row>
    <row r="15" spans="1:11" ht="17">
      <c r="A15" s="12" t="s">
        <v>203</v>
      </c>
      <c r="B15" s="12">
        <v>26.315000000000001</v>
      </c>
      <c r="C15" s="12">
        <v>0.13</v>
      </c>
      <c r="D15" s="12">
        <v>75872</v>
      </c>
      <c r="E15" s="12">
        <v>24171</v>
      </c>
      <c r="F15" s="12">
        <v>18361</v>
      </c>
      <c r="G15" s="12">
        <v>31.86</v>
      </c>
      <c r="H15" s="12">
        <v>24.2</v>
      </c>
      <c r="I15" s="12">
        <v>21.48</v>
      </c>
      <c r="J15" s="12">
        <v>27463</v>
      </c>
      <c r="K15">
        <f t="shared" si="0"/>
        <v>0</v>
      </c>
    </row>
    <row r="16" spans="1:11" ht="17">
      <c r="A16" s="12" t="s">
        <v>89</v>
      </c>
      <c r="B16" s="12">
        <v>27.247499999999999</v>
      </c>
      <c r="C16" s="12">
        <v>0.13</v>
      </c>
      <c r="D16" s="12">
        <v>50557</v>
      </c>
      <c r="E16" s="12">
        <v>13987</v>
      </c>
      <c r="F16" s="12">
        <v>10516</v>
      </c>
      <c r="G16" s="12">
        <v>27.67</v>
      </c>
      <c r="H16" s="12">
        <v>20.8</v>
      </c>
      <c r="I16" s="12">
        <v>21.5</v>
      </c>
      <c r="J16" s="12">
        <v>11601</v>
      </c>
      <c r="K16">
        <f t="shared" si="0"/>
        <v>7.142857142857148E-2</v>
      </c>
    </row>
    <row r="17" spans="1:11" ht="17">
      <c r="A17" s="12" t="s">
        <v>127</v>
      </c>
      <c r="B17" s="12">
        <v>23.9</v>
      </c>
      <c r="C17" s="12">
        <v>0.14000000000000001</v>
      </c>
      <c r="D17" s="12">
        <v>42358</v>
      </c>
      <c r="E17" s="12">
        <v>10105</v>
      </c>
      <c r="F17" s="12">
        <v>7796</v>
      </c>
      <c r="G17" s="12">
        <v>23.86</v>
      </c>
      <c r="H17" s="12">
        <v>18.41</v>
      </c>
      <c r="I17" s="12">
        <v>23.06</v>
      </c>
      <c r="J17" s="12">
        <v>10634</v>
      </c>
      <c r="K17">
        <f t="shared" si="0"/>
        <v>0</v>
      </c>
    </row>
    <row r="18" spans="1:11" ht="17">
      <c r="A18" s="12" t="s">
        <v>88</v>
      </c>
      <c r="B18" s="12">
        <v>28.262499999999999</v>
      </c>
      <c r="C18" s="12">
        <v>0.14000000000000001</v>
      </c>
      <c r="D18" s="12">
        <v>46852</v>
      </c>
      <c r="E18" s="12">
        <v>11761</v>
      </c>
      <c r="F18" s="12">
        <v>9014</v>
      </c>
      <c r="G18" s="12">
        <v>25.1</v>
      </c>
      <c r="H18" s="12">
        <v>19.239999999999998</v>
      </c>
      <c r="I18" s="12">
        <v>24.8</v>
      </c>
      <c r="J18" s="12">
        <v>16126</v>
      </c>
      <c r="K18">
        <f t="shared" si="0"/>
        <v>0</v>
      </c>
    </row>
    <row r="19" spans="1:11" ht="17">
      <c r="A19" s="12" t="s">
        <v>24</v>
      </c>
      <c r="B19" s="12">
        <v>28.954999999999998</v>
      </c>
      <c r="C19" s="12">
        <v>0.14000000000000001</v>
      </c>
      <c r="D19" s="12">
        <v>78351</v>
      </c>
      <c r="E19" s="12">
        <v>23359</v>
      </c>
      <c r="F19" s="12">
        <v>17891</v>
      </c>
      <c r="G19" s="12">
        <v>29.81</v>
      </c>
      <c r="H19" s="12">
        <v>22.83</v>
      </c>
      <c r="I19" s="12">
        <v>26.23</v>
      </c>
      <c r="J19" s="12">
        <v>27056</v>
      </c>
      <c r="K19">
        <f t="shared" si="0"/>
        <v>0</v>
      </c>
    </row>
    <row r="20" spans="1:11" ht="17">
      <c r="A20" s="12" t="s">
        <v>55</v>
      </c>
      <c r="B20" s="12">
        <v>35.914999999999999</v>
      </c>
      <c r="C20" s="12">
        <v>0.14000000000000001</v>
      </c>
      <c r="D20" s="12">
        <v>52896</v>
      </c>
      <c r="E20" s="12">
        <v>14097</v>
      </c>
      <c r="F20" s="12">
        <v>11029</v>
      </c>
      <c r="G20" s="12">
        <v>26.65</v>
      </c>
      <c r="H20" s="12">
        <v>20.85</v>
      </c>
      <c r="I20" s="12">
        <v>26.58</v>
      </c>
      <c r="J20" s="12">
        <v>12523</v>
      </c>
      <c r="K20">
        <f t="shared" si="0"/>
        <v>0.12499999999999993</v>
      </c>
    </row>
    <row r="21" spans="1:11" ht="17">
      <c r="A21" s="12" t="s">
        <v>183</v>
      </c>
      <c r="B21" s="12">
        <v>36.005000000000003</v>
      </c>
      <c r="C21" s="12">
        <v>0.16</v>
      </c>
      <c r="D21" s="12">
        <v>45408</v>
      </c>
      <c r="E21" s="12">
        <v>10768</v>
      </c>
      <c r="F21" s="12">
        <v>8717</v>
      </c>
      <c r="G21" s="12">
        <v>23.71</v>
      </c>
      <c r="H21" s="12">
        <v>19.2</v>
      </c>
      <c r="I21" s="12">
        <v>26.57</v>
      </c>
      <c r="J21" s="12">
        <v>8363</v>
      </c>
      <c r="K21">
        <f t="shared" si="0"/>
        <v>0</v>
      </c>
    </row>
    <row r="22" spans="1:11" ht="17">
      <c r="A22" s="12" t="s">
        <v>34</v>
      </c>
      <c r="B22" s="12">
        <v>38.53</v>
      </c>
      <c r="C22" s="12">
        <v>0.16</v>
      </c>
      <c r="D22" s="12">
        <v>52579</v>
      </c>
      <c r="E22" s="12">
        <v>13120</v>
      </c>
      <c r="F22" s="12">
        <v>10714</v>
      </c>
      <c r="G22" s="12">
        <v>24.95</v>
      </c>
      <c r="H22" s="12">
        <v>20.38</v>
      </c>
      <c r="I22" s="12">
        <v>26.5</v>
      </c>
      <c r="J22" s="12">
        <v>15656</v>
      </c>
      <c r="K22">
        <f t="shared" si="0"/>
        <v>0</v>
      </c>
    </row>
    <row r="23" spans="1:11" ht="17">
      <c r="A23" s="12" t="s">
        <v>173</v>
      </c>
      <c r="B23" s="12">
        <v>42.307499999999997</v>
      </c>
      <c r="C23" s="12">
        <v>0.16</v>
      </c>
      <c r="D23" s="12">
        <v>88293</v>
      </c>
      <c r="E23" s="12">
        <v>26274</v>
      </c>
      <c r="F23" s="12">
        <v>20065</v>
      </c>
      <c r="G23" s="12">
        <v>29.76</v>
      </c>
      <c r="H23" s="12">
        <v>22.73</v>
      </c>
      <c r="I23" s="12">
        <v>26.06</v>
      </c>
      <c r="J23" s="12">
        <v>28293</v>
      </c>
      <c r="K23">
        <f t="shared" si="0"/>
        <v>0</v>
      </c>
    </row>
    <row r="24" spans="1:11" ht="17">
      <c r="A24" s="12" t="s">
        <v>282</v>
      </c>
      <c r="B24" s="12">
        <v>41.945</v>
      </c>
      <c r="C24" s="12">
        <v>0.16</v>
      </c>
      <c r="D24" s="12">
        <v>61137</v>
      </c>
      <c r="E24" s="12">
        <v>15894</v>
      </c>
      <c r="F24" s="12">
        <v>13822</v>
      </c>
      <c r="G24" s="12">
        <v>26</v>
      </c>
      <c r="H24" s="12">
        <v>22.61</v>
      </c>
      <c r="I24" s="12">
        <v>25.26</v>
      </c>
      <c r="J24" s="12">
        <v>15130</v>
      </c>
      <c r="K24">
        <f t="shared" si="0"/>
        <v>0.11111111111111106</v>
      </c>
    </row>
    <row r="25" spans="1:11" ht="17">
      <c r="A25" s="12" t="s">
        <v>110</v>
      </c>
      <c r="B25" s="12">
        <v>46.277500000000003</v>
      </c>
      <c r="C25" s="12">
        <v>0.18</v>
      </c>
      <c r="D25" s="12">
        <v>53265</v>
      </c>
      <c r="E25" s="12">
        <v>12612</v>
      </c>
      <c r="F25" s="12">
        <v>11519</v>
      </c>
      <c r="G25" s="12">
        <v>23.68</v>
      </c>
      <c r="H25" s="12">
        <v>21.63</v>
      </c>
      <c r="I25" s="12">
        <v>24.28</v>
      </c>
      <c r="J25" s="12">
        <v>14488</v>
      </c>
      <c r="K25">
        <f t="shared" si="0"/>
        <v>0</v>
      </c>
    </row>
    <row r="26" spans="1:11" ht="17">
      <c r="A26" s="12" t="s">
        <v>52</v>
      </c>
      <c r="B26" s="12">
        <v>56.435000000000002</v>
      </c>
      <c r="C26" s="12">
        <v>0.18</v>
      </c>
      <c r="D26" s="12">
        <v>62900</v>
      </c>
      <c r="E26" s="12">
        <v>16118</v>
      </c>
      <c r="F26" s="12">
        <v>14125</v>
      </c>
      <c r="G26" s="12">
        <v>25.62</v>
      </c>
      <c r="H26" s="12">
        <v>22.46</v>
      </c>
      <c r="I26" s="12">
        <v>23.69</v>
      </c>
      <c r="J26" s="12">
        <v>19523</v>
      </c>
      <c r="K26">
        <f t="shared" si="0"/>
        <v>0</v>
      </c>
    </row>
    <row r="27" spans="1:11" ht="17">
      <c r="A27" s="12" t="s">
        <v>107</v>
      </c>
      <c r="B27" s="12">
        <v>39.435000000000002</v>
      </c>
      <c r="C27" s="12">
        <v>0.18</v>
      </c>
      <c r="D27" s="12">
        <v>84310</v>
      </c>
      <c r="E27" s="12">
        <v>23346</v>
      </c>
      <c r="F27" s="12">
        <v>19965</v>
      </c>
      <c r="G27" s="12">
        <v>27.69</v>
      </c>
      <c r="H27" s="12">
        <v>23.68</v>
      </c>
      <c r="I27" s="12">
        <v>22.84</v>
      </c>
      <c r="J27" s="12">
        <v>26690</v>
      </c>
      <c r="K27">
        <f t="shared" si="0"/>
        <v>0</v>
      </c>
    </row>
    <row r="28" spans="1:11" ht="17">
      <c r="A28" s="12" t="s">
        <v>18</v>
      </c>
      <c r="B28" s="12">
        <v>47.487499999999997</v>
      </c>
      <c r="C28" s="12">
        <v>0.18</v>
      </c>
      <c r="D28" s="12">
        <v>58015</v>
      </c>
      <c r="E28" s="12">
        <v>13415</v>
      </c>
      <c r="F28" s="12">
        <v>11561</v>
      </c>
      <c r="G28" s="12">
        <v>23.12</v>
      </c>
      <c r="H28" s="12">
        <v>19.93</v>
      </c>
      <c r="I28" s="12">
        <v>23.11</v>
      </c>
      <c r="J28" s="12">
        <v>11155</v>
      </c>
      <c r="K28">
        <f t="shared" si="0"/>
        <v>5.2631578947368467E-2</v>
      </c>
    </row>
    <row r="29" spans="1:11" ht="17">
      <c r="A29" s="12" t="s">
        <v>222</v>
      </c>
      <c r="B29" s="12">
        <v>49.48</v>
      </c>
      <c r="C29" s="12">
        <v>0.19</v>
      </c>
      <c r="D29" s="12">
        <v>53809</v>
      </c>
      <c r="E29" s="12">
        <v>11544</v>
      </c>
      <c r="F29" s="12">
        <v>10044</v>
      </c>
      <c r="G29" s="12">
        <v>21.45</v>
      </c>
      <c r="H29" s="12">
        <v>18.670000000000002</v>
      </c>
      <c r="I29" s="12">
        <v>24.46</v>
      </c>
      <c r="J29" s="12">
        <v>11636</v>
      </c>
      <c r="K29">
        <f t="shared" si="0"/>
        <v>0</v>
      </c>
    </row>
    <row r="30" spans="1:11" ht="17">
      <c r="A30" s="12" t="s">
        <v>170</v>
      </c>
      <c r="B30" s="12">
        <v>55.9925</v>
      </c>
      <c r="C30" s="12">
        <v>0.19</v>
      </c>
      <c r="D30" s="12">
        <v>64040</v>
      </c>
      <c r="E30" s="12">
        <v>15625</v>
      </c>
      <c r="F30" s="12">
        <v>13686</v>
      </c>
      <c r="G30" s="12">
        <v>24.4</v>
      </c>
      <c r="H30" s="12">
        <v>21.37</v>
      </c>
      <c r="I30" s="12">
        <v>25.13</v>
      </c>
      <c r="J30" s="12">
        <v>19910</v>
      </c>
      <c r="K30">
        <f t="shared" si="0"/>
        <v>0</v>
      </c>
    </row>
    <row r="31" spans="1:11" ht="17">
      <c r="A31" s="12" t="s">
        <v>250</v>
      </c>
      <c r="B31" s="12">
        <v>73.412499999999994</v>
      </c>
      <c r="C31" s="12">
        <v>0.19</v>
      </c>
      <c r="D31" s="12">
        <v>91819</v>
      </c>
      <c r="E31" s="12">
        <v>25569</v>
      </c>
      <c r="F31" s="12">
        <v>22236</v>
      </c>
      <c r="G31" s="12">
        <v>27.85</v>
      </c>
      <c r="H31" s="12">
        <v>24.22</v>
      </c>
      <c r="I31" s="12">
        <v>25.23</v>
      </c>
      <c r="J31" s="12">
        <v>30516</v>
      </c>
      <c r="K31">
        <f t="shared" si="0"/>
        <v>0</v>
      </c>
    </row>
    <row r="32" spans="1:11" ht="17">
      <c r="A32" s="12" t="s">
        <v>126</v>
      </c>
      <c r="B32" s="12">
        <v>63.572499999999998</v>
      </c>
      <c r="C32" s="12">
        <v>0.19</v>
      </c>
      <c r="D32" s="12">
        <v>58313</v>
      </c>
      <c r="E32" s="12">
        <v>12853</v>
      </c>
      <c r="F32" s="12">
        <v>11249</v>
      </c>
      <c r="G32" s="12">
        <v>22.04</v>
      </c>
      <c r="H32" s="12">
        <v>19.29</v>
      </c>
      <c r="I32" s="12">
        <v>23.94</v>
      </c>
      <c r="J32" s="12">
        <v>13311</v>
      </c>
      <c r="K32">
        <f t="shared" si="0"/>
        <v>9.5238095238095191E-2</v>
      </c>
    </row>
    <row r="33" spans="1:11" ht="17">
      <c r="A33" s="12" t="s">
        <v>161</v>
      </c>
      <c r="B33" s="12">
        <v>91.2</v>
      </c>
      <c r="C33" s="12">
        <v>0.21</v>
      </c>
      <c r="D33" s="12">
        <v>59685</v>
      </c>
      <c r="E33" s="12">
        <v>13091</v>
      </c>
      <c r="F33" s="12">
        <v>11253</v>
      </c>
      <c r="G33" s="12">
        <v>21.93</v>
      </c>
      <c r="H33" s="12">
        <v>18.850000000000001</v>
      </c>
      <c r="I33" s="12">
        <v>24.08</v>
      </c>
      <c r="J33" s="12">
        <v>16271</v>
      </c>
      <c r="K33">
        <f t="shared" si="0"/>
        <v>0</v>
      </c>
    </row>
    <row r="34" spans="1:11" ht="17">
      <c r="A34" s="12" t="s">
        <v>28</v>
      </c>
      <c r="B34" s="12">
        <v>115.81</v>
      </c>
      <c r="C34" s="12">
        <v>0.21</v>
      </c>
      <c r="D34" s="12">
        <v>64698</v>
      </c>
      <c r="E34" s="12">
        <v>14775</v>
      </c>
      <c r="F34" s="12">
        <v>12673</v>
      </c>
      <c r="G34" s="12">
        <v>22.84</v>
      </c>
      <c r="H34" s="12">
        <v>19.59</v>
      </c>
      <c r="I34" s="12">
        <v>23.73</v>
      </c>
      <c r="J34" s="12">
        <v>20576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3" t="s">
        <v>273</v>
      </c>
      <c r="B1" s="13" t="s">
        <v>262</v>
      </c>
      <c r="C1" s="13" t="s">
        <v>223</v>
      </c>
      <c r="D1" s="13" t="s">
        <v>259</v>
      </c>
      <c r="E1" s="13" t="s">
        <v>258</v>
      </c>
      <c r="F1" s="13" t="s">
        <v>27</v>
      </c>
      <c r="G1" s="13" t="s">
        <v>77</v>
      </c>
      <c r="H1" s="13" t="s">
        <v>278</v>
      </c>
      <c r="I1" s="13" t="s">
        <v>128</v>
      </c>
      <c r="J1" s="13" t="s">
        <v>308</v>
      </c>
    </row>
    <row r="2" spans="1:11" ht="17">
      <c r="A2" s="13" t="s">
        <v>32</v>
      </c>
      <c r="B2" s="13">
        <v>40.380000000000003</v>
      </c>
      <c r="C2" s="13">
        <v>0.27</v>
      </c>
      <c r="D2" s="13">
        <v>3994</v>
      </c>
      <c r="E2" s="13">
        <v>915</v>
      </c>
      <c r="F2" s="13">
        <v>576</v>
      </c>
      <c r="G2" s="13">
        <v>22.91</v>
      </c>
      <c r="H2" s="13">
        <v>14.42</v>
      </c>
      <c r="I2" s="13">
        <v>44.35</v>
      </c>
      <c r="J2" s="13">
        <v>680</v>
      </c>
      <c r="K2">
        <f t="shared" ref="K2:K39" si="0">(C3-C2)/C2</f>
        <v>7.4074074074073931E-2</v>
      </c>
    </row>
    <row r="3" spans="1:11" ht="17">
      <c r="A3" s="13" t="s">
        <v>79</v>
      </c>
      <c r="B3" s="13">
        <v>43.704999999999998</v>
      </c>
      <c r="C3" s="13">
        <v>0.28999999999999998</v>
      </c>
      <c r="D3" s="13">
        <v>4185</v>
      </c>
      <c r="E3" s="13">
        <v>968</v>
      </c>
      <c r="F3" s="13">
        <v>622</v>
      </c>
      <c r="G3" s="13">
        <v>23.13</v>
      </c>
      <c r="H3" s="13">
        <v>14.86</v>
      </c>
      <c r="I3" s="13">
        <v>44.56</v>
      </c>
      <c r="J3" s="13">
        <v>474</v>
      </c>
      <c r="K3">
        <f t="shared" si="0"/>
        <v>0</v>
      </c>
    </row>
    <row r="4" spans="1:11" ht="17">
      <c r="A4" s="13" t="s">
        <v>181</v>
      </c>
      <c r="B4" s="13">
        <v>44.34</v>
      </c>
      <c r="C4" s="13">
        <v>0.28999999999999998</v>
      </c>
      <c r="D4" s="13">
        <v>4383</v>
      </c>
      <c r="E4" s="13">
        <v>1035</v>
      </c>
      <c r="F4" s="13">
        <v>643</v>
      </c>
      <c r="G4" s="13">
        <v>23.61</v>
      </c>
      <c r="H4" s="13">
        <v>14.67</v>
      </c>
      <c r="I4" s="13">
        <v>44.67</v>
      </c>
      <c r="J4" s="13">
        <v>903</v>
      </c>
      <c r="K4">
        <f t="shared" si="0"/>
        <v>0</v>
      </c>
    </row>
    <row r="5" spans="1:11" ht="17">
      <c r="A5" s="13" t="s">
        <v>217</v>
      </c>
      <c r="B5" s="13">
        <v>46.195</v>
      </c>
      <c r="C5" s="13">
        <v>0.28999999999999998</v>
      </c>
      <c r="D5" s="13">
        <v>4172</v>
      </c>
      <c r="E5" s="13">
        <v>923</v>
      </c>
      <c r="F5" s="13">
        <v>590</v>
      </c>
      <c r="G5" s="13">
        <v>22.12</v>
      </c>
      <c r="H5" s="13">
        <v>14.14</v>
      </c>
      <c r="I5" s="13">
        <v>44.67</v>
      </c>
      <c r="J5" s="13">
        <v>839</v>
      </c>
      <c r="K5">
        <f t="shared" si="0"/>
        <v>0</v>
      </c>
    </row>
    <row r="6" spans="1:11" ht="17">
      <c r="A6" s="13" t="s">
        <v>162</v>
      </c>
      <c r="B6" s="13">
        <v>48.89</v>
      </c>
      <c r="C6" s="13">
        <v>0.28999999999999998</v>
      </c>
      <c r="D6" s="13">
        <v>4200</v>
      </c>
      <c r="E6" s="13">
        <v>938</v>
      </c>
      <c r="F6" s="13">
        <v>593</v>
      </c>
      <c r="G6" s="13">
        <v>22.33</v>
      </c>
      <c r="H6" s="13">
        <v>14.12</v>
      </c>
      <c r="I6" s="13">
        <v>45.95</v>
      </c>
      <c r="J6" s="13">
        <v>662</v>
      </c>
      <c r="K6">
        <f t="shared" si="0"/>
        <v>6.8965517241379379E-2</v>
      </c>
    </row>
    <row r="7" spans="1:11" ht="17">
      <c r="A7" s="13" t="s">
        <v>64</v>
      </c>
      <c r="B7" s="13">
        <v>52.05</v>
      </c>
      <c r="C7" s="13">
        <v>0.31</v>
      </c>
      <c r="D7" s="13">
        <v>4267</v>
      </c>
      <c r="E7" s="13">
        <v>982</v>
      </c>
      <c r="F7" s="13">
        <v>627</v>
      </c>
      <c r="G7" s="13">
        <v>23.01</v>
      </c>
      <c r="H7" s="13">
        <v>14.69</v>
      </c>
      <c r="I7" s="13">
        <v>46.31</v>
      </c>
      <c r="J7" s="13">
        <v>531</v>
      </c>
      <c r="K7">
        <f t="shared" si="0"/>
        <v>0</v>
      </c>
    </row>
    <row r="8" spans="1:11" ht="17">
      <c r="A8" s="13" t="s">
        <v>226</v>
      </c>
      <c r="B8" s="13">
        <v>53.61</v>
      </c>
      <c r="C8" s="13">
        <v>0.31</v>
      </c>
      <c r="D8" s="13">
        <v>4332</v>
      </c>
      <c r="E8" s="13">
        <v>1028</v>
      </c>
      <c r="F8" s="13">
        <v>654</v>
      </c>
      <c r="G8" s="13">
        <v>23.73</v>
      </c>
      <c r="H8" s="13">
        <v>15.1</v>
      </c>
      <c r="I8" s="13">
        <v>46.73</v>
      </c>
      <c r="J8" s="13">
        <v>940</v>
      </c>
      <c r="K8">
        <f t="shared" si="0"/>
        <v>0</v>
      </c>
    </row>
    <row r="9" spans="1:11" ht="17">
      <c r="A9" s="13" t="s">
        <v>247</v>
      </c>
      <c r="B9" s="13">
        <v>52.27</v>
      </c>
      <c r="C9" s="13">
        <v>0.31</v>
      </c>
      <c r="D9" s="13">
        <v>4286</v>
      </c>
      <c r="E9" s="13">
        <v>988</v>
      </c>
      <c r="F9" s="13">
        <v>598</v>
      </c>
      <c r="G9" s="13">
        <v>23.05</v>
      </c>
      <c r="H9" s="13">
        <v>13.95</v>
      </c>
      <c r="I9" s="13">
        <v>47.38</v>
      </c>
      <c r="J9" s="13">
        <v>1063</v>
      </c>
      <c r="K9">
        <f t="shared" si="0"/>
        <v>0</v>
      </c>
    </row>
    <row r="10" spans="1:11" ht="17">
      <c r="A10" s="13" t="s">
        <v>19</v>
      </c>
      <c r="B10" s="13">
        <v>59.015000000000001</v>
      </c>
      <c r="C10" s="13">
        <v>0.31</v>
      </c>
      <c r="D10" s="13">
        <v>4315</v>
      </c>
      <c r="E10" s="13">
        <v>742</v>
      </c>
      <c r="F10" s="13">
        <v>460</v>
      </c>
      <c r="G10" s="13">
        <v>17.2</v>
      </c>
      <c r="H10" s="13">
        <v>10.66</v>
      </c>
      <c r="I10" s="13">
        <v>47.38</v>
      </c>
      <c r="J10" s="13">
        <v>777</v>
      </c>
      <c r="K10">
        <f t="shared" si="0"/>
        <v>9.6774193548387177E-2</v>
      </c>
    </row>
    <row r="11" spans="1:11" ht="17">
      <c r="A11" s="13" t="s">
        <v>192</v>
      </c>
      <c r="B11" s="13">
        <v>57.29</v>
      </c>
      <c r="C11" s="13">
        <v>0.34</v>
      </c>
      <c r="D11" s="13">
        <v>4346</v>
      </c>
      <c r="E11" s="13">
        <v>906</v>
      </c>
      <c r="F11" s="13">
        <v>561</v>
      </c>
      <c r="G11" s="13">
        <v>20.85</v>
      </c>
      <c r="H11" s="13">
        <v>12.91</v>
      </c>
      <c r="I11" s="13">
        <v>50.72</v>
      </c>
      <c r="J11" s="13">
        <v>548</v>
      </c>
      <c r="K11">
        <f t="shared" si="0"/>
        <v>0</v>
      </c>
    </row>
    <row r="12" spans="1:11" ht="17">
      <c r="A12" s="13" t="s">
        <v>160</v>
      </c>
      <c r="B12" s="13">
        <v>59.3</v>
      </c>
      <c r="C12" s="13">
        <v>0.34</v>
      </c>
      <c r="D12" s="13">
        <v>4398</v>
      </c>
      <c r="E12" s="13">
        <v>1016</v>
      </c>
      <c r="F12" s="13">
        <v>656</v>
      </c>
      <c r="G12" s="13">
        <v>23.1</v>
      </c>
      <c r="H12" s="13">
        <v>14.92</v>
      </c>
      <c r="I12" s="13">
        <v>53.03</v>
      </c>
      <c r="J12" s="13">
        <v>1040</v>
      </c>
      <c r="K12">
        <f t="shared" si="0"/>
        <v>0</v>
      </c>
    </row>
    <row r="13" spans="1:11" ht="17">
      <c r="A13" s="13" t="s">
        <v>168</v>
      </c>
      <c r="B13" s="13">
        <v>65.209999999999994</v>
      </c>
      <c r="C13" s="13">
        <v>0.34</v>
      </c>
      <c r="D13" s="13">
        <v>4361</v>
      </c>
      <c r="E13" s="13">
        <v>1287</v>
      </c>
      <c r="F13" s="13">
        <v>564</v>
      </c>
      <c r="G13" s="13">
        <v>29.51</v>
      </c>
      <c r="H13" s="13">
        <v>12.93</v>
      </c>
      <c r="I13" s="13">
        <v>54.05</v>
      </c>
      <c r="J13" s="13">
        <v>839</v>
      </c>
      <c r="K13">
        <f t="shared" si="0"/>
        <v>0</v>
      </c>
    </row>
    <row r="14" spans="1:11" ht="17">
      <c r="A14" s="13" t="s">
        <v>63</v>
      </c>
      <c r="B14" s="13">
        <v>64.87</v>
      </c>
      <c r="C14" s="13">
        <v>0.34</v>
      </c>
      <c r="D14" s="13">
        <v>4325</v>
      </c>
      <c r="E14" s="13">
        <v>634</v>
      </c>
      <c r="F14" s="13">
        <v>388</v>
      </c>
      <c r="G14" s="13">
        <v>14.66</v>
      </c>
      <c r="H14" s="13">
        <v>8.9700000000000006</v>
      </c>
      <c r="I14" s="13">
        <v>55.88</v>
      </c>
      <c r="J14" s="13">
        <v>820</v>
      </c>
      <c r="K14">
        <f t="shared" si="0"/>
        <v>5.8823529411764594E-2</v>
      </c>
    </row>
    <row r="15" spans="1:11" ht="17">
      <c r="A15" s="13" t="s">
        <v>14</v>
      </c>
      <c r="B15" s="13">
        <v>68.180000000000007</v>
      </c>
      <c r="C15" s="13">
        <v>0.36</v>
      </c>
      <c r="D15" s="13">
        <v>4352</v>
      </c>
      <c r="E15" s="13">
        <v>980</v>
      </c>
      <c r="F15" s="13">
        <v>622</v>
      </c>
      <c r="G15" s="13">
        <v>22.52</v>
      </c>
      <c r="H15" s="13">
        <v>14.29</v>
      </c>
      <c r="I15" s="13">
        <v>58.62</v>
      </c>
      <c r="J15" s="13">
        <v>569</v>
      </c>
      <c r="K15">
        <f t="shared" si="0"/>
        <v>0</v>
      </c>
    </row>
    <row r="16" spans="1:11" ht="17">
      <c r="A16" s="13" t="s">
        <v>288</v>
      </c>
      <c r="B16" s="13">
        <v>65.22</v>
      </c>
      <c r="C16" s="13">
        <v>0.36</v>
      </c>
      <c r="D16" s="13">
        <v>4379</v>
      </c>
      <c r="E16" s="13">
        <v>948</v>
      </c>
      <c r="F16" s="13">
        <v>542</v>
      </c>
      <c r="G16" s="13">
        <v>21.65</v>
      </c>
      <c r="H16" s="13">
        <v>12.38</v>
      </c>
      <c r="I16" s="13">
        <v>57.74</v>
      </c>
      <c r="J16" s="13">
        <v>1003</v>
      </c>
      <c r="K16">
        <f t="shared" si="0"/>
        <v>0</v>
      </c>
    </row>
    <row r="17" spans="1:11" ht="17">
      <c r="A17" s="13" t="s">
        <v>133</v>
      </c>
      <c r="B17" s="13">
        <v>69.19</v>
      </c>
      <c r="C17" s="13">
        <v>0.36</v>
      </c>
      <c r="D17" s="13">
        <v>4221</v>
      </c>
      <c r="E17" s="13">
        <v>1551</v>
      </c>
      <c r="F17" s="13">
        <v>628</v>
      </c>
      <c r="G17" s="13">
        <v>36.74</v>
      </c>
      <c r="H17" s="13">
        <v>14.88</v>
      </c>
      <c r="I17" s="13">
        <v>61.4</v>
      </c>
      <c r="J17" s="13">
        <v>906</v>
      </c>
      <c r="K17">
        <f t="shared" si="0"/>
        <v>0</v>
      </c>
    </row>
    <row r="18" spans="1:11" ht="17">
      <c r="A18" s="13" t="s">
        <v>36</v>
      </c>
      <c r="B18" s="13">
        <v>69.34</v>
      </c>
      <c r="C18" s="13">
        <v>0.36</v>
      </c>
      <c r="D18" s="13">
        <v>4070</v>
      </c>
      <c r="E18" s="13">
        <v>860</v>
      </c>
      <c r="F18" s="13">
        <v>542</v>
      </c>
      <c r="G18" s="13">
        <v>21.13</v>
      </c>
      <c r="H18" s="13">
        <v>13.32</v>
      </c>
      <c r="I18" s="13">
        <v>60.17</v>
      </c>
      <c r="J18" s="13">
        <v>727</v>
      </c>
      <c r="K18">
        <f t="shared" si="0"/>
        <v>5.5555555555555608E-2</v>
      </c>
    </row>
    <row r="19" spans="1:11" ht="17">
      <c r="A19" s="13" t="s">
        <v>190</v>
      </c>
      <c r="B19" s="13">
        <v>65.41</v>
      </c>
      <c r="C19" s="13">
        <v>0.38</v>
      </c>
      <c r="D19" s="13">
        <v>4066</v>
      </c>
      <c r="E19" s="13">
        <v>932</v>
      </c>
      <c r="F19" s="13">
        <v>574</v>
      </c>
      <c r="G19" s="13">
        <v>22.92</v>
      </c>
      <c r="H19" s="13">
        <v>14.12</v>
      </c>
      <c r="I19" s="13">
        <v>56.92</v>
      </c>
      <c r="J19" s="13">
        <v>496</v>
      </c>
      <c r="K19">
        <f t="shared" si="0"/>
        <v>0</v>
      </c>
    </row>
    <row r="20" spans="1:11" ht="17">
      <c r="A20" s="13" t="s">
        <v>256</v>
      </c>
      <c r="B20" s="13">
        <v>63.46</v>
      </c>
      <c r="C20" s="13">
        <v>0.38</v>
      </c>
      <c r="D20" s="13">
        <v>3999</v>
      </c>
      <c r="E20" s="13">
        <v>1136</v>
      </c>
      <c r="F20" s="13">
        <v>726</v>
      </c>
      <c r="G20" s="13">
        <v>28.41</v>
      </c>
      <c r="H20" s="13">
        <v>18.149999999999999</v>
      </c>
      <c r="I20" s="13">
        <v>58.63</v>
      </c>
      <c r="J20" s="13">
        <v>885</v>
      </c>
      <c r="K20">
        <f t="shared" si="0"/>
        <v>0</v>
      </c>
    </row>
    <row r="21" spans="1:11" ht="17">
      <c r="A21" s="13" t="s">
        <v>203</v>
      </c>
      <c r="B21" s="13">
        <v>66.62</v>
      </c>
      <c r="C21" s="13">
        <v>0.38</v>
      </c>
      <c r="D21" s="13">
        <v>3899</v>
      </c>
      <c r="E21" s="13">
        <v>968</v>
      </c>
      <c r="F21" s="13">
        <v>-458</v>
      </c>
      <c r="G21" s="13">
        <v>24.83</v>
      </c>
      <c r="H21" s="13">
        <v>-11.75</v>
      </c>
      <c r="I21" s="13">
        <v>54.81</v>
      </c>
      <c r="J21" s="13">
        <v>841</v>
      </c>
      <c r="K21">
        <f t="shared" si="0"/>
        <v>0</v>
      </c>
    </row>
    <row r="22" spans="1:11" ht="17">
      <c r="A22" s="13" t="s">
        <v>89</v>
      </c>
      <c r="B22" s="13">
        <v>70.650000000000006</v>
      </c>
      <c r="C22" s="13">
        <v>0.38</v>
      </c>
      <c r="D22" s="13">
        <v>3762</v>
      </c>
      <c r="E22" s="13">
        <v>867</v>
      </c>
      <c r="F22" s="13">
        <v>533</v>
      </c>
      <c r="G22" s="13">
        <v>23.05</v>
      </c>
      <c r="H22" s="13">
        <v>14.17</v>
      </c>
      <c r="I22" s="13">
        <v>98.68</v>
      </c>
      <c r="J22" s="13">
        <v>614</v>
      </c>
      <c r="K22">
        <f t="shared" si="0"/>
        <v>2.6315789473684233E-2</v>
      </c>
    </row>
    <row r="23" spans="1:11" ht="17">
      <c r="A23" s="13" t="s">
        <v>127</v>
      </c>
      <c r="B23" s="13">
        <v>73.2</v>
      </c>
      <c r="C23" s="13">
        <v>0.39</v>
      </c>
      <c r="D23" s="13">
        <v>3845</v>
      </c>
      <c r="E23" s="13">
        <v>944</v>
      </c>
      <c r="F23" s="13">
        <v>600</v>
      </c>
      <c r="G23" s="13">
        <v>24.55</v>
      </c>
      <c r="H23" s="13">
        <v>15.6</v>
      </c>
      <c r="I23" s="13">
        <v>100</v>
      </c>
      <c r="J23" s="13">
        <v>706</v>
      </c>
      <c r="K23">
        <f t="shared" si="0"/>
        <v>0</v>
      </c>
    </row>
    <row r="24" spans="1:11" ht="17">
      <c r="A24" s="13" t="s">
        <v>88</v>
      </c>
      <c r="B24" s="13">
        <v>74.14</v>
      </c>
      <c r="C24" s="13">
        <v>0.39</v>
      </c>
      <c r="D24" s="13">
        <v>3867</v>
      </c>
      <c r="E24" s="13">
        <v>1071</v>
      </c>
      <c r="F24" s="13">
        <v>702</v>
      </c>
      <c r="G24" s="13">
        <v>27.7</v>
      </c>
      <c r="H24" s="13">
        <v>18.149999999999999</v>
      </c>
      <c r="I24" s="13">
        <v>98.08</v>
      </c>
      <c r="J24" s="13">
        <v>997</v>
      </c>
      <c r="K24">
        <f t="shared" si="0"/>
        <v>0</v>
      </c>
    </row>
    <row r="25" spans="1:11" ht="17">
      <c r="A25" s="13" t="s">
        <v>24</v>
      </c>
      <c r="B25" s="13">
        <v>65.44</v>
      </c>
      <c r="C25" s="13">
        <v>0.39</v>
      </c>
      <c r="D25" s="13">
        <v>3721</v>
      </c>
      <c r="E25" s="13">
        <v>970</v>
      </c>
      <c r="F25" s="13">
        <v>606</v>
      </c>
      <c r="G25" s="13">
        <v>26.07</v>
      </c>
      <c r="H25" s="13">
        <v>16.29</v>
      </c>
      <c r="I25" s="13">
        <v>100</v>
      </c>
      <c r="J25" s="13">
        <v>824</v>
      </c>
      <c r="K25">
        <f t="shared" si="0"/>
        <v>0</v>
      </c>
    </row>
    <row r="26" spans="1:11" ht="17">
      <c r="A26" s="13" t="s">
        <v>55</v>
      </c>
      <c r="B26" s="13">
        <v>73.19</v>
      </c>
      <c r="C26" s="13">
        <v>0.39</v>
      </c>
      <c r="D26" s="13">
        <v>3762</v>
      </c>
      <c r="E26" s="13">
        <v>885</v>
      </c>
      <c r="F26" s="13">
        <v>570</v>
      </c>
      <c r="G26" s="13">
        <v>23.52</v>
      </c>
      <c r="H26" s="13">
        <v>15.15</v>
      </c>
      <c r="I26" s="13">
        <v>56.99</v>
      </c>
      <c r="J26" s="13">
        <v>691</v>
      </c>
      <c r="K26">
        <f t="shared" si="0"/>
        <v>2.5641025641025664E-2</v>
      </c>
    </row>
    <row r="27" spans="1:11" ht="17">
      <c r="A27" s="13" t="s">
        <v>183</v>
      </c>
      <c r="B27" s="13">
        <v>74.13</v>
      </c>
      <c r="C27" s="13">
        <v>0.4</v>
      </c>
      <c r="D27" s="13">
        <v>3826</v>
      </c>
      <c r="E27" s="13">
        <v>853</v>
      </c>
      <c r="F27" s="13">
        <v>524</v>
      </c>
      <c r="G27" s="13">
        <v>22.29</v>
      </c>
      <c r="H27" s="13">
        <v>13.7</v>
      </c>
      <c r="I27" s="13">
        <v>56.32</v>
      </c>
      <c r="J27" s="13">
        <v>614</v>
      </c>
      <c r="K27">
        <f t="shared" si="0"/>
        <v>0</v>
      </c>
    </row>
    <row r="28" spans="1:11" ht="17">
      <c r="A28" s="13" t="s">
        <v>34</v>
      </c>
      <c r="B28" s="13">
        <v>72.849999999999994</v>
      </c>
      <c r="C28" s="13">
        <v>0.4</v>
      </c>
      <c r="D28" s="13">
        <v>3974</v>
      </c>
      <c r="E28" s="13">
        <v>927</v>
      </c>
      <c r="F28" s="13">
        <v>607</v>
      </c>
      <c r="G28" s="13">
        <v>23.33</v>
      </c>
      <c r="H28" s="13">
        <v>15.27</v>
      </c>
      <c r="I28" s="13">
        <v>58.36</v>
      </c>
      <c r="J28" s="13">
        <v>990</v>
      </c>
      <c r="K28">
        <f t="shared" si="0"/>
        <v>0</v>
      </c>
    </row>
    <row r="29" spans="1:11" ht="17">
      <c r="A29" s="13" t="s">
        <v>173</v>
      </c>
      <c r="B29" s="13">
        <v>75.45</v>
      </c>
      <c r="C29" s="13">
        <v>0.4</v>
      </c>
      <c r="D29" s="13">
        <v>3892</v>
      </c>
      <c r="E29" s="13">
        <v>1082</v>
      </c>
      <c r="F29" s="13">
        <v>323</v>
      </c>
      <c r="G29" s="13">
        <v>27.8</v>
      </c>
      <c r="H29" s="13">
        <v>8.3000000000000007</v>
      </c>
      <c r="I29" s="13">
        <v>61</v>
      </c>
      <c r="J29" s="13">
        <v>759</v>
      </c>
      <c r="K29">
        <f t="shared" si="0"/>
        <v>0</v>
      </c>
    </row>
    <row r="30" spans="1:11" ht="17">
      <c r="A30" s="13" t="s">
        <v>282</v>
      </c>
      <c r="B30" s="13">
        <v>71.680000000000007</v>
      </c>
      <c r="C30" s="13">
        <v>0.4</v>
      </c>
      <c r="D30" s="13">
        <v>4002</v>
      </c>
      <c r="E30" s="13">
        <v>983</v>
      </c>
      <c r="F30" s="13">
        <v>634</v>
      </c>
      <c r="G30" s="13">
        <v>24.56</v>
      </c>
      <c r="H30" s="13">
        <v>15.84</v>
      </c>
      <c r="I30" s="13">
        <v>69.739999999999995</v>
      </c>
      <c r="J30" s="13">
        <v>616</v>
      </c>
      <c r="K30">
        <f t="shared" si="0"/>
        <v>4.9999999999999906E-2</v>
      </c>
    </row>
    <row r="31" spans="1:11" ht="17">
      <c r="A31" s="13" t="s">
        <v>110</v>
      </c>
      <c r="B31" s="13">
        <v>64.81</v>
      </c>
      <c r="C31" s="13">
        <v>0.42</v>
      </c>
      <c r="D31" s="13">
        <v>3886</v>
      </c>
      <c r="E31" s="13">
        <v>946</v>
      </c>
      <c r="F31" s="13">
        <v>637</v>
      </c>
      <c r="G31" s="13">
        <v>24.34</v>
      </c>
      <c r="H31" s="13">
        <v>16.39</v>
      </c>
      <c r="I31" s="13">
        <v>67.8</v>
      </c>
      <c r="J31" s="13">
        <v>681</v>
      </c>
      <c r="K31">
        <f t="shared" si="0"/>
        <v>0</v>
      </c>
    </row>
    <row r="32" spans="1:11" ht="17">
      <c r="A32" s="13" t="s">
        <v>52</v>
      </c>
      <c r="B32" s="13">
        <v>66.95</v>
      </c>
      <c r="C32" s="13">
        <v>0.42</v>
      </c>
      <c r="D32" s="13">
        <v>3845</v>
      </c>
      <c r="E32" s="13">
        <v>874</v>
      </c>
      <c r="F32" s="13">
        <v>523</v>
      </c>
      <c r="G32" s="13">
        <v>22.73</v>
      </c>
      <c r="H32" s="13">
        <v>13.6</v>
      </c>
      <c r="I32" s="13">
        <v>64.8</v>
      </c>
      <c r="J32" s="13">
        <v>897</v>
      </c>
      <c r="K32">
        <f t="shared" si="0"/>
        <v>0</v>
      </c>
    </row>
    <row r="33" spans="1:11" ht="17">
      <c r="A33" s="13" t="s">
        <v>107</v>
      </c>
      <c r="B33" s="13">
        <v>59.52</v>
      </c>
      <c r="C33" s="13">
        <v>0.42</v>
      </c>
      <c r="D33" s="13">
        <v>3811</v>
      </c>
      <c r="E33" s="13">
        <v>969</v>
      </c>
      <c r="F33" s="13">
        <v>606</v>
      </c>
      <c r="G33" s="13">
        <v>25.43</v>
      </c>
      <c r="H33" s="13">
        <v>15.9</v>
      </c>
      <c r="I33" s="13">
        <v>67.77</v>
      </c>
      <c r="J33" s="13">
        <v>862</v>
      </c>
      <c r="K33">
        <f t="shared" si="0"/>
        <v>0</v>
      </c>
    </row>
    <row r="34" spans="1:11" ht="17">
      <c r="A34" s="13" t="s">
        <v>18</v>
      </c>
      <c r="B34" s="13">
        <v>68.540000000000006</v>
      </c>
      <c r="C34" s="13">
        <v>0.42</v>
      </c>
      <c r="D34" s="13">
        <v>3884</v>
      </c>
      <c r="E34" s="13">
        <v>879</v>
      </c>
      <c r="F34" s="13">
        <v>560</v>
      </c>
      <c r="G34" s="13">
        <v>22.63</v>
      </c>
      <c r="H34" s="13">
        <v>14.42</v>
      </c>
      <c r="I34" s="13">
        <v>60.36</v>
      </c>
      <c r="J34" s="13">
        <v>605</v>
      </c>
      <c r="K34">
        <f t="shared" si="0"/>
        <v>2.3809523809523832E-2</v>
      </c>
    </row>
    <row r="35" spans="1:11" ht="17">
      <c r="A35" s="13" t="s">
        <v>222</v>
      </c>
      <c r="B35" s="13">
        <v>71.67</v>
      </c>
      <c r="C35" s="13">
        <v>0.43</v>
      </c>
      <c r="D35" s="13">
        <v>3866</v>
      </c>
      <c r="E35" s="13">
        <v>888</v>
      </c>
      <c r="F35" s="13">
        <v>586</v>
      </c>
      <c r="G35" s="13">
        <v>22.97</v>
      </c>
      <c r="H35" s="13">
        <v>15.16</v>
      </c>
      <c r="I35" s="13">
        <v>62.69</v>
      </c>
      <c r="J35" s="13">
        <v>644</v>
      </c>
      <c r="K35">
        <f t="shared" si="0"/>
        <v>0</v>
      </c>
    </row>
    <row r="36" spans="1:11" ht="17">
      <c r="A36" s="13" t="s">
        <v>170</v>
      </c>
      <c r="B36" s="13">
        <v>73.510000000000005</v>
      </c>
      <c r="C36" s="13">
        <v>0.43</v>
      </c>
      <c r="D36" s="13">
        <v>3928</v>
      </c>
      <c r="E36" s="13">
        <v>856</v>
      </c>
      <c r="F36" s="13">
        <v>578</v>
      </c>
      <c r="G36" s="13">
        <v>21.79</v>
      </c>
      <c r="H36" s="13">
        <v>14.71</v>
      </c>
      <c r="I36" s="13">
        <v>64.260000000000005</v>
      </c>
      <c r="J36" s="13">
        <v>914</v>
      </c>
      <c r="K36">
        <f t="shared" si="0"/>
        <v>0</v>
      </c>
    </row>
    <row r="37" spans="1:11" ht="17">
      <c r="A37" s="13" t="s">
        <v>250</v>
      </c>
      <c r="B37" s="13">
        <v>68.84</v>
      </c>
      <c r="C37" s="13">
        <v>0.43</v>
      </c>
      <c r="D37" s="13">
        <v>4015</v>
      </c>
      <c r="E37" s="13">
        <v>994</v>
      </c>
      <c r="F37" s="13">
        <v>643</v>
      </c>
      <c r="G37" s="13">
        <v>24.76</v>
      </c>
      <c r="H37" s="13">
        <v>16.010000000000002</v>
      </c>
      <c r="I37" s="13">
        <v>62.96</v>
      </c>
      <c r="J37" s="13">
        <v>970</v>
      </c>
      <c r="K37">
        <f t="shared" si="0"/>
        <v>0</v>
      </c>
    </row>
    <row r="38" spans="1:11" ht="17">
      <c r="A38" s="13" t="s">
        <v>126</v>
      </c>
      <c r="B38" s="13">
        <v>66.36</v>
      </c>
      <c r="C38" s="13">
        <v>0.43</v>
      </c>
      <c r="D38" s="13">
        <v>4097</v>
      </c>
      <c r="E38" s="13">
        <v>952</v>
      </c>
      <c r="F38" s="13">
        <v>715</v>
      </c>
      <c r="G38" s="13">
        <v>23.24</v>
      </c>
      <c r="H38" s="13">
        <v>17.45</v>
      </c>
      <c r="I38" s="13">
        <v>62.18</v>
      </c>
      <c r="J38" s="13">
        <v>768</v>
      </c>
      <c r="K38">
        <f t="shared" si="0"/>
        <v>2.3255813953488393E-2</v>
      </c>
    </row>
    <row r="39" spans="1:11" ht="17">
      <c r="A39" s="13" t="s">
        <v>161</v>
      </c>
      <c r="B39" s="13">
        <v>73.260000000000005</v>
      </c>
      <c r="C39" s="13">
        <v>0.44</v>
      </c>
      <c r="D39" s="13">
        <v>3897</v>
      </c>
      <c r="E39" s="13">
        <v>946</v>
      </c>
      <c r="F39" s="13">
        <v>635</v>
      </c>
      <c r="G39" s="13">
        <v>24.28</v>
      </c>
      <c r="H39" s="13">
        <v>16.29</v>
      </c>
      <c r="I39" s="13">
        <v>58.7</v>
      </c>
      <c r="J39" s="13">
        <v>1026</v>
      </c>
      <c r="K39">
        <f t="shared" si="0"/>
        <v>0</v>
      </c>
    </row>
    <row r="40" spans="1:11" ht="17">
      <c r="A40" s="13" t="s">
        <v>28</v>
      </c>
      <c r="B40" s="13">
        <v>77.150000000000006</v>
      </c>
      <c r="C40" s="13">
        <v>0.44</v>
      </c>
      <c r="D40" s="13">
        <v>4153</v>
      </c>
      <c r="E40" s="13">
        <v>1018</v>
      </c>
      <c r="F40" s="13">
        <v>698</v>
      </c>
      <c r="G40" s="13">
        <v>24.51</v>
      </c>
      <c r="H40" s="13">
        <v>16.809999999999999</v>
      </c>
      <c r="I40" s="13">
        <v>57.86</v>
      </c>
      <c r="J40" s="13">
        <v>962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4" t="s">
        <v>273</v>
      </c>
      <c r="B1" s="14" t="s">
        <v>262</v>
      </c>
      <c r="C1" s="14" t="s">
        <v>223</v>
      </c>
      <c r="D1" s="14" t="s">
        <v>259</v>
      </c>
      <c r="E1" s="14" t="s">
        <v>258</v>
      </c>
      <c r="F1" s="14" t="s">
        <v>27</v>
      </c>
      <c r="G1" s="14" t="s">
        <v>77</v>
      </c>
      <c r="H1" s="14" t="s">
        <v>278</v>
      </c>
      <c r="I1" s="14" t="s">
        <v>128</v>
      </c>
      <c r="J1" s="14" t="s">
        <v>308</v>
      </c>
    </row>
    <row r="2" spans="1:11" ht="17">
      <c r="A2" s="14" t="s">
        <v>32</v>
      </c>
      <c r="B2" s="14">
        <v>73.319999999999993</v>
      </c>
      <c r="C2" s="14">
        <v>0.21</v>
      </c>
      <c r="D2" s="14">
        <v>20875</v>
      </c>
      <c r="E2" s="14">
        <v>596</v>
      </c>
      <c r="F2" s="14">
        <v>348</v>
      </c>
      <c r="G2" s="14">
        <v>2.86</v>
      </c>
      <c r="H2" s="14">
        <v>1.67</v>
      </c>
      <c r="I2" s="14">
        <v>26.11</v>
      </c>
      <c r="J2" s="14">
        <v>726</v>
      </c>
      <c r="K2">
        <f t="shared" ref="K2:K40" si="0">(C3-C2)/C3</f>
        <v>0.125</v>
      </c>
    </row>
    <row r="3" spans="1:11" ht="17">
      <c r="A3" s="14" t="s">
        <v>79</v>
      </c>
      <c r="B3" s="14">
        <v>81.239999999999995</v>
      </c>
      <c r="C3" s="14">
        <v>0.24</v>
      </c>
      <c r="D3" s="14">
        <v>20623</v>
      </c>
      <c r="E3" s="14">
        <v>556</v>
      </c>
      <c r="F3" s="14">
        <v>324</v>
      </c>
      <c r="G3" s="14">
        <v>2.7</v>
      </c>
      <c r="H3" s="14">
        <v>1.57</v>
      </c>
      <c r="I3" s="14">
        <v>26.8</v>
      </c>
      <c r="J3" s="14">
        <v>811</v>
      </c>
      <c r="K3">
        <f t="shared" si="0"/>
        <v>0</v>
      </c>
    </row>
    <row r="4" spans="1:11" ht="17">
      <c r="A4" s="14" t="s">
        <v>181</v>
      </c>
      <c r="B4" s="14">
        <v>82.13</v>
      </c>
      <c r="C4" s="14">
        <v>0.24</v>
      </c>
      <c r="D4" s="14">
        <v>28178</v>
      </c>
      <c r="E4" s="14">
        <v>762</v>
      </c>
      <c r="F4" s="14">
        <v>478</v>
      </c>
      <c r="G4" s="14">
        <v>2.7</v>
      </c>
      <c r="H4" s="14">
        <v>1.7</v>
      </c>
      <c r="I4" s="14">
        <v>26.97</v>
      </c>
      <c r="J4" s="14">
        <v>941</v>
      </c>
      <c r="K4">
        <f t="shared" si="0"/>
        <v>0</v>
      </c>
    </row>
    <row r="5" spans="1:11" ht="17">
      <c r="A5" s="14" t="s">
        <v>217</v>
      </c>
      <c r="B5" s="14">
        <v>83.32</v>
      </c>
      <c r="C5" s="14">
        <v>0.24</v>
      </c>
      <c r="D5" s="14">
        <v>21628</v>
      </c>
      <c r="E5" s="14">
        <v>543</v>
      </c>
      <c r="F5" s="14">
        <v>320</v>
      </c>
      <c r="G5" s="14">
        <v>2.5099999999999998</v>
      </c>
      <c r="H5" s="14">
        <v>1.48</v>
      </c>
      <c r="I5" s="14">
        <v>27.86</v>
      </c>
      <c r="J5" s="14">
        <v>664</v>
      </c>
      <c r="K5">
        <f t="shared" si="0"/>
        <v>0</v>
      </c>
    </row>
    <row r="6" spans="1:11" ht="17">
      <c r="A6" s="14" t="s">
        <v>162</v>
      </c>
      <c r="B6" s="14">
        <v>90.8</v>
      </c>
      <c r="C6" s="14">
        <v>0.24</v>
      </c>
      <c r="D6" s="14">
        <v>22967</v>
      </c>
      <c r="E6" s="14">
        <v>644</v>
      </c>
      <c r="F6" s="14">
        <v>394</v>
      </c>
      <c r="G6" s="14">
        <v>2.8</v>
      </c>
      <c r="H6" s="14">
        <v>1.72</v>
      </c>
      <c r="I6" s="14">
        <v>27.99</v>
      </c>
      <c r="J6" s="14">
        <v>580</v>
      </c>
      <c r="K6">
        <f t="shared" si="0"/>
        <v>0.14285714285714296</v>
      </c>
    </row>
    <row r="7" spans="1:11" ht="17">
      <c r="A7" s="14" t="s">
        <v>64</v>
      </c>
      <c r="B7" s="14">
        <v>95</v>
      </c>
      <c r="C7" s="14">
        <v>0.28000000000000003</v>
      </c>
      <c r="D7" s="14">
        <v>22324</v>
      </c>
      <c r="E7" s="14">
        <v>623</v>
      </c>
      <c r="F7" s="14">
        <v>386</v>
      </c>
      <c r="G7" s="14">
        <v>2.79</v>
      </c>
      <c r="H7" s="14">
        <v>1.73</v>
      </c>
      <c r="I7" s="14">
        <v>27.79</v>
      </c>
      <c r="J7" s="14">
        <v>1083</v>
      </c>
      <c r="K7">
        <f t="shared" si="0"/>
        <v>0</v>
      </c>
    </row>
    <row r="8" spans="1:11" ht="17">
      <c r="A8" s="14" t="s">
        <v>226</v>
      </c>
      <c r="B8" s="14">
        <v>100.16</v>
      </c>
      <c r="C8" s="14">
        <v>0.28000000000000003</v>
      </c>
      <c r="D8" s="14">
        <v>32218</v>
      </c>
      <c r="E8" s="14">
        <v>949</v>
      </c>
      <c r="F8" s="14">
        <v>609</v>
      </c>
      <c r="G8" s="14">
        <v>2.95</v>
      </c>
      <c r="H8" s="14">
        <v>1.89</v>
      </c>
      <c r="I8" s="14">
        <v>26.48</v>
      </c>
      <c r="J8" s="14">
        <v>730</v>
      </c>
      <c r="K8">
        <f t="shared" si="0"/>
        <v>0</v>
      </c>
    </row>
    <row r="9" spans="1:11" ht="17">
      <c r="A9" s="14" t="s">
        <v>247</v>
      </c>
      <c r="B9" s="14">
        <v>98.73</v>
      </c>
      <c r="C9" s="14">
        <v>0.28000000000000003</v>
      </c>
      <c r="D9" s="14">
        <v>23715</v>
      </c>
      <c r="E9" s="14">
        <v>639</v>
      </c>
      <c r="F9" s="14">
        <v>416</v>
      </c>
      <c r="G9" s="14">
        <v>2.69</v>
      </c>
      <c r="H9" s="14">
        <v>1.75</v>
      </c>
      <c r="I9" s="14">
        <v>25.91</v>
      </c>
      <c r="J9" s="14">
        <v>1102</v>
      </c>
      <c r="K9">
        <f t="shared" si="0"/>
        <v>0</v>
      </c>
    </row>
    <row r="10" spans="1:11" ht="17">
      <c r="A10" s="14" t="s">
        <v>19</v>
      </c>
      <c r="B10" s="14">
        <v>106.11</v>
      </c>
      <c r="C10" s="14">
        <v>0.28000000000000003</v>
      </c>
      <c r="D10" s="14">
        <v>24871</v>
      </c>
      <c r="E10" s="14">
        <v>738</v>
      </c>
      <c r="F10" s="14">
        <v>547</v>
      </c>
      <c r="G10" s="14">
        <v>2.97</v>
      </c>
      <c r="H10" s="14">
        <v>2.2000000000000002</v>
      </c>
      <c r="I10" s="14">
        <v>25.91</v>
      </c>
      <c r="J10" s="14">
        <v>423</v>
      </c>
      <c r="K10">
        <f t="shared" si="0"/>
        <v>9.6774193548387011E-2</v>
      </c>
    </row>
    <row r="11" spans="1:11" ht="17">
      <c r="A11" s="14" t="s">
        <v>192</v>
      </c>
      <c r="B11" s="14">
        <v>110.57</v>
      </c>
      <c r="C11" s="14">
        <v>0.31</v>
      </c>
      <c r="D11" s="14">
        <v>24083</v>
      </c>
      <c r="E11" s="14">
        <v>722</v>
      </c>
      <c r="F11" s="14">
        <v>459</v>
      </c>
      <c r="G11" s="14">
        <v>3</v>
      </c>
      <c r="H11" s="14">
        <v>1.91</v>
      </c>
      <c r="I11" s="14">
        <v>24.57</v>
      </c>
      <c r="J11" s="14">
        <v>2874</v>
      </c>
      <c r="K11">
        <f t="shared" si="0"/>
        <v>0</v>
      </c>
    </row>
    <row r="12" spans="1:11" ht="17">
      <c r="A12" s="14" t="s">
        <v>160</v>
      </c>
      <c r="B12" s="14">
        <v>115.17</v>
      </c>
      <c r="C12" s="14">
        <v>0.31</v>
      </c>
      <c r="D12" s="14">
        <v>32487</v>
      </c>
      <c r="E12" s="14">
        <v>954</v>
      </c>
      <c r="F12" s="14">
        <v>617</v>
      </c>
      <c r="G12" s="14">
        <v>2.94</v>
      </c>
      <c r="H12" s="14">
        <v>1.9</v>
      </c>
      <c r="I12" s="14">
        <v>24.57</v>
      </c>
      <c r="J12" s="14">
        <v>563</v>
      </c>
      <c r="K12">
        <f t="shared" si="0"/>
        <v>0</v>
      </c>
    </row>
    <row r="13" spans="1:11" ht="17">
      <c r="A13" s="14" t="s">
        <v>168</v>
      </c>
      <c r="B13" s="14">
        <v>119.02</v>
      </c>
      <c r="C13" s="14">
        <v>0.31</v>
      </c>
      <c r="D13" s="14">
        <v>25017</v>
      </c>
      <c r="E13" s="14">
        <v>668</v>
      </c>
      <c r="F13" s="14">
        <v>425</v>
      </c>
      <c r="G13" s="14">
        <v>2.67</v>
      </c>
      <c r="H13" s="14">
        <v>1.7</v>
      </c>
      <c r="I13" s="14">
        <v>25.27</v>
      </c>
      <c r="J13" s="14">
        <v>939</v>
      </c>
      <c r="K13">
        <f t="shared" si="0"/>
        <v>0</v>
      </c>
    </row>
    <row r="14" spans="1:11" ht="17">
      <c r="A14" s="14" t="s">
        <v>63</v>
      </c>
      <c r="B14" s="14">
        <v>111.68</v>
      </c>
      <c r="C14" s="14">
        <v>0.31</v>
      </c>
      <c r="D14" s="14">
        <v>26306</v>
      </c>
      <c r="E14" s="14">
        <v>724</v>
      </c>
      <c r="F14" s="14">
        <v>463</v>
      </c>
      <c r="G14" s="14">
        <v>2.75</v>
      </c>
      <c r="H14" s="14">
        <v>1.76</v>
      </c>
      <c r="I14" s="14">
        <v>25.97</v>
      </c>
      <c r="J14" s="14">
        <v>713</v>
      </c>
      <c r="K14">
        <f t="shared" si="0"/>
        <v>0.13888888888888887</v>
      </c>
    </row>
    <row r="15" spans="1:11" ht="17">
      <c r="A15" s="14" t="s">
        <v>14</v>
      </c>
      <c r="B15" s="14">
        <v>115.16</v>
      </c>
      <c r="C15" s="14">
        <v>0.36</v>
      </c>
      <c r="D15" s="14">
        <v>25794</v>
      </c>
      <c r="E15" s="14">
        <v>737</v>
      </c>
      <c r="F15" s="14">
        <v>473</v>
      </c>
      <c r="G15" s="14">
        <v>2.86</v>
      </c>
      <c r="H15" s="14">
        <v>1.83</v>
      </c>
      <c r="I15" s="14">
        <v>27.87</v>
      </c>
      <c r="J15" s="14">
        <v>3142</v>
      </c>
      <c r="K15">
        <f t="shared" si="0"/>
        <v>0</v>
      </c>
    </row>
    <row r="16" spans="1:11" ht="17">
      <c r="A16" s="14" t="s">
        <v>288</v>
      </c>
      <c r="B16" s="14">
        <v>125.32</v>
      </c>
      <c r="C16" s="14">
        <v>0.36</v>
      </c>
      <c r="D16" s="14">
        <v>35523</v>
      </c>
      <c r="E16" s="14">
        <v>1091</v>
      </c>
      <c r="F16" s="14">
        <v>697</v>
      </c>
      <c r="G16" s="14">
        <v>3.07</v>
      </c>
      <c r="H16" s="14">
        <v>1.96</v>
      </c>
      <c r="I16" s="14">
        <v>28.75</v>
      </c>
      <c r="J16" s="14">
        <v>-810</v>
      </c>
      <c r="K16">
        <f t="shared" si="0"/>
        <v>0</v>
      </c>
    </row>
    <row r="17" spans="1:11" ht="17">
      <c r="A17" s="14" t="s">
        <v>133</v>
      </c>
      <c r="B17" s="14">
        <v>141.75</v>
      </c>
      <c r="C17" s="14">
        <v>0.36</v>
      </c>
      <c r="D17" s="14">
        <v>26866</v>
      </c>
      <c r="E17" s="14">
        <v>770</v>
      </c>
      <c r="F17" s="14">
        <v>496</v>
      </c>
      <c r="G17" s="14">
        <v>2.87</v>
      </c>
      <c r="H17" s="14">
        <v>1.85</v>
      </c>
      <c r="I17" s="14">
        <v>28.6</v>
      </c>
      <c r="J17" s="14">
        <v>1128</v>
      </c>
      <c r="K17">
        <f t="shared" si="0"/>
        <v>0</v>
      </c>
    </row>
    <row r="18" spans="1:11" ht="17">
      <c r="A18" s="14" t="s">
        <v>36</v>
      </c>
      <c r="B18" s="14">
        <v>151.495</v>
      </c>
      <c r="C18" s="14">
        <v>0.36</v>
      </c>
      <c r="D18" s="14">
        <v>27454</v>
      </c>
      <c r="E18" s="14">
        <v>877</v>
      </c>
      <c r="F18" s="14">
        <v>598</v>
      </c>
      <c r="G18" s="14">
        <v>3.19</v>
      </c>
      <c r="H18" s="14">
        <v>2.1800000000000002</v>
      </c>
      <c r="I18" s="14">
        <v>28.59</v>
      </c>
      <c r="J18" s="14">
        <v>900</v>
      </c>
      <c r="K18">
        <f t="shared" si="0"/>
        <v>0.10000000000000009</v>
      </c>
    </row>
    <row r="19" spans="1:11" ht="17">
      <c r="A19" s="14" t="s">
        <v>190</v>
      </c>
      <c r="B19" s="14">
        <v>135.06</v>
      </c>
      <c r="C19" s="14">
        <v>0.4</v>
      </c>
      <c r="D19" s="14">
        <v>26101</v>
      </c>
      <c r="E19" s="14">
        <v>821</v>
      </c>
      <c r="F19" s="14">
        <v>516</v>
      </c>
      <c r="G19" s="14">
        <v>3.15</v>
      </c>
      <c r="H19" s="14">
        <v>1.98</v>
      </c>
      <c r="I19" s="14">
        <v>27.79</v>
      </c>
      <c r="J19" s="14">
        <v>3257</v>
      </c>
      <c r="K19">
        <f t="shared" si="0"/>
        <v>0</v>
      </c>
    </row>
    <row r="20" spans="1:11" ht="17">
      <c r="A20" s="14" t="s">
        <v>256</v>
      </c>
      <c r="B20" s="14">
        <v>144.57</v>
      </c>
      <c r="C20" s="14">
        <v>0.4</v>
      </c>
      <c r="D20" s="14">
        <v>35778</v>
      </c>
      <c r="E20" s="14">
        <v>1156</v>
      </c>
      <c r="F20" s="14">
        <v>767</v>
      </c>
      <c r="G20" s="14">
        <v>3.23</v>
      </c>
      <c r="H20" s="14">
        <v>2.14</v>
      </c>
      <c r="I20" s="14">
        <v>28.07</v>
      </c>
      <c r="J20" s="14">
        <v>1028</v>
      </c>
      <c r="K20">
        <f t="shared" si="0"/>
        <v>0</v>
      </c>
    </row>
    <row r="21" spans="1:11" ht="17">
      <c r="A21" s="14" t="s">
        <v>203</v>
      </c>
      <c r="B21" s="14">
        <v>161.5</v>
      </c>
      <c r="C21" s="14">
        <v>0.4</v>
      </c>
      <c r="D21" s="14">
        <v>27220</v>
      </c>
      <c r="E21" s="14">
        <v>767</v>
      </c>
      <c r="F21" s="14">
        <v>480</v>
      </c>
      <c r="G21" s="14">
        <v>2.82</v>
      </c>
      <c r="H21" s="14">
        <v>1.76</v>
      </c>
      <c r="I21" s="14">
        <v>28.12</v>
      </c>
      <c r="J21" s="14">
        <v>811</v>
      </c>
      <c r="K21">
        <f t="shared" si="0"/>
        <v>0</v>
      </c>
    </row>
    <row r="22" spans="1:11" ht="17">
      <c r="A22" s="14" t="s">
        <v>89</v>
      </c>
      <c r="B22" s="14">
        <v>157.58000000000001</v>
      </c>
      <c r="C22" s="14">
        <v>0.4</v>
      </c>
      <c r="D22" s="14">
        <v>28170</v>
      </c>
      <c r="E22" s="14">
        <v>856</v>
      </c>
      <c r="F22" s="14">
        <v>546</v>
      </c>
      <c r="G22" s="14">
        <v>3.04</v>
      </c>
      <c r="H22" s="14">
        <v>1.94</v>
      </c>
      <c r="I22" s="14">
        <v>29.12</v>
      </c>
      <c r="J22" s="14">
        <v>791</v>
      </c>
      <c r="K22">
        <f t="shared" si="0"/>
        <v>0.11111111111111108</v>
      </c>
    </row>
    <row r="23" spans="1:11" ht="17">
      <c r="A23" s="14" t="s">
        <v>127</v>
      </c>
      <c r="B23" s="14">
        <v>157.04</v>
      </c>
      <c r="C23" s="14">
        <v>0.45</v>
      </c>
      <c r="D23" s="14">
        <v>26769</v>
      </c>
      <c r="E23" s="14">
        <v>858</v>
      </c>
      <c r="F23" s="14">
        <v>545</v>
      </c>
      <c r="G23" s="14">
        <v>3.21</v>
      </c>
      <c r="H23" s="14">
        <v>2.04</v>
      </c>
      <c r="I23" s="14">
        <v>31.19</v>
      </c>
      <c r="J23" s="14">
        <v>1859</v>
      </c>
      <c r="K23">
        <f t="shared" si="0"/>
        <v>0</v>
      </c>
    </row>
    <row r="24" spans="1:11" ht="17">
      <c r="A24" s="14" t="s">
        <v>88</v>
      </c>
      <c r="B24" s="14">
        <v>152.51</v>
      </c>
      <c r="C24" s="14">
        <v>0.45</v>
      </c>
      <c r="D24" s="14">
        <v>36560</v>
      </c>
      <c r="E24" s="14">
        <v>1191</v>
      </c>
      <c r="F24" s="14">
        <v>779</v>
      </c>
      <c r="G24" s="14">
        <v>3.26</v>
      </c>
      <c r="H24" s="14">
        <v>2.13</v>
      </c>
      <c r="I24" s="14">
        <v>31.19</v>
      </c>
      <c r="J24" s="14">
        <v>-169</v>
      </c>
      <c r="K24">
        <f t="shared" si="0"/>
        <v>0</v>
      </c>
    </row>
    <row r="25" spans="1:11" ht="17">
      <c r="A25" s="14" t="s">
        <v>24</v>
      </c>
      <c r="B25" s="14">
        <v>160.11000000000001</v>
      </c>
      <c r="C25" s="14">
        <v>0.45</v>
      </c>
      <c r="D25" s="14">
        <v>28099</v>
      </c>
      <c r="E25" s="14">
        <v>849</v>
      </c>
      <c r="F25" s="14">
        <v>545</v>
      </c>
      <c r="G25" s="14">
        <v>3.02</v>
      </c>
      <c r="H25" s="14">
        <v>1.94</v>
      </c>
      <c r="I25" s="14">
        <v>31.89</v>
      </c>
      <c r="J25" s="14">
        <v>2793</v>
      </c>
      <c r="K25">
        <f t="shared" si="0"/>
        <v>0</v>
      </c>
    </row>
    <row r="26" spans="1:11" ht="17">
      <c r="A26" s="14" t="s">
        <v>55</v>
      </c>
      <c r="B26" s="14">
        <v>167.69</v>
      </c>
      <c r="C26" s="14">
        <v>0.45</v>
      </c>
      <c r="D26" s="14">
        <v>29766</v>
      </c>
      <c r="E26" s="14">
        <v>844</v>
      </c>
      <c r="F26" s="14">
        <v>515</v>
      </c>
      <c r="G26" s="14">
        <v>2.84</v>
      </c>
      <c r="H26" s="14">
        <v>1.73</v>
      </c>
      <c r="I26" s="14">
        <v>31.93</v>
      </c>
      <c r="J26" s="14">
        <v>493</v>
      </c>
      <c r="K26">
        <f t="shared" si="0"/>
        <v>9.9999999999999978E-2</v>
      </c>
    </row>
    <row r="27" spans="1:11" ht="17">
      <c r="A27" s="14" t="s">
        <v>183</v>
      </c>
      <c r="B27" s="14">
        <v>159.93</v>
      </c>
      <c r="C27" s="14">
        <v>0.5</v>
      </c>
      <c r="D27" s="14">
        <v>28860</v>
      </c>
      <c r="E27" s="14">
        <v>968</v>
      </c>
      <c r="F27" s="14">
        <v>700</v>
      </c>
      <c r="G27" s="14">
        <v>3.35</v>
      </c>
      <c r="H27" s="14">
        <v>2.4300000000000002</v>
      </c>
      <c r="I27" s="14">
        <v>32.119999999999997</v>
      </c>
      <c r="J27" s="14">
        <v>1606</v>
      </c>
      <c r="K27">
        <f t="shared" si="0"/>
        <v>0</v>
      </c>
    </row>
    <row r="28" spans="1:11" ht="17">
      <c r="A28" s="14" t="s">
        <v>34</v>
      </c>
      <c r="B28" s="14">
        <v>164.29</v>
      </c>
      <c r="C28" s="14">
        <v>0.5</v>
      </c>
      <c r="D28" s="14">
        <v>42300</v>
      </c>
      <c r="E28" s="14">
        <v>1450</v>
      </c>
      <c r="F28" s="14">
        <v>919</v>
      </c>
      <c r="G28" s="14">
        <v>3.43</v>
      </c>
      <c r="H28" s="14">
        <v>2.17</v>
      </c>
      <c r="I28" s="14">
        <v>32.119999999999997</v>
      </c>
      <c r="J28" s="14">
        <v>1834</v>
      </c>
      <c r="K28">
        <f t="shared" si="0"/>
        <v>0</v>
      </c>
    </row>
    <row r="29" spans="1:11" ht="17">
      <c r="A29" s="14" t="s">
        <v>173</v>
      </c>
      <c r="B29" s="14">
        <v>186.12</v>
      </c>
      <c r="C29" s="14">
        <v>0.5</v>
      </c>
      <c r="D29" s="14">
        <v>31809</v>
      </c>
      <c r="E29" s="14">
        <v>951</v>
      </c>
      <c r="F29" s="14">
        <v>640</v>
      </c>
      <c r="G29" s="14">
        <v>2.99</v>
      </c>
      <c r="H29" s="14">
        <v>2.0099999999999998</v>
      </c>
      <c r="I29" s="14">
        <v>31.25</v>
      </c>
      <c r="J29" s="14">
        <v>2006</v>
      </c>
      <c r="K29">
        <f t="shared" si="0"/>
        <v>0</v>
      </c>
    </row>
    <row r="30" spans="1:11" ht="17">
      <c r="A30" s="14" t="s">
        <v>282</v>
      </c>
      <c r="B30" s="14">
        <v>188.43</v>
      </c>
      <c r="C30" s="14">
        <v>0.5</v>
      </c>
      <c r="D30" s="14">
        <v>32995</v>
      </c>
      <c r="E30" s="14">
        <v>1016</v>
      </c>
      <c r="F30" s="14">
        <v>701</v>
      </c>
      <c r="G30" s="14">
        <v>3.08</v>
      </c>
      <c r="H30" s="14">
        <v>2.12</v>
      </c>
      <c r="I30" s="14">
        <v>31</v>
      </c>
      <c r="J30" s="14">
        <v>109</v>
      </c>
      <c r="K30">
        <f t="shared" si="0"/>
        <v>0.12280701754385957</v>
      </c>
    </row>
    <row r="31" spans="1:11" ht="17">
      <c r="A31" s="14" t="s">
        <v>110</v>
      </c>
      <c r="B31" s="14">
        <v>208.98</v>
      </c>
      <c r="C31" s="14">
        <v>0.56999999999999995</v>
      </c>
      <c r="D31" s="14">
        <v>32361</v>
      </c>
      <c r="E31" s="14">
        <v>1067</v>
      </c>
      <c r="F31" s="14">
        <v>750</v>
      </c>
      <c r="G31" s="14">
        <v>3.3</v>
      </c>
      <c r="H31" s="14">
        <v>2.3199999999999998</v>
      </c>
      <c r="I31" s="14">
        <v>29.81</v>
      </c>
      <c r="J31" s="14">
        <v>2105</v>
      </c>
      <c r="K31">
        <f t="shared" si="0"/>
        <v>0</v>
      </c>
    </row>
    <row r="32" spans="1:11" ht="17">
      <c r="A32" s="14" t="s">
        <v>52</v>
      </c>
      <c r="B32" s="14">
        <v>234.88</v>
      </c>
      <c r="C32" s="14">
        <v>0.56999999999999995</v>
      </c>
      <c r="D32" s="14">
        <v>44411</v>
      </c>
      <c r="E32" s="14">
        <v>1446</v>
      </c>
      <c r="F32" s="14">
        <v>1043</v>
      </c>
      <c r="G32" s="14">
        <v>3.26</v>
      </c>
      <c r="H32" s="14">
        <v>2.35</v>
      </c>
      <c r="I32" s="14">
        <v>30.31</v>
      </c>
      <c r="J32" s="14">
        <v>1554</v>
      </c>
      <c r="K32">
        <f t="shared" si="0"/>
        <v>0</v>
      </c>
    </row>
    <row r="33" spans="1:11" ht="17">
      <c r="A33" s="14" t="s">
        <v>107</v>
      </c>
      <c r="B33" s="14">
        <v>203.71</v>
      </c>
      <c r="C33" s="14">
        <v>0.56999999999999995</v>
      </c>
      <c r="D33" s="14">
        <v>35069</v>
      </c>
      <c r="E33" s="14">
        <v>949</v>
      </c>
      <c r="F33" s="14">
        <v>767</v>
      </c>
      <c r="G33" s="14">
        <v>2.71</v>
      </c>
      <c r="H33" s="14">
        <v>2.19</v>
      </c>
      <c r="I33" s="14">
        <v>30.18</v>
      </c>
      <c r="J33" s="14">
        <v>2177</v>
      </c>
      <c r="K33">
        <f t="shared" si="0"/>
        <v>0</v>
      </c>
    </row>
    <row r="34" spans="1:11" ht="17">
      <c r="A34" s="14" t="s">
        <v>18</v>
      </c>
      <c r="B34" s="14">
        <v>242.14</v>
      </c>
      <c r="C34" s="14">
        <v>0.56999999999999995</v>
      </c>
      <c r="D34" s="14">
        <v>35396</v>
      </c>
      <c r="E34" s="14">
        <v>1203</v>
      </c>
      <c r="F34" s="14">
        <v>889</v>
      </c>
      <c r="G34" s="14">
        <v>3.4</v>
      </c>
      <c r="H34" s="14">
        <v>2.5099999999999998</v>
      </c>
      <c r="I34" s="14">
        <v>29.99</v>
      </c>
      <c r="J34" s="14">
        <v>-219</v>
      </c>
      <c r="K34">
        <f t="shared" si="0"/>
        <v>0.12307692307692318</v>
      </c>
    </row>
    <row r="35" spans="1:11" ht="17">
      <c r="A35" s="14" t="s">
        <v>222</v>
      </c>
      <c r="B35" s="14">
        <v>264.26</v>
      </c>
      <c r="C35" s="14">
        <v>0.65</v>
      </c>
      <c r="D35" s="14">
        <v>34740</v>
      </c>
      <c r="E35" s="14">
        <v>1122</v>
      </c>
      <c r="F35" s="14">
        <v>906</v>
      </c>
      <c r="G35" s="14">
        <v>3.23</v>
      </c>
      <c r="H35" s="14">
        <v>2.61</v>
      </c>
      <c r="I35" s="14">
        <v>29.27</v>
      </c>
      <c r="J35" s="14">
        <v>2105</v>
      </c>
      <c r="K35">
        <f t="shared" si="0"/>
        <v>0</v>
      </c>
    </row>
    <row r="36" spans="1:11" ht="17">
      <c r="A36" s="14" t="s">
        <v>170</v>
      </c>
      <c r="B36" s="14">
        <v>288.11</v>
      </c>
      <c r="C36" s="14">
        <v>0.65</v>
      </c>
      <c r="D36" s="14">
        <v>47498</v>
      </c>
      <c r="E36" s="14">
        <v>1463</v>
      </c>
      <c r="F36" s="14">
        <v>1097</v>
      </c>
      <c r="G36" s="14">
        <v>3.08</v>
      </c>
      <c r="H36" s="14">
        <v>2.31</v>
      </c>
      <c r="I36" s="14">
        <v>28.99</v>
      </c>
      <c r="J36" s="14">
        <v>2293</v>
      </c>
      <c r="K36">
        <f t="shared" si="0"/>
        <v>0</v>
      </c>
    </row>
    <row r="37" spans="1:11" ht="17">
      <c r="A37" s="14" t="s">
        <v>250</v>
      </c>
      <c r="B37" s="14">
        <v>293.92</v>
      </c>
      <c r="C37" s="14">
        <v>0.65</v>
      </c>
      <c r="D37" s="14">
        <v>37040</v>
      </c>
      <c r="E37" s="14">
        <v>1061</v>
      </c>
      <c r="F37" s="14">
        <v>844</v>
      </c>
      <c r="G37" s="14">
        <v>2.86</v>
      </c>
      <c r="H37" s="14">
        <v>2.2799999999999998</v>
      </c>
      <c r="I37" s="14">
        <v>29.54</v>
      </c>
      <c r="J37" s="14">
        <v>2102</v>
      </c>
      <c r="K37">
        <f t="shared" si="0"/>
        <v>0</v>
      </c>
    </row>
    <row r="38" spans="1:11" ht="17">
      <c r="A38" s="14" t="s">
        <v>126</v>
      </c>
      <c r="B38" s="14">
        <v>285.13</v>
      </c>
      <c r="C38" s="14">
        <v>0.65</v>
      </c>
      <c r="D38" s="14">
        <v>39072</v>
      </c>
      <c r="E38" s="14">
        <v>1266</v>
      </c>
      <c r="F38" s="14">
        <v>931</v>
      </c>
      <c r="G38" s="14">
        <v>3.24</v>
      </c>
      <c r="H38" s="14">
        <v>2.38</v>
      </c>
      <c r="I38" s="14">
        <v>29.89</v>
      </c>
      <c r="J38" s="14">
        <v>619</v>
      </c>
      <c r="K38">
        <f t="shared" si="0"/>
        <v>7.1428571428571341E-2</v>
      </c>
    </row>
    <row r="39" spans="1:11" ht="17">
      <c r="A39" s="14" t="s">
        <v>161</v>
      </c>
      <c r="B39" s="14">
        <v>303.20999999999998</v>
      </c>
      <c r="C39" s="14">
        <v>0.7</v>
      </c>
      <c r="D39" s="14">
        <v>37266</v>
      </c>
      <c r="E39" s="14">
        <v>1179</v>
      </c>
      <c r="F39" s="14">
        <v>838</v>
      </c>
      <c r="G39" s="14">
        <v>3.16</v>
      </c>
      <c r="H39" s="14">
        <v>2.25</v>
      </c>
      <c r="I39" s="14">
        <v>30.52</v>
      </c>
      <c r="J39" s="14">
        <v>1898</v>
      </c>
      <c r="K39">
        <f t="shared" si="0"/>
        <v>0</v>
      </c>
    </row>
    <row r="40" spans="1:11" ht="17">
      <c r="A40" s="14" t="s">
        <v>28</v>
      </c>
      <c r="B40" s="14">
        <v>355</v>
      </c>
      <c r="C40" s="14">
        <v>0.7</v>
      </c>
      <c r="D40" s="14">
        <v>53383</v>
      </c>
      <c r="E40" s="14">
        <v>1929</v>
      </c>
      <c r="F40" s="14">
        <v>1389</v>
      </c>
      <c r="G40" s="14">
        <v>3.61</v>
      </c>
      <c r="H40" s="14">
        <v>2.6</v>
      </c>
      <c r="I40" s="14">
        <v>31.7</v>
      </c>
      <c r="J40" s="14">
        <v>4242</v>
      </c>
      <c r="K40">
        <f t="shared" si="0"/>
        <v>0</v>
      </c>
    </row>
    <row r="41" spans="1:11" ht="17">
      <c r="A41" s="14" t="s">
        <v>212</v>
      </c>
      <c r="B41" s="14">
        <v>376.78</v>
      </c>
      <c r="C41" s="14">
        <v>0.7</v>
      </c>
      <c r="D41" s="14">
        <v>43208</v>
      </c>
      <c r="E41" s="14">
        <v>1430</v>
      </c>
      <c r="F41" s="14">
        <v>1166</v>
      </c>
      <c r="G41" s="14">
        <v>3.31</v>
      </c>
      <c r="H41" s="14">
        <v>2.7</v>
      </c>
      <c r="I41" s="14">
        <v>29.93</v>
      </c>
      <c r="J41" s="14">
        <v>2647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K41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5" t="s">
        <v>273</v>
      </c>
      <c r="B1" s="15" t="s">
        <v>262</v>
      </c>
      <c r="C1" s="15" t="s">
        <v>223</v>
      </c>
      <c r="D1" s="15" t="s">
        <v>259</v>
      </c>
      <c r="E1" s="15" t="s">
        <v>258</v>
      </c>
      <c r="F1" s="15" t="s">
        <v>27</v>
      </c>
      <c r="G1" s="15" t="s">
        <v>77</v>
      </c>
      <c r="H1" s="15" t="s">
        <v>278</v>
      </c>
      <c r="I1" s="15" t="s">
        <v>128</v>
      </c>
      <c r="J1" s="15" t="s">
        <v>308</v>
      </c>
    </row>
    <row r="2" spans="1:11" ht="17">
      <c r="A2" s="15" t="s">
        <v>32</v>
      </c>
      <c r="B2" s="15">
        <v>37.06</v>
      </c>
      <c r="C2" s="15">
        <v>0.24</v>
      </c>
      <c r="D2" s="15">
        <v>15126</v>
      </c>
      <c r="E2" s="15">
        <v>1037</v>
      </c>
      <c r="F2" s="15">
        <v>587</v>
      </c>
      <c r="G2" s="15">
        <v>6.86</v>
      </c>
      <c r="H2" s="15">
        <v>3.88</v>
      </c>
      <c r="I2" s="15">
        <v>47.01</v>
      </c>
      <c r="J2" s="15">
        <v>599</v>
      </c>
      <c r="K2">
        <f t="shared" ref="K2:K40" si="0">(C3-C2)/C2</f>
        <v>4.1666666666666706E-2</v>
      </c>
    </row>
    <row r="3" spans="1:11" ht="17">
      <c r="A3" s="15" t="s">
        <v>79</v>
      </c>
      <c r="B3" s="15">
        <v>36.22</v>
      </c>
      <c r="C3" s="15">
        <v>0.25</v>
      </c>
      <c r="D3" s="15">
        <v>16823</v>
      </c>
      <c r="E3" s="15">
        <v>1422</v>
      </c>
      <c r="F3" s="15">
        <v>812</v>
      </c>
      <c r="G3" s="15">
        <v>8.4499999999999993</v>
      </c>
      <c r="H3" s="15">
        <v>4.83</v>
      </c>
      <c r="I3" s="15">
        <v>47.01</v>
      </c>
      <c r="J3" s="15">
        <v>2098</v>
      </c>
      <c r="K3">
        <f t="shared" si="0"/>
        <v>0</v>
      </c>
    </row>
    <row r="4" spans="1:11" ht="17">
      <c r="A4" s="15" t="s">
        <v>181</v>
      </c>
      <c r="B4" s="15">
        <v>32.869999999999997</v>
      </c>
      <c r="C4" s="15">
        <v>0.25</v>
      </c>
      <c r="D4" s="15">
        <v>20232</v>
      </c>
      <c r="E4" s="15">
        <v>2294</v>
      </c>
      <c r="F4" s="15">
        <v>1363</v>
      </c>
      <c r="G4" s="15">
        <v>11.34</v>
      </c>
      <c r="H4" s="15">
        <v>6.74</v>
      </c>
      <c r="I4" s="15">
        <v>46.09</v>
      </c>
      <c r="J4" s="15">
        <v>2389</v>
      </c>
      <c r="K4">
        <f t="shared" si="0"/>
        <v>0</v>
      </c>
    </row>
    <row r="5" spans="1:11" ht="17">
      <c r="A5" s="15" t="s">
        <v>217</v>
      </c>
      <c r="B5" s="15">
        <v>42.04</v>
      </c>
      <c r="C5" s="15">
        <v>0.25</v>
      </c>
      <c r="D5" s="15">
        <v>17326</v>
      </c>
      <c r="E5" s="15">
        <v>1615</v>
      </c>
      <c r="F5" s="15">
        <v>934</v>
      </c>
      <c r="G5" s="15">
        <v>9.32</v>
      </c>
      <c r="H5" s="15">
        <v>5.39</v>
      </c>
      <c r="I5" s="15">
        <v>42.33</v>
      </c>
      <c r="J5" s="15">
        <v>1204</v>
      </c>
      <c r="K5">
        <f t="shared" si="0"/>
        <v>0.15999999999999992</v>
      </c>
    </row>
    <row r="6" spans="1:11" ht="17">
      <c r="A6" s="15" t="s">
        <v>162</v>
      </c>
      <c r="B6" s="15">
        <v>50.31</v>
      </c>
      <c r="C6" s="15">
        <v>0.28999999999999998</v>
      </c>
      <c r="D6" s="15">
        <v>16014</v>
      </c>
      <c r="E6" s="15">
        <v>1330</v>
      </c>
      <c r="F6" s="15">
        <v>774</v>
      </c>
      <c r="G6" s="15">
        <v>8.31</v>
      </c>
      <c r="H6" s="15">
        <v>4.83</v>
      </c>
      <c r="I6" s="15">
        <v>42.11</v>
      </c>
      <c r="J6" s="15">
        <v>960</v>
      </c>
      <c r="K6">
        <f t="shared" si="0"/>
        <v>0</v>
      </c>
    </row>
    <row r="7" spans="1:11" ht="17">
      <c r="A7" s="15" t="s">
        <v>64</v>
      </c>
      <c r="B7" s="15">
        <v>52.99</v>
      </c>
      <c r="C7" s="15">
        <v>0.28999999999999998</v>
      </c>
      <c r="D7" s="15">
        <v>17808</v>
      </c>
      <c r="E7" s="15">
        <v>1714</v>
      </c>
      <c r="F7" s="15">
        <v>1035</v>
      </c>
      <c r="G7" s="15">
        <v>9.6199999999999992</v>
      </c>
      <c r="H7" s="15">
        <v>5.81</v>
      </c>
      <c r="I7" s="15">
        <v>40.75</v>
      </c>
      <c r="J7" s="15">
        <v>2490</v>
      </c>
      <c r="K7">
        <f t="shared" si="0"/>
        <v>0</v>
      </c>
    </row>
    <row r="8" spans="1:11" ht="17">
      <c r="A8" s="15" t="s">
        <v>226</v>
      </c>
      <c r="B8" s="15">
        <v>60.37</v>
      </c>
      <c r="C8" s="15">
        <v>0.28999999999999998</v>
      </c>
      <c r="D8" s="15">
        <v>20570</v>
      </c>
      <c r="E8" s="15">
        <v>2569</v>
      </c>
      <c r="F8" s="15">
        <v>1532</v>
      </c>
      <c r="G8" s="15">
        <v>12.49</v>
      </c>
      <c r="H8" s="15">
        <v>7.45</v>
      </c>
      <c r="I8" s="15">
        <v>40.14</v>
      </c>
      <c r="J8" s="15">
        <v>1771</v>
      </c>
      <c r="K8">
        <f t="shared" si="0"/>
        <v>0</v>
      </c>
    </row>
    <row r="9" spans="1:11" ht="17">
      <c r="A9" s="15" t="s">
        <v>247</v>
      </c>
      <c r="B9" s="15">
        <v>61.85</v>
      </c>
      <c r="C9" s="15">
        <v>0.28999999999999998</v>
      </c>
      <c r="D9" s="15">
        <v>18130</v>
      </c>
      <c r="E9" s="15">
        <v>1733</v>
      </c>
      <c r="F9" s="15">
        <v>947</v>
      </c>
      <c r="G9" s="15">
        <v>9.56</v>
      </c>
      <c r="H9" s="15">
        <v>5.22</v>
      </c>
      <c r="I9" s="15">
        <v>41.13</v>
      </c>
      <c r="J9" s="15">
        <v>1123</v>
      </c>
      <c r="K9">
        <f t="shared" si="0"/>
        <v>0</v>
      </c>
    </row>
    <row r="10" spans="1:11" ht="17">
      <c r="A10" s="15" t="s">
        <v>19</v>
      </c>
      <c r="B10" s="15">
        <v>69.78</v>
      </c>
      <c r="C10" s="15">
        <v>0.28999999999999998</v>
      </c>
      <c r="D10" s="15">
        <v>18246</v>
      </c>
      <c r="E10" s="15">
        <v>1750</v>
      </c>
      <c r="F10" s="15">
        <v>1021</v>
      </c>
      <c r="G10" s="15">
        <v>9.59</v>
      </c>
      <c r="H10" s="15">
        <v>5.6</v>
      </c>
      <c r="I10" s="15">
        <v>41.13</v>
      </c>
      <c r="J10" s="15">
        <v>1591</v>
      </c>
      <c r="K10">
        <f t="shared" si="0"/>
        <v>0.34482758620689669</v>
      </c>
    </row>
    <row r="11" spans="1:11" ht="17">
      <c r="A11" s="15" t="s">
        <v>192</v>
      </c>
      <c r="B11" s="15">
        <v>77.47</v>
      </c>
      <c r="C11" s="15">
        <v>0.39</v>
      </c>
      <c r="D11" s="15">
        <v>19124</v>
      </c>
      <c r="E11" s="15">
        <v>2094</v>
      </c>
      <c r="F11" s="15">
        <v>1226</v>
      </c>
      <c r="G11" s="15">
        <v>10.95</v>
      </c>
      <c r="H11" s="15">
        <v>6.41</v>
      </c>
      <c r="I11" s="15">
        <v>38.67</v>
      </c>
      <c r="J11" s="15">
        <v>2697</v>
      </c>
      <c r="K11">
        <f t="shared" si="0"/>
        <v>0</v>
      </c>
    </row>
    <row r="12" spans="1:11" ht="17">
      <c r="A12" s="15" t="s">
        <v>160</v>
      </c>
      <c r="B12" s="15">
        <v>75.849999999999994</v>
      </c>
      <c r="C12" s="15">
        <v>0.39</v>
      </c>
      <c r="D12" s="15">
        <v>22522</v>
      </c>
      <c r="E12" s="15">
        <v>3018</v>
      </c>
      <c r="F12" s="15">
        <v>1795</v>
      </c>
      <c r="G12" s="15">
        <v>13.4</v>
      </c>
      <c r="H12" s="15">
        <v>7.97</v>
      </c>
      <c r="I12" s="15">
        <v>40</v>
      </c>
      <c r="J12" s="15">
        <v>2021</v>
      </c>
      <c r="K12">
        <f t="shared" si="0"/>
        <v>0</v>
      </c>
    </row>
    <row r="13" spans="1:11" ht="17">
      <c r="A13" s="15" t="s">
        <v>168</v>
      </c>
      <c r="B13" s="15">
        <v>82.34</v>
      </c>
      <c r="C13" s="15">
        <v>0.39</v>
      </c>
      <c r="D13" s="15">
        <v>19470</v>
      </c>
      <c r="E13" s="15">
        <v>2293</v>
      </c>
      <c r="F13" s="15">
        <v>1351</v>
      </c>
      <c r="G13" s="15">
        <v>11.78</v>
      </c>
      <c r="H13" s="15">
        <v>6.94</v>
      </c>
      <c r="I13" s="15">
        <v>40.119999999999997</v>
      </c>
      <c r="J13" s="15">
        <v>1263</v>
      </c>
      <c r="K13">
        <f t="shared" si="0"/>
        <v>0</v>
      </c>
    </row>
    <row r="14" spans="1:11" ht="17">
      <c r="A14" s="15" t="s">
        <v>63</v>
      </c>
      <c r="B14" s="15">
        <v>79.13</v>
      </c>
      <c r="C14" s="15">
        <v>0.39</v>
      </c>
      <c r="D14" s="15">
        <v>17696</v>
      </c>
      <c r="E14" s="15">
        <v>1761</v>
      </c>
      <c r="F14" s="15">
        <v>1013</v>
      </c>
      <c r="G14" s="15">
        <v>9.9499999999999993</v>
      </c>
      <c r="H14" s="15">
        <v>5.72</v>
      </c>
      <c r="I14" s="15">
        <v>39.46</v>
      </c>
      <c r="J14" s="15">
        <v>1647</v>
      </c>
      <c r="K14">
        <f t="shared" si="0"/>
        <v>0.20512820512820501</v>
      </c>
    </row>
    <row r="15" spans="1:11" ht="17">
      <c r="A15" s="15" t="s">
        <v>14</v>
      </c>
      <c r="B15" s="15">
        <v>80.959999999999994</v>
      </c>
      <c r="C15" s="15">
        <v>0.47</v>
      </c>
      <c r="D15" s="15">
        <v>19687</v>
      </c>
      <c r="E15" s="15">
        <v>2277</v>
      </c>
      <c r="F15" s="15">
        <v>1379</v>
      </c>
      <c r="G15" s="15">
        <v>11.57</v>
      </c>
      <c r="H15" s="15">
        <v>7</v>
      </c>
      <c r="I15" s="15">
        <v>41.49</v>
      </c>
      <c r="J15" s="15">
        <v>2568</v>
      </c>
      <c r="K15">
        <f t="shared" si="0"/>
        <v>0</v>
      </c>
    </row>
    <row r="16" spans="1:11" ht="17">
      <c r="A16" s="15" t="s">
        <v>288</v>
      </c>
      <c r="B16" s="15">
        <v>91.74</v>
      </c>
      <c r="C16" s="15">
        <v>0.47</v>
      </c>
      <c r="D16" s="15">
        <v>23811</v>
      </c>
      <c r="E16" s="15">
        <v>3448</v>
      </c>
      <c r="F16" s="15">
        <v>2050</v>
      </c>
      <c r="G16" s="15">
        <v>14.48</v>
      </c>
      <c r="H16" s="15">
        <v>8.61</v>
      </c>
      <c r="I16" s="15">
        <v>41.73</v>
      </c>
      <c r="J16" s="15">
        <v>2717</v>
      </c>
      <c r="K16">
        <f t="shared" si="0"/>
        <v>0</v>
      </c>
    </row>
    <row r="17" spans="1:11" ht="17">
      <c r="A17" s="15" t="s">
        <v>133</v>
      </c>
      <c r="B17" s="15">
        <v>104.97</v>
      </c>
      <c r="C17" s="15">
        <v>0.47</v>
      </c>
      <c r="D17" s="15">
        <v>20516</v>
      </c>
      <c r="E17" s="15">
        <v>2553</v>
      </c>
      <c r="F17" s="15">
        <v>1537</v>
      </c>
      <c r="G17" s="15">
        <v>12.44</v>
      </c>
      <c r="H17" s="15">
        <v>7.49</v>
      </c>
      <c r="I17" s="15">
        <v>40.950000000000003</v>
      </c>
      <c r="J17" s="15">
        <v>962</v>
      </c>
      <c r="K17">
        <f t="shared" si="0"/>
        <v>0</v>
      </c>
    </row>
    <row r="18" spans="1:11" ht="17">
      <c r="A18" s="15" t="s">
        <v>36</v>
      </c>
      <c r="B18" s="15">
        <v>113.61</v>
      </c>
      <c r="C18" s="15">
        <v>0.47</v>
      </c>
      <c r="D18" s="15">
        <v>19162</v>
      </c>
      <c r="E18" s="15">
        <v>2191</v>
      </c>
      <c r="F18" s="15">
        <v>1379</v>
      </c>
      <c r="G18" s="15">
        <v>11.43</v>
      </c>
      <c r="H18" s="15">
        <v>7.2</v>
      </c>
      <c r="I18" s="15">
        <v>40.909999999999997</v>
      </c>
      <c r="J18" s="15">
        <v>1995</v>
      </c>
      <c r="K18">
        <f t="shared" si="0"/>
        <v>0.25531914893617019</v>
      </c>
    </row>
    <row r="19" spans="1:11" ht="17">
      <c r="A19" s="15" t="s">
        <v>190</v>
      </c>
      <c r="B19" s="15">
        <v>111.13</v>
      </c>
      <c r="C19" s="15">
        <v>0.59</v>
      </c>
      <c r="D19" s="15">
        <v>20891</v>
      </c>
      <c r="E19" s="15">
        <v>2597</v>
      </c>
      <c r="F19" s="15">
        <v>1579</v>
      </c>
      <c r="G19" s="15">
        <v>12.43</v>
      </c>
      <c r="H19" s="15">
        <v>7.56</v>
      </c>
      <c r="I19" s="15">
        <v>39.92</v>
      </c>
      <c r="J19" s="15">
        <v>3404</v>
      </c>
      <c r="K19">
        <f t="shared" si="0"/>
        <v>0</v>
      </c>
    </row>
    <row r="20" spans="1:11" ht="17">
      <c r="A20" s="15" t="s">
        <v>256</v>
      </c>
      <c r="B20" s="15">
        <v>115.49</v>
      </c>
      <c r="C20" s="15">
        <v>0.59</v>
      </c>
      <c r="D20" s="15">
        <v>24829</v>
      </c>
      <c r="E20" s="15">
        <v>3647</v>
      </c>
      <c r="F20" s="15">
        <v>2234</v>
      </c>
      <c r="G20" s="15">
        <v>14.69</v>
      </c>
      <c r="H20" s="15">
        <v>9</v>
      </c>
      <c r="I20" s="15">
        <v>40.65</v>
      </c>
      <c r="J20" s="15">
        <v>2530</v>
      </c>
      <c r="K20">
        <f t="shared" si="0"/>
        <v>0</v>
      </c>
    </row>
    <row r="21" spans="1:11" ht="17">
      <c r="A21" s="15" t="s">
        <v>203</v>
      </c>
      <c r="B21" s="15">
        <v>132.25</v>
      </c>
      <c r="C21" s="15">
        <v>0.59</v>
      </c>
      <c r="D21" s="15">
        <v>21819</v>
      </c>
      <c r="E21" s="15">
        <v>2981</v>
      </c>
      <c r="F21" s="15">
        <v>1725</v>
      </c>
      <c r="G21" s="15">
        <v>13.66</v>
      </c>
      <c r="H21" s="15">
        <v>7.91</v>
      </c>
      <c r="I21" s="15">
        <v>41.25</v>
      </c>
      <c r="J21" s="15">
        <v>1432</v>
      </c>
      <c r="K21">
        <f t="shared" si="0"/>
        <v>0</v>
      </c>
    </row>
    <row r="22" spans="1:11" ht="17">
      <c r="A22" s="15" t="s">
        <v>89</v>
      </c>
      <c r="B22" s="15">
        <v>133.43</v>
      </c>
      <c r="C22" s="15">
        <v>0.59</v>
      </c>
      <c r="D22" s="15">
        <v>20980</v>
      </c>
      <c r="E22" s="15">
        <v>2549</v>
      </c>
      <c r="F22" s="15">
        <v>1471</v>
      </c>
      <c r="G22" s="15">
        <v>12.15</v>
      </c>
      <c r="H22" s="15">
        <v>7.01</v>
      </c>
      <c r="I22" s="15">
        <v>41.95</v>
      </c>
      <c r="J22" s="15">
        <v>2007</v>
      </c>
      <c r="K22">
        <f t="shared" si="0"/>
        <v>0.16949152542372878</v>
      </c>
    </row>
    <row r="23" spans="1:11" ht="17">
      <c r="A23" s="15" t="s">
        <v>127</v>
      </c>
      <c r="B23" s="15">
        <v>127.69</v>
      </c>
      <c r="C23" s="15">
        <v>0.69</v>
      </c>
      <c r="D23" s="15">
        <v>22762</v>
      </c>
      <c r="E23" s="15">
        <v>3077</v>
      </c>
      <c r="F23" s="15">
        <v>1803</v>
      </c>
      <c r="G23" s="15">
        <v>13.52</v>
      </c>
      <c r="H23" s="15">
        <v>7.92</v>
      </c>
      <c r="I23" s="15">
        <v>43.22</v>
      </c>
      <c r="J23" s="15">
        <v>3636</v>
      </c>
      <c r="K23">
        <f t="shared" si="0"/>
        <v>0</v>
      </c>
    </row>
    <row r="24" spans="1:11" ht="17">
      <c r="A24" s="15" t="s">
        <v>88</v>
      </c>
      <c r="B24" s="15">
        <v>128.68</v>
      </c>
      <c r="C24" s="15">
        <v>0.69</v>
      </c>
      <c r="D24" s="15">
        <v>26472</v>
      </c>
      <c r="E24" s="15">
        <v>4103</v>
      </c>
      <c r="F24" s="15">
        <v>2441</v>
      </c>
      <c r="G24" s="15">
        <v>15.5</v>
      </c>
      <c r="H24" s="15">
        <v>9.2200000000000006</v>
      </c>
      <c r="I24" s="15">
        <v>43.23</v>
      </c>
      <c r="J24" s="15">
        <v>3241</v>
      </c>
      <c r="K24">
        <f t="shared" si="0"/>
        <v>0</v>
      </c>
    </row>
    <row r="25" spans="1:11" ht="17">
      <c r="A25" s="15" t="s">
        <v>24</v>
      </c>
      <c r="B25" s="15">
        <v>134.08000000000001</v>
      </c>
      <c r="C25" s="15">
        <v>0.69</v>
      </c>
      <c r="D25" s="15">
        <v>23154</v>
      </c>
      <c r="E25" s="15">
        <v>3320</v>
      </c>
      <c r="F25" s="15">
        <v>1969</v>
      </c>
      <c r="G25" s="15">
        <v>14.34</v>
      </c>
      <c r="H25" s="15">
        <v>8.5</v>
      </c>
      <c r="I25" s="15">
        <v>43.24</v>
      </c>
      <c r="J25" s="15">
        <v>1042</v>
      </c>
      <c r="K25">
        <f t="shared" si="0"/>
        <v>0</v>
      </c>
    </row>
    <row r="26" spans="1:11" ht="17">
      <c r="A26" s="15" t="s">
        <v>55</v>
      </c>
      <c r="B26" s="15">
        <v>146.83000000000001</v>
      </c>
      <c r="C26" s="15">
        <v>0.69</v>
      </c>
      <c r="D26" s="15">
        <v>22207</v>
      </c>
      <c r="E26" s="15">
        <v>2927</v>
      </c>
      <c r="F26" s="15">
        <v>1744</v>
      </c>
      <c r="G26" s="15">
        <v>13.18</v>
      </c>
      <c r="H26" s="15">
        <v>7.85</v>
      </c>
      <c r="I26" s="15">
        <v>43.11</v>
      </c>
      <c r="J26" s="15">
        <v>1864</v>
      </c>
      <c r="K26">
        <f t="shared" si="0"/>
        <v>0.28985507246376824</v>
      </c>
    </row>
    <row r="27" spans="1:11" ht="17">
      <c r="A27" s="15" t="s">
        <v>183</v>
      </c>
      <c r="B27" s="15">
        <v>153.4</v>
      </c>
      <c r="C27" s="15">
        <v>0.89</v>
      </c>
      <c r="D27" s="15">
        <v>23887</v>
      </c>
      <c r="E27" s="15">
        <v>3349</v>
      </c>
      <c r="F27" s="15">
        <v>2014</v>
      </c>
      <c r="G27" s="15">
        <v>14.02</v>
      </c>
      <c r="H27" s="15">
        <v>8.43</v>
      </c>
      <c r="I27" s="15">
        <v>42.79</v>
      </c>
      <c r="J27" s="15">
        <v>4564</v>
      </c>
      <c r="K27">
        <f t="shared" si="0"/>
        <v>0</v>
      </c>
    </row>
    <row r="28" spans="1:11" ht="17">
      <c r="A28" s="15" t="s">
        <v>34</v>
      </c>
      <c r="B28" s="15">
        <v>163.56</v>
      </c>
      <c r="C28" s="15">
        <v>0.89</v>
      </c>
      <c r="D28" s="15">
        <v>28108</v>
      </c>
      <c r="E28" s="15">
        <v>4463</v>
      </c>
      <c r="F28" s="15">
        <v>2672</v>
      </c>
      <c r="G28" s="15">
        <v>15.88</v>
      </c>
      <c r="H28" s="15">
        <v>9.51</v>
      </c>
      <c r="I28" s="15">
        <v>44.31</v>
      </c>
      <c r="J28" s="15">
        <v>3298</v>
      </c>
      <c r="K28">
        <f t="shared" si="0"/>
        <v>0</v>
      </c>
    </row>
    <row r="29" spans="1:11" ht="17">
      <c r="A29" s="15" t="s">
        <v>173</v>
      </c>
      <c r="B29" s="15">
        <v>189.53</v>
      </c>
      <c r="C29" s="15">
        <v>0.89</v>
      </c>
      <c r="D29" s="15">
        <v>25026</v>
      </c>
      <c r="E29" s="15">
        <v>3680</v>
      </c>
      <c r="F29" s="15">
        <v>2165</v>
      </c>
      <c r="G29" s="15">
        <v>14.7</v>
      </c>
      <c r="H29" s="15">
        <v>8.65</v>
      </c>
      <c r="I29" s="15">
        <v>45.4</v>
      </c>
      <c r="J29" s="15">
        <v>1879</v>
      </c>
      <c r="K29">
        <f t="shared" si="0"/>
        <v>0</v>
      </c>
    </row>
    <row r="30" spans="1:11" ht="17">
      <c r="A30" s="15" t="s">
        <v>282</v>
      </c>
      <c r="B30" s="15">
        <v>178.24</v>
      </c>
      <c r="C30" s="15">
        <v>0.89</v>
      </c>
      <c r="D30" s="15">
        <v>23883</v>
      </c>
      <c r="E30" s="15">
        <v>3189</v>
      </c>
      <c r="F30" s="15">
        <v>1779</v>
      </c>
      <c r="G30" s="15">
        <v>13.35</v>
      </c>
      <c r="H30" s="15">
        <v>7.45</v>
      </c>
      <c r="I30" s="15">
        <v>46.6</v>
      </c>
      <c r="J30" s="15">
        <v>2290</v>
      </c>
      <c r="K30">
        <f t="shared" si="0"/>
        <v>0.15730337078651688</v>
      </c>
    </row>
    <row r="31" spans="1:11" ht="17">
      <c r="A31" s="15" t="s">
        <v>110</v>
      </c>
      <c r="B31" s="15">
        <v>195.1</v>
      </c>
      <c r="C31" s="15">
        <v>1.03</v>
      </c>
      <c r="D31" s="15">
        <v>24947</v>
      </c>
      <c r="E31" s="15">
        <v>3381</v>
      </c>
      <c r="F31" s="15">
        <v>2404</v>
      </c>
      <c r="G31" s="15">
        <v>13.55</v>
      </c>
      <c r="H31" s="15">
        <v>9.64</v>
      </c>
      <c r="I31" s="15">
        <v>48.83</v>
      </c>
      <c r="J31" s="15">
        <v>3981</v>
      </c>
      <c r="K31">
        <f t="shared" si="0"/>
        <v>0</v>
      </c>
    </row>
    <row r="32" spans="1:11" ht="17">
      <c r="A32" s="15" t="s">
        <v>52</v>
      </c>
      <c r="B32" s="15">
        <v>207.15</v>
      </c>
      <c r="C32" s="15">
        <v>1.03</v>
      </c>
      <c r="D32" s="15">
        <v>30463</v>
      </c>
      <c r="E32" s="15">
        <v>4901</v>
      </c>
      <c r="F32" s="15">
        <v>3506</v>
      </c>
      <c r="G32" s="15">
        <v>16.09</v>
      </c>
      <c r="H32" s="15">
        <v>11.51</v>
      </c>
      <c r="I32" s="15">
        <v>48.05</v>
      </c>
      <c r="J32" s="15">
        <v>3926</v>
      </c>
      <c r="K32">
        <f t="shared" si="0"/>
        <v>0</v>
      </c>
    </row>
    <row r="33" spans="1:11" ht="17">
      <c r="A33" s="15" t="s">
        <v>107</v>
      </c>
      <c r="B33" s="15">
        <v>171.82</v>
      </c>
      <c r="C33" s="15">
        <v>1.03</v>
      </c>
      <c r="D33" s="15">
        <v>26302</v>
      </c>
      <c r="E33" s="15">
        <v>3870</v>
      </c>
      <c r="F33" s="15">
        <v>2867</v>
      </c>
      <c r="G33" s="15">
        <v>14.71</v>
      </c>
      <c r="H33" s="15">
        <v>10.9</v>
      </c>
      <c r="I33" s="15">
        <v>45.18</v>
      </c>
      <c r="J33" s="15">
        <v>2129</v>
      </c>
      <c r="K33">
        <f t="shared" si="0"/>
        <v>0</v>
      </c>
    </row>
    <row r="34" spans="1:11" ht="17">
      <c r="A34" s="15" t="s">
        <v>18</v>
      </c>
      <c r="B34" s="15">
        <v>191.89</v>
      </c>
      <c r="C34" s="15">
        <v>1.03</v>
      </c>
      <c r="D34" s="15">
        <v>26491</v>
      </c>
      <c r="E34" s="15">
        <v>3625</v>
      </c>
      <c r="F34" s="15">
        <v>2344</v>
      </c>
      <c r="G34" s="15">
        <v>13.68</v>
      </c>
      <c r="H34" s="15">
        <v>8.85</v>
      </c>
      <c r="I34" s="15">
        <v>43.45</v>
      </c>
      <c r="J34" s="15">
        <v>3002</v>
      </c>
      <c r="K34">
        <f t="shared" si="0"/>
        <v>0.32038834951456319</v>
      </c>
    </row>
    <row r="35" spans="1:11" ht="17">
      <c r="A35" s="15" t="s">
        <v>222</v>
      </c>
      <c r="B35" s="15">
        <v>207.97</v>
      </c>
      <c r="C35" s="15">
        <v>1.36</v>
      </c>
      <c r="D35" s="15">
        <v>26381</v>
      </c>
      <c r="E35" s="15">
        <v>3597</v>
      </c>
      <c r="F35" s="15">
        <v>2513</v>
      </c>
      <c r="G35" s="15">
        <v>13.63</v>
      </c>
      <c r="H35" s="15">
        <v>9.5299999999999994</v>
      </c>
      <c r="I35" s="15">
        <v>42.34</v>
      </c>
      <c r="J35" s="15">
        <v>4575</v>
      </c>
      <c r="K35">
        <f t="shared" si="0"/>
        <v>0</v>
      </c>
    </row>
    <row r="36" spans="1:11" ht="17">
      <c r="A36" s="15" t="s">
        <v>170</v>
      </c>
      <c r="B36" s="15">
        <v>232.02</v>
      </c>
      <c r="C36" s="15">
        <v>1.36</v>
      </c>
      <c r="D36" s="15">
        <v>30839</v>
      </c>
      <c r="E36" s="15">
        <v>4896</v>
      </c>
      <c r="F36" s="15">
        <v>3479</v>
      </c>
      <c r="G36" s="15">
        <v>15.88</v>
      </c>
      <c r="H36" s="15">
        <v>11.28</v>
      </c>
      <c r="I36" s="15">
        <v>44.86</v>
      </c>
      <c r="J36" s="15">
        <v>3922</v>
      </c>
      <c r="K36">
        <f t="shared" si="0"/>
        <v>0</v>
      </c>
    </row>
    <row r="37" spans="1:11" ht="17">
      <c r="A37" s="15" t="s">
        <v>250</v>
      </c>
      <c r="B37" s="15">
        <v>218.38</v>
      </c>
      <c r="C37" s="15">
        <v>1.36</v>
      </c>
      <c r="D37" s="15">
        <v>27223</v>
      </c>
      <c r="E37" s="15">
        <v>3947</v>
      </c>
      <c r="F37" s="15">
        <v>2769</v>
      </c>
      <c r="G37" s="15">
        <v>14.5</v>
      </c>
      <c r="H37" s="15">
        <v>10.17</v>
      </c>
      <c r="I37" s="15">
        <v>47.61</v>
      </c>
      <c r="J37" s="15">
        <v>2167</v>
      </c>
      <c r="K37">
        <f t="shared" si="0"/>
        <v>0</v>
      </c>
    </row>
    <row r="38" spans="1:11" ht="17">
      <c r="A38" s="15" t="s">
        <v>126</v>
      </c>
      <c r="B38" s="15">
        <v>186.71</v>
      </c>
      <c r="C38" s="15">
        <v>1.36</v>
      </c>
      <c r="D38" s="15">
        <v>25782</v>
      </c>
      <c r="E38" s="15">
        <v>3403</v>
      </c>
      <c r="F38" s="15">
        <v>2481</v>
      </c>
      <c r="G38" s="15">
        <v>13.2</v>
      </c>
      <c r="H38" s="15">
        <v>9.6199999999999992</v>
      </c>
      <c r="I38" s="15">
        <v>50.8</v>
      </c>
      <c r="J38" s="15">
        <v>3059</v>
      </c>
      <c r="K38">
        <f t="shared" si="0"/>
        <v>0.10294117647058816</v>
      </c>
    </row>
    <row r="39" spans="1:11" ht="17">
      <c r="A39" s="15" t="s">
        <v>161</v>
      </c>
      <c r="B39" s="15">
        <v>250.51</v>
      </c>
      <c r="C39" s="15">
        <v>1.5</v>
      </c>
      <c r="D39" s="15">
        <v>28260</v>
      </c>
      <c r="E39" s="15">
        <v>3276</v>
      </c>
      <c r="F39" s="15">
        <v>2245</v>
      </c>
      <c r="G39" s="15">
        <v>11.59</v>
      </c>
      <c r="H39" s="15">
        <v>7.94</v>
      </c>
      <c r="I39" s="15">
        <v>53.07</v>
      </c>
      <c r="J39" s="15">
        <v>5737</v>
      </c>
      <c r="K39">
        <f t="shared" si="0"/>
        <v>0</v>
      </c>
    </row>
    <row r="40" spans="1:11" ht="17">
      <c r="A40" s="15" t="s">
        <v>28</v>
      </c>
      <c r="B40" s="15">
        <v>277.70999999999998</v>
      </c>
      <c r="C40" s="15">
        <v>1.5</v>
      </c>
      <c r="D40" s="15">
        <v>38053</v>
      </c>
      <c r="E40" s="15">
        <v>6067</v>
      </c>
      <c r="F40" s="15">
        <v>4332</v>
      </c>
      <c r="G40" s="15">
        <v>15.94</v>
      </c>
      <c r="H40" s="15">
        <v>11.38</v>
      </c>
      <c r="I40" s="15">
        <v>55.47</v>
      </c>
      <c r="J40" s="15">
        <v>9092</v>
      </c>
      <c r="K40">
        <f t="shared" si="0"/>
        <v>0</v>
      </c>
    </row>
    <row r="41" spans="1:11" ht="17">
      <c r="A41" s="15" t="s">
        <v>212</v>
      </c>
      <c r="B41" s="15">
        <v>265.62</v>
      </c>
      <c r="C41" s="15">
        <v>1.5</v>
      </c>
      <c r="D41" s="15">
        <v>33536</v>
      </c>
      <c r="E41" s="15">
        <v>4852</v>
      </c>
      <c r="F41" s="15">
        <v>3432</v>
      </c>
      <c r="G41" s="15">
        <v>14.47</v>
      </c>
      <c r="H41" s="15">
        <v>10.23</v>
      </c>
      <c r="I41" s="15">
        <v>52.33</v>
      </c>
      <c r="J41" s="15">
        <v>2586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629E-E3E2-5D4D-9887-1D4FE2382B53}">
  <dimension ref="A1:W1147"/>
  <sheetViews>
    <sheetView topLeftCell="B43" workbookViewId="0">
      <selection activeCell="Q50" sqref="P50:Q50"/>
    </sheetView>
  </sheetViews>
  <sheetFormatPr baseColWidth="10" defaultRowHeight="18"/>
  <cols>
    <col min="1" max="6" width="10.83203125" style="167"/>
    <col min="7" max="7" width="11.33203125" style="167" bestFit="1" customWidth="1"/>
    <col min="8" max="9" width="10.83203125" style="167"/>
    <col min="10" max="10" width="11.33203125" style="167" bestFit="1" customWidth="1"/>
    <col min="11" max="11" width="18.83203125" style="167" customWidth="1"/>
    <col min="12" max="12" width="10.83203125" style="167"/>
    <col min="13" max="13" width="11.5" style="167" customWidth="1"/>
    <col min="14" max="14" width="12.5" style="167" bestFit="1" customWidth="1"/>
    <col min="15" max="16384" width="10.83203125" style="167"/>
  </cols>
  <sheetData>
    <row r="1" spans="1:23">
      <c r="A1" s="168" t="s">
        <v>273</v>
      </c>
      <c r="B1" s="168" t="s">
        <v>1400</v>
      </c>
      <c r="C1" s="168" t="s">
        <v>1401</v>
      </c>
      <c r="D1" s="168" t="s">
        <v>1437</v>
      </c>
      <c r="U1" s="168" t="s">
        <v>273</v>
      </c>
      <c r="V1" s="168" t="s">
        <v>1420</v>
      </c>
      <c r="W1" s="168" t="s">
        <v>1421</v>
      </c>
    </row>
    <row r="2" spans="1:23">
      <c r="A2" s="169" t="s">
        <v>1470</v>
      </c>
      <c r="B2" s="170">
        <v>32846.449999999997</v>
      </c>
      <c r="C2" s="170">
        <v>4130.29</v>
      </c>
      <c r="D2" s="170">
        <v>12390.69</v>
      </c>
      <c r="U2" s="169" t="s">
        <v>1470</v>
      </c>
      <c r="V2" s="170">
        <v>2480.88</v>
      </c>
      <c r="W2" s="171">
        <v>820.27</v>
      </c>
    </row>
    <row r="3" spans="1:23">
      <c r="A3" s="169" t="s">
        <v>1249</v>
      </c>
      <c r="B3" s="170">
        <v>30779.71</v>
      </c>
      <c r="C3" s="170">
        <v>3785.38</v>
      </c>
      <c r="D3" s="170">
        <v>11028.74</v>
      </c>
      <c r="U3" s="169" t="s">
        <v>1249</v>
      </c>
      <c r="V3" s="170">
        <v>2451.5</v>
      </c>
      <c r="W3" s="171">
        <v>803.62</v>
      </c>
    </row>
    <row r="4" spans="1:23">
      <c r="A4" s="169" t="s">
        <v>1248</v>
      </c>
      <c r="B4" s="170">
        <v>32991.97</v>
      </c>
      <c r="C4" s="170">
        <v>4132.1499999999996</v>
      </c>
      <c r="D4" s="170">
        <v>12081.39</v>
      </c>
      <c r="U4" s="169" t="s">
        <v>1248</v>
      </c>
      <c r="V4" s="170">
        <v>2332.64</v>
      </c>
      <c r="W4" s="171">
        <v>745.44</v>
      </c>
    </row>
    <row r="5" spans="1:23">
      <c r="A5" s="169" t="s">
        <v>1247</v>
      </c>
      <c r="B5" s="170">
        <v>32977.21</v>
      </c>
      <c r="C5" s="170">
        <v>4131.93</v>
      </c>
      <c r="D5" s="170">
        <v>12334.64</v>
      </c>
      <c r="U5" s="169" t="s">
        <v>1247</v>
      </c>
      <c r="V5" s="170">
        <v>2685.9</v>
      </c>
      <c r="W5" s="171">
        <v>893.36</v>
      </c>
    </row>
    <row r="6" spans="1:23">
      <c r="A6" s="169" t="s">
        <v>1246</v>
      </c>
      <c r="B6" s="170">
        <v>34678.35</v>
      </c>
      <c r="C6" s="170">
        <v>4530.41</v>
      </c>
      <c r="D6" s="170">
        <v>14220.52</v>
      </c>
      <c r="U6" s="169" t="s">
        <v>1246</v>
      </c>
      <c r="V6" s="170">
        <v>2695.05</v>
      </c>
      <c r="W6" s="171">
        <v>904.75</v>
      </c>
    </row>
    <row r="7" spans="1:23">
      <c r="A7" s="169" t="s">
        <v>1245</v>
      </c>
      <c r="B7" s="170">
        <v>33892.6</v>
      </c>
      <c r="C7" s="170">
        <v>4373.79</v>
      </c>
      <c r="D7" s="170">
        <v>13751.4</v>
      </c>
      <c r="U7" s="169" t="s">
        <v>1245</v>
      </c>
      <c r="V7" s="170">
        <v>2757.65</v>
      </c>
      <c r="W7" s="171">
        <v>944.53</v>
      </c>
    </row>
    <row r="8" spans="1:23">
      <c r="A8" s="169" t="s">
        <v>1244</v>
      </c>
      <c r="B8" s="170">
        <v>35131.86</v>
      </c>
      <c r="C8" s="170">
        <v>4515.55</v>
      </c>
      <c r="D8" s="170">
        <v>14239.88</v>
      </c>
      <c r="U8" s="169" t="s">
        <v>1244</v>
      </c>
      <c r="V8" s="170">
        <v>2699.18</v>
      </c>
      <c r="W8" s="171">
        <v>881.07</v>
      </c>
    </row>
    <row r="9" spans="1:23">
      <c r="A9" s="169" t="s">
        <v>1234</v>
      </c>
      <c r="B9" s="170">
        <v>36338.300000000003</v>
      </c>
      <c r="C9" s="170">
        <v>4766.18</v>
      </c>
      <c r="D9" s="170">
        <v>15644.97</v>
      </c>
      <c r="U9" s="169" t="s">
        <v>1234</v>
      </c>
      <c r="V9" s="170">
        <v>2663.34</v>
      </c>
      <c r="W9" s="171">
        <v>872.87</v>
      </c>
    </row>
    <row r="10" spans="1:23">
      <c r="A10" s="169" t="s">
        <v>1233</v>
      </c>
      <c r="B10" s="170">
        <v>34483.72</v>
      </c>
      <c r="C10" s="170">
        <v>4567</v>
      </c>
      <c r="D10" s="170">
        <v>15537.69</v>
      </c>
      <c r="U10" s="169" t="s">
        <v>1233</v>
      </c>
      <c r="V10" s="170">
        <v>2977.65</v>
      </c>
      <c r="W10" s="170">
        <v>1033.98</v>
      </c>
    </row>
    <row r="11" spans="1:23">
      <c r="A11" s="169" t="s">
        <v>1232</v>
      </c>
      <c r="B11" s="170">
        <v>35819.56</v>
      </c>
      <c r="C11" s="170">
        <v>4605.38</v>
      </c>
      <c r="D11" s="170">
        <v>15498.39</v>
      </c>
      <c r="U11" s="169" t="s">
        <v>1232</v>
      </c>
      <c r="V11" s="170">
        <v>2839.01</v>
      </c>
      <c r="W11" s="171">
        <v>965.63</v>
      </c>
    </row>
    <row r="12" spans="1:23">
      <c r="A12" s="169" t="s">
        <v>1243</v>
      </c>
      <c r="B12" s="170">
        <v>33843.919999999998</v>
      </c>
      <c r="C12" s="170">
        <v>4307.54</v>
      </c>
      <c r="D12" s="170">
        <v>14448.58</v>
      </c>
      <c r="U12" s="169" t="s">
        <v>1243</v>
      </c>
      <c r="V12" s="170">
        <v>2970.68</v>
      </c>
      <c r="W12" s="171">
        <v>992.33</v>
      </c>
    </row>
    <row r="13" spans="1:23">
      <c r="A13" s="169" t="s">
        <v>1242</v>
      </c>
      <c r="B13" s="170">
        <v>35360.730000000003</v>
      </c>
      <c r="C13" s="170">
        <v>4522.68</v>
      </c>
      <c r="D13" s="170">
        <v>15259.24</v>
      </c>
      <c r="U13" s="169" t="s">
        <v>1242</v>
      </c>
      <c r="V13" s="170">
        <v>3068.82</v>
      </c>
      <c r="W13" s="170">
        <v>1003.27</v>
      </c>
    </row>
    <row r="14" spans="1:23">
      <c r="A14" s="169" t="s">
        <v>1241</v>
      </c>
      <c r="B14" s="170">
        <v>34935.47</v>
      </c>
      <c r="C14" s="170">
        <v>4395.26</v>
      </c>
      <c r="D14" s="170">
        <v>14672.68</v>
      </c>
      <c r="U14" s="169" t="s">
        <v>1241</v>
      </c>
      <c r="V14" s="170">
        <v>3199.27</v>
      </c>
      <c r="W14" s="170">
        <v>1038.33</v>
      </c>
    </row>
    <row r="15" spans="1:23">
      <c r="A15" s="169" t="s">
        <v>1240</v>
      </c>
      <c r="B15" s="170">
        <v>34502.51</v>
      </c>
      <c r="C15" s="170">
        <v>4297.5</v>
      </c>
      <c r="D15" s="170">
        <v>14503.95</v>
      </c>
      <c r="U15" s="169" t="s">
        <v>1240</v>
      </c>
      <c r="V15" s="170">
        <v>3202.32</v>
      </c>
      <c r="W15" s="170">
        <v>1031.1400000000001</v>
      </c>
    </row>
    <row r="16" spans="1:23">
      <c r="A16" s="169" t="s">
        <v>1239</v>
      </c>
      <c r="B16" s="170">
        <v>34529.449999999997</v>
      </c>
      <c r="C16" s="170">
        <v>4204.1099999999997</v>
      </c>
      <c r="D16" s="170">
        <v>13748.74</v>
      </c>
      <c r="U16" s="169" t="s">
        <v>1239</v>
      </c>
      <c r="V16" s="170">
        <v>3296.68</v>
      </c>
      <c r="W16" s="170">
        <v>1029.96</v>
      </c>
    </row>
    <row r="17" spans="1:23">
      <c r="A17" s="169" t="s">
        <v>1238</v>
      </c>
      <c r="B17" s="170">
        <v>33874.85</v>
      </c>
      <c r="C17" s="170">
        <v>4181.17</v>
      </c>
      <c r="D17" s="170">
        <v>13962.68</v>
      </c>
      <c r="U17" s="169" t="s">
        <v>1238</v>
      </c>
      <c r="V17" s="170">
        <v>3203.92</v>
      </c>
      <c r="W17" s="171">
        <v>981.78</v>
      </c>
    </row>
    <row r="18" spans="1:23">
      <c r="A18" s="169" t="s">
        <v>1237</v>
      </c>
      <c r="B18" s="170">
        <v>32981.550000000003</v>
      </c>
      <c r="C18" s="170">
        <v>3972.89</v>
      </c>
      <c r="D18" s="170">
        <v>13246.87</v>
      </c>
      <c r="U18" s="169" t="s">
        <v>1237</v>
      </c>
      <c r="V18" s="170">
        <v>3147.86</v>
      </c>
      <c r="W18" s="171">
        <v>983.45</v>
      </c>
    </row>
    <row r="19" spans="1:23">
      <c r="A19" s="169" t="s">
        <v>1236</v>
      </c>
      <c r="B19" s="170">
        <v>30932.37</v>
      </c>
      <c r="C19" s="170">
        <v>3811.15</v>
      </c>
      <c r="D19" s="170">
        <v>13192.35</v>
      </c>
      <c r="U19" s="169" t="s">
        <v>1236</v>
      </c>
      <c r="V19" s="170">
        <v>3061.42</v>
      </c>
      <c r="W19" s="171">
        <v>956.17</v>
      </c>
    </row>
    <row r="20" spans="1:23">
      <c r="A20" s="169" t="s">
        <v>1235</v>
      </c>
      <c r="B20" s="170">
        <v>29982.62</v>
      </c>
      <c r="C20" s="170">
        <v>3714.24</v>
      </c>
      <c r="D20" s="170">
        <v>13070.69</v>
      </c>
      <c r="U20" s="169" t="s">
        <v>1235</v>
      </c>
      <c r="V20" s="170">
        <v>3012.95</v>
      </c>
      <c r="W20" s="171">
        <v>913.94</v>
      </c>
    </row>
    <row r="21" spans="1:23">
      <c r="A21" s="169" t="s">
        <v>1222</v>
      </c>
      <c r="B21" s="170">
        <v>30606.48</v>
      </c>
      <c r="C21" s="170">
        <v>3756.07</v>
      </c>
      <c r="D21" s="170">
        <v>12888.28</v>
      </c>
      <c r="U21" s="169" t="s">
        <v>1222</v>
      </c>
      <c r="V21" s="170">
        <v>2976.21</v>
      </c>
      <c r="W21" s="171">
        <v>928.73</v>
      </c>
    </row>
    <row r="22" spans="1:23">
      <c r="A22" s="169" t="s">
        <v>1221</v>
      </c>
      <c r="B22" s="170">
        <v>29638.639999999999</v>
      </c>
      <c r="C22" s="170">
        <v>3621.63</v>
      </c>
      <c r="D22" s="170">
        <v>12198.74</v>
      </c>
      <c r="U22" s="169" t="s">
        <v>1221</v>
      </c>
      <c r="V22" s="170">
        <v>2873.47</v>
      </c>
      <c r="W22" s="171">
        <v>968.42</v>
      </c>
    </row>
    <row r="23" spans="1:23">
      <c r="A23" s="169" t="s">
        <v>1220</v>
      </c>
      <c r="B23" s="170">
        <v>26501.599999999999</v>
      </c>
      <c r="C23" s="170">
        <v>3269.96</v>
      </c>
      <c r="D23" s="170">
        <v>10911.59</v>
      </c>
      <c r="U23" s="169" t="s">
        <v>1220</v>
      </c>
      <c r="V23" s="170">
        <v>2591.34</v>
      </c>
      <c r="W23" s="171">
        <v>886.11</v>
      </c>
    </row>
    <row r="24" spans="1:23">
      <c r="A24" s="169" t="s">
        <v>1231</v>
      </c>
      <c r="B24" s="170">
        <v>27781.7</v>
      </c>
      <c r="C24" s="170">
        <v>3363</v>
      </c>
      <c r="D24" s="170">
        <v>11167.68</v>
      </c>
      <c r="U24" s="169" t="s">
        <v>1231</v>
      </c>
      <c r="V24" s="170">
        <v>2267.15</v>
      </c>
      <c r="W24" s="171">
        <v>792.65</v>
      </c>
    </row>
    <row r="25" spans="1:23">
      <c r="A25" s="169" t="s">
        <v>1230</v>
      </c>
      <c r="B25" s="170">
        <v>28430.05</v>
      </c>
      <c r="C25" s="170">
        <v>3500.31</v>
      </c>
      <c r="D25" s="170">
        <v>11775.46</v>
      </c>
      <c r="U25" s="169" t="s">
        <v>1230</v>
      </c>
      <c r="V25" s="170">
        <v>2327.89</v>
      </c>
      <c r="W25" s="171">
        <v>848.15</v>
      </c>
    </row>
    <row r="26" spans="1:23">
      <c r="A26" s="169" t="s">
        <v>1229</v>
      </c>
      <c r="B26" s="170">
        <v>26428.32</v>
      </c>
      <c r="C26" s="170">
        <v>3271.12</v>
      </c>
      <c r="D26" s="170">
        <v>10745.27</v>
      </c>
      <c r="U26" s="169" t="s">
        <v>1229</v>
      </c>
      <c r="V26" s="170">
        <v>2326.17</v>
      </c>
      <c r="W26" s="171">
        <v>848.24</v>
      </c>
    </row>
    <row r="27" spans="1:23">
      <c r="A27" s="169" t="s">
        <v>1228</v>
      </c>
      <c r="B27" s="170">
        <v>25812.880000000001</v>
      </c>
      <c r="C27" s="170">
        <v>3100.29</v>
      </c>
      <c r="D27" s="170">
        <v>10058.76</v>
      </c>
      <c r="U27" s="169" t="s">
        <v>1228</v>
      </c>
      <c r="V27" s="170">
        <v>2249.37</v>
      </c>
      <c r="W27" s="171">
        <v>815.3</v>
      </c>
    </row>
    <row r="28" spans="1:23">
      <c r="A28" s="169" t="s">
        <v>1227</v>
      </c>
      <c r="B28" s="170">
        <v>25383.11</v>
      </c>
      <c r="C28" s="170">
        <v>3044.31</v>
      </c>
      <c r="D28" s="170">
        <v>9489.8700000000008</v>
      </c>
      <c r="U28" s="169" t="s">
        <v>1227</v>
      </c>
      <c r="V28" s="170">
        <v>2108.33</v>
      </c>
      <c r="W28" s="171">
        <v>737.97</v>
      </c>
    </row>
    <row r="29" spans="1:23">
      <c r="A29" s="169" t="s">
        <v>1226</v>
      </c>
      <c r="B29" s="170">
        <v>24345.72</v>
      </c>
      <c r="C29" s="170">
        <v>2912.43</v>
      </c>
      <c r="D29" s="170">
        <v>8889.5499999999993</v>
      </c>
      <c r="U29" s="169" t="s">
        <v>1226</v>
      </c>
      <c r="V29" s="170">
        <v>2029.6</v>
      </c>
      <c r="W29" s="171">
        <v>713.68</v>
      </c>
    </row>
    <row r="30" spans="1:23">
      <c r="A30" s="169" t="s">
        <v>1225</v>
      </c>
      <c r="B30" s="170">
        <v>21917.16</v>
      </c>
      <c r="C30" s="170">
        <v>2584.59</v>
      </c>
      <c r="D30" s="170">
        <v>7700.1</v>
      </c>
      <c r="U30" s="169" t="s">
        <v>1225</v>
      </c>
      <c r="V30" s="170">
        <v>1947.56</v>
      </c>
      <c r="W30" s="171">
        <v>645.17999999999995</v>
      </c>
    </row>
    <row r="31" spans="1:23">
      <c r="A31" s="169" t="s">
        <v>1224</v>
      </c>
      <c r="B31" s="170">
        <v>25409.360000000001</v>
      </c>
      <c r="C31" s="170">
        <v>2954.22</v>
      </c>
      <c r="D31" s="170">
        <v>8567.3700000000008</v>
      </c>
      <c r="U31" s="169" t="s">
        <v>1224</v>
      </c>
      <c r="V31" s="170">
        <v>1754.64</v>
      </c>
      <c r="W31" s="171">
        <v>569.07000000000005</v>
      </c>
    </row>
    <row r="32" spans="1:23" ht="19" thickBot="1">
      <c r="A32" s="169" t="s">
        <v>1223</v>
      </c>
      <c r="B32" s="170">
        <v>28256.03</v>
      </c>
      <c r="C32" s="170">
        <v>3225.52</v>
      </c>
      <c r="D32" s="170">
        <v>9150.94</v>
      </c>
      <c r="U32" s="169" t="s">
        <v>1223</v>
      </c>
      <c r="V32" s="170">
        <v>1987.01</v>
      </c>
      <c r="W32" s="171">
        <v>610.73</v>
      </c>
    </row>
    <row r="33" spans="1:23">
      <c r="A33" s="169" t="s">
        <v>1210</v>
      </c>
      <c r="B33" s="170">
        <v>28538.44</v>
      </c>
      <c r="C33" s="170">
        <v>3230.78</v>
      </c>
      <c r="D33" s="170">
        <v>8972.6</v>
      </c>
      <c r="G33" s="220" t="s">
        <v>1468</v>
      </c>
      <c r="H33" s="221"/>
      <c r="I33" s="222">
        <v>5000</v>
      </c>
      <c r="J33" s="222">
        <f>$I$33*J34</f>
        <v>1500</v>
      </c>
      <c r="K33" s="222"/>
      <c r="L33" s="222">
        <f>$I$33*L34</f>
        <v>500</v>
      </c>
      <c r="M33" s="222"/>
      <c r="N33" s="222">
        <f>$I$33*N34</f>
        <v>1000</v>
      </c>
      <c r="O33" s="222"/>
      <c r="P33" s="222">
        <f>$I$33*P34</f>
        <v>250</v>
      </c>
      <c r="Q33" s="222">
        <f>$I$33*Q34</f>
        <v>250</v>
      </c>
      <c r="R33" s="222">
        <f>$I$33*R34</f>
        <v>1500</v>
      </c>
      <c r="S33" s="249"/>
      <c r="U33" s="169" t="s">
        <v>1210</v>
      </c>
      <c r="V33" s="170">
        <v>2119.0100000000002</v>
      </c>
      <c r="W33" s="171">
        <v>642.48</v>
      </c>
    </row>
    <row r="34" spans="1:23">
      <c r="A34" s="169" t="s">
        <v>1209</v>
      </c>
      <c r="B34" s="170">
        <v>28051.41</v>
      </c>
      <c r="C34" s="170">
        <v>3140.98</v>
      </c>
      <c r="D34" s="170">
        <v>8665.4699999999993</v>
      </c>
      <c r="F34" s="195"/>
      <c r="G34" s="224"/>
      <c r="H34" s="225"/>
      <c r="I34" s="226"/>
      <c r="J34" s="227">
        <v>0.3</v>
      </c>
      <c r="K34" s="226"/>
      <c r="L34" s="227">
        <v>0.1</v>
      </c>
      <c r="M34" s="226"/>
      <c r="N34" s="227">
        <v>0.2</v>
      </c>
      <c r="O34" s="226"/>
      <c r="P34" s="227">
        <v>0.05</v>
      </c>
      <c r="Q34" s="227">
        <v>0.05</v>
      </c>
      <c r="R34" s="227">
        <v>0.3</v>
      </c>
      <c r="S34" s="250"/>
      <c r="U34" s="169" t="s">
        <v>1209</v>
      </c>
      <c r="V34" s="170">
        <v>2197.67</v>
      </c>
      <c r="W34" s="171">
        <v>669.83</v>
      </c>
    </row>
    <row r="35" spans="1:23">
      <c r="A35" s="169" t="s">
        <v>1208</v>
      </c>
      <c r="B35" s="170">
        <v>27046.23</v>
      </c>
      <c r="C35" s="170">
        <v>3037.56</v>
      </c>
      <c r="D35" s="170">
        <v>8292.36</v>
      </c>
      <c r="F35" s="195"/>
      <c r="G35" s="224"/>
      <c r="H35" s="225"/>
      <c r="I35" s="226"/>
      <c r="J35" s="226" t="str">
        <f>H47</f>
        <v>S&amp;P 500</v>
      </c>
      <c r="K35" s="226"/>
      <c r="L35" s="226" t="str">
        <f>H48</f>
        <v>다우존스</v>
      </c>
      <c r="M35" s="226"/>
      <c r="N35" s="226" t="str">
        <f>H49</f>
        <v>나스닥 종합</v>
      </c>
      <c r="O35" s="226"/>
      <c r="P35" s="226" t="s">
        <v>1419</v>
      </c>
      <c r="Q35" s="226" t="s">
        <v>408</v>
      </c>
      <c r="R35" s="230" t="s">
        <v>546</v>
      </c>
      <c r="S35" s="251"/>
      <c r="U35" s="169" t="s">
        <v>1208</v>
      </c>
      <c r="V35" s="170">
        <v>2087.96</v>
      </c>
      <c r="W35" s="171">
        <v>632.99</v>
      </c>
    </row>
    <row r="36" spans="1:23">
      <c r="A36" s="169" t="s">
        <v>1219</v>
      </c>
      <c r="B36" s="170">
        <v>26916.83</v>
      </c>
      <c r="C36" s="170">
        <v>2976.74</v>
      </c>
      <c r="D36" s="170">
        <v>7999.33</v>
      </c>
      <c r="F36" s="195"/>
      <c r="G36" s="224"/>
      <c r="H36" s="225" t="s">
        <v>1402</v>
      </c>
      <c r="I36" s="226" t="s">
        <v>1409</v>
      </c>
      <c r="J36" s="229">
        <f>I47-$L$47</f>
        <v>3468.75</v>
      </c>
      <c r="K36" s="226" t="s">
        <v>1418</v>
      </c>
      <c r="L36" s="229">
        <f>I48-$L$48</f>
        <v>27922.5</v>
      </c>
      <c r="M36" s="226" t="s">
        <v>1413</v>
      </c>
      <c r="N36" s="229">
        <f>I49-$L$49</f>
        <v>11385</v>
      </c>
      <c r="O36" s="226" t="s">
        <v>1412</v>
      </c>
      <c r="P36" s="226"/>
      <c r="Q36" s="226"/>
      <c r="R36" s="226"/>
      <c r="S36" s="228"/>
      <c r="U36" s="169" t="s">
        <v>1219</v>
      </c>
      <c r="V36" s="170">
        <v>2083.48</v>
      </c>
      <c r="W36" s="171">
        <v>658.52</v>
      </c>
    </row>
    <row r="37" spans="1:23">
      <c r="A37" s="169" t="s">
        <v>1218</v>
      </c>
      <c r="B37" s="170">
        <v>26403.279999999999</v>
      </c>
      <c r="C37" s="170">
        <v>2926.46</v>
      </c>
      <c r="D37" s="170">
        <v>7962.88</v>
      </c>
      <c r="G37" s="224"/>
      <c r="H37" s="225" t="s">
        <v>1403</v>
      </c>
      <c r="I37" s="226" t="s">
        <v>1407</v>
      </c>
      <c r="J37" s="229">
        <f>J36-$L$47</f>
        <v>3187.5</v>
      </c>
      <c r="K37" s="226" t="s">
        <v>1416</v>
      </c>
      <c r="L37" s="229">
        <f>L36-$L$48</f>
        <v>25245</v>
      </c>
      <c r="M37" s="226" t="s">
        <v>1414</v>
      </c>
      <c r="N37" s="229">
        <f>N36-$L$49</f>
        <v>10120</v>
      </c>
      <c r="O37" s="226" t="s">
        <v>1410</v>
      </c>
      <c r="P37" s="226"/>
      <c r="Q37" s="226"/>
      <c r="R37" s="226"/>
      <c r="S37" s="228"/>
      <c r="U37" s="169" t="s">
        <v>1218</v>
      </c>
      <c r="V37" s="170">
        <v>2063.0500000000002</v>
      </c>
      <c r="W37" s="171">
        <v>621.76</v>
      </c>
    </row>
    <row r="38" spans="1:23">
      <c r="A38" s="169" t="s">
        <v>1217</v>
      </c>
      <c r="B38" s="170">
        <v>26864.27</v>
      </c>
      <c r="C38" s="170">
        <v>2980.38</v>
      </c>
      <c r="D38" s="170">
        <v>8175.42</v>
      </c>
      <c r="G38" s="224"/>
      <c r="H38" s="225" t="s">
        <v>1404</v>
      </c>
      <c r="I38" s="226" t="s">
        <v>1408</v>
      </c>
      <c r="J38" s="229">
        <f>J37-$L$47</f>
        <v>2906.25</v>
      </c>
      <c r="K38" s="226" t="s">
        <v>1417</v>
      </c>
      <c r="L38" s="229">
        <f>L37-$L$48</f>
        <v>22567.5</v>
      </c>
      <c r="M38" s="226" t="s">
        <v>1415</v>
      </c>
      <c r="N38" s="229">
        <f>N37-$L$49</f>
        <v>8855</v>
      </c>
      <c r="O38" s="226" t="s">
        <v>1411</v>
      </c>
      <c r="P38" s="226"/>
      <c r="Q38" s="226"/>
      <c r="R38" s="226"/>
      <c r="S38" s="228"/>
      <c r="U38" s="169" t="s">
        <v>1217</v>
      </c>
      <c r="V38" s="170">
        <v>1967.79</v>
      </c>
      <c r="W38" s="171">
        <v>610.54999999999995</v>
      </c>
    </row>
    <row r="39" spans="1:23">
      <c r="A39" s="169" t="s">
        <v>1216</v>
      </c>
      <c r="B39" s="170">
        <v>26599.96</v>
      </c>
      <c r="C39" s="170">
        <v>2941.76</v>
      </c>
      <c r="D39" s="170">
        <v>8006.24</v>
      </c>
      <c r="G39" s="224"/>
      <c r="H39" s="225" t="s">
        <v>1406</v>
      </c>
      <c r="I39" s="226" t="s">
        <v>1408</v>
      </c>
      <c r="J39" s="229">
        <f>J38-$L$47</f>
        <v>2625</v>
      </c>
      <c r="K39" s="226" t="s">
        <v>1417</v>
      </c>
      <c r="L39" s="229">
        <f>L38-$L$48</f>
        <v>19890</v>
      </c>
      <c r="M39" s="226" t="s">
        <v>1415</v>
      </c>
      <c r="N39" s="229">
        <f>N38-$L$49</f>
        <v>7590</v>
      </c>
      <c r="O39" s="226" t="s">
        <v>1411</v>
      </c>
      <c r="P39" s="226"/>
      <c r="Q39" s="226"/>
      <c r="R39" s="226"/>
      <c r="S39" s="228"/>
      <c r="U39" s="169" t="s">
        <v>1216</v>
      </c>
      <c r="V39" s="170">
        <v>2024.55</v>
      </c>
      <c r="W39" s="171">
        <v>630.17999999999995</v>
      </c>
    </row>
    <row r="40" spans="1:23">
      <c r="A40" s="169" t="s">
        <v>1215</v>
      </c>
      <c r="B40" s="170">
        <v>24815.040000000001</v>
      </c>
      <c r="C40" s="170">
        <v>2752.06</v>
      </c>
      <c r="D40" s="170">
        <v>7453.15</v>
      </c>
      <c r="G40" s="224"/>
      <c r="H40" s="225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8"/>
      <c r="U40" s="169" t="s">
        <v>1215</v>
      </c>
      <c r="V40" s="170">
        <v>2130.62</v>
      </c>
      <c r="W40" s="171">
        <v>690.53</v>
      </c>
    </row>
    <row r="41" spans="1:23">
      <c r="A41" s="169" t="s">
        <v>1214</v>
      </c>
      <c r="B41" s="170">
        <v>26592.91</v>
      </c>
      <c r="C41" s="170">
        <v>2945.83</v>
      </c>
      <c r="D41" s="170">
        <v>8095.39</v>
      </c>
      <c r="G41" s="224"/>
      <c r="H41" s="225"/>
      <c r="I41" s="226"/>
      <c r="J41" s="226"/>
      <c r="K41" s="226"/>
      <c r="L41" s="226"/>
      <c r="M41" s="224"/>
      <c r="N41" s="226"/>
      <c r="O41" s="226"/>
      <c r="P41" s="230" t="s">
        <v>1439</v>
      </c>
      <c r="Q41" s="230" t="s">
        <v>1439</v>
      </c>
      <c r="R41" s="230" t="s">
        <v>1401</v>
      </c>
      <c r="S41" s="228"/>
      <c r="U41" s="169" t="s">
        <v>1214</v>
      </c>
      <c r="V41" s="170">
        <v>2041.74</v>
      </c>
      <c r="W41" s="171">
        <v>696.47</v>
      </c>
    </row>
    <row r="42" spans="1:23">
      <c r="A42" s="169" t="s">
        <v>1213</v>
      </c>
      <c r="B42" s="170">
        <v>25928.68</v>
      </c>
      <c r="C42" s="170">
        <v>2834.4</v>
      </c>
      <c r="D42" s="170">
        <v>7729.32</v>
      </c>
      <c r="G42" s="252"/>
      <c r="H42" s="225"/>
      <c r="I42" s="236">
        <v>0.2</v>
      </c>
      <c r="J42" s="237">
        <f>J$33*$I42</f>
        <v>300</v>
      </c>
      <c r="K42" s="226"/>
      <c r="L42" s="237">
        <f>L$33*$I42</f>
        <v>100</v>
      </c>
      <c r="M42" s="226"/>
      <c r="N42" s="237">
        <f>N$33*$I42</f>
        <v>200</v>
      </c>
      <c r="O42" s="253" t="s">
        <v>1429</v>
      </c>
      <c r="P42" s="226"/>
      <c r="Q42" s="226"/>
      <c r="R42" s="144">
        <f>R33*0.3</f>
        <v>450</v>
      </c>
      <c r="S42" s="228"/>
      <c r="U42" s="169" t="s">
        <v>1213</v>
      </c>
      <c r="V42" s="170">
        <v>2203.59</v>
      </c>
      <c r="W42" s="171">
        <v>754.74</v>
      </c>
    </row>
    <row r="43" spans="1:23">
      <c r="A43" s="169" t="s">
        <v>1212</v>
      </c>
      <c r="B43" s="170">
        <v>25916</v>
      </c>
      <c r="C43" s="170">
        <v>2784.49</v>
      </c>
      <c r="D43" s="170">
        <v>7532.53</v>
      </c>
      <c r="G43" s="224"/>
      <c r="H43" s="225"/>
      <c r="I43" s="236">
        <v>0.25</v>
      </c>
      <c r="J43" s="237">
        <f>J$33*$I43</f>
        <v>375</v>
      </c>
      <c r="K43" s="226"/>
      <c r="L43" s="237">
        <f>L$33*$I43</f>
        <v>125</v>
      </c>
      <c r="M43" s="226"/>
      <c r="N43" s="237">
        <f>N$33*$I43</f>
        <v>250</v>
      </c>
      <c r="O43" s="226"/>
      <c r="P43" s="229">
        <f>P33*0.4</f>
        <v>100</v>
      </c>
      <c r="Q43" s="229">
        <f>Q33*0.4</f>
        <v>100</v>
      </c>
      <c r="R43" s="229">
        <f>R33*0.4</f>
        <v>600</v>
      </c>
      <c r="S43" s="254"/>
      <c r="U43" s="169" t="s">
        <v>1212</v>
      </c>
      <c r="V43" s="170">
        <v>2140.67</v>
      </c>
      <c r="W43" s="171">
        <v>729.31</v>
      </c>
    </row>
    <row r="44" spans="1:23">
      <c r="A44" s="169" t="s">
        <v>1211</v>
      </c>
      <c r="B44" s="170">
        <v>24999.67</v>
      </c>
      <c r="C44" s="170">
        <v>2704.1</v>
      </c>
      <c r="D44" s="170">
        <v>7281.74</v>
      </c>
      <c r="G44" s="224"/>
      <c r="H44" s="225"/>
      <c r="I44" s="236">
        <v>0.25</v>
      </c>
      <c r="J44" s="237">
        <f>J$33*$I44</f>
        <v>375</v>
      </c>
      <c r="K44" s="226"/>
      <c r="L44" s="237">
        <f>L$33*$I44</f>
        <v>125</v>
      </c>
      <c r="M44" s="226"/>
      <c r="N44" s="237">
        <f>N$33*$I44</f>
        <v>250</v>
      </c>
      <c r="O44" s="226"/>
      <c r="P44" s="229">
        <f>P33*0.6</f>
        <v>150</v>
      </c>
      <c r="Q44" s="229">
        <f>Q33*0.6</f>
        <v>150</v>
      </c>
      <c r="R44" s="229">
        <f>R33*0.3</f>
        <v>450</v>
      </c>
      <c r="S44" s="254"/>
      <c r="U44" s="169" t="s">
        <v>1211</v>
      </c>
      <c r="V44" s="170">
        <v>2195.44</v>
      </c>
      <c r="W44" s="171">
        <v>731.25</v>
      </c>
    </row>
    <row r="45" spans="1:23" ht="19" thickBot="1">
      <c r="A45" s="169" t="s">
        <v>1198</v>
      </c>
      <c r="B45" s="170">
        <v>23327.46</v>
      </c>
      <c r="C45" s="170">
        <v>2506.85</v>
      </c>
      <c r="D45" s="170">
        <v>6635.28</v>
      </c>
      <c r="G45" s="224"/>
      <c r="H45" s="242"/>
      <c r="I45" s="243">
        <v>0.3</v>
      </c>
      <c r="J45" s="244">
        <f>J$33*$I45</f>
        <v>450</v>
      </c>
      <c r="K45" s="245"/>
      <c r="L45" s="244">
        <f>L$33*$I45</f>
        <v>150</v>
      </c>
      <c r="M45" s="245"/>
      <c r="N45" s="244">
        <f>N$33*$I45</f>
        <v>300</v>
      </c>
      <c r="O45" s="245"/>
      <c r="P45" s="245"/>
      <c r="Q45" s="245"/>
      <c r="R45" s="245"/>
      <c r="S45" s="246"/>
      <c r="U45" s="169" t="s">
        <v>1198</v>
      </c>
      <c r="V45" s="170">
        <v>2204.85</v>
      </c>
      <c r="W45" s="171">
        <v>716.86</v>
      </c>
    </row>
    <row r="46" spans="1:23">
      <c r="A46" s="169" t="s">
        <v>1197</v>
      </c>
      <c r="B46" s="170">
        <v>25538.46</v>
      </c>
      <c r="C46" s="170">
        <v>2760.17</v>
      </c>
      <c r="D46" s="170">
        <v>7330.54</v>
      </c>
      <c r="G46" s="224"/>
      <c r="H46" s="224"/>
      <c r="I46" s="247" t="s">
        <v>1422</v>
      </c>
      <c r="J46" s="247" t="s">
        <v>1462</v>
      </c>
      <c r="K46" s="224"/>
      <c r="L46" s="247" t="s">
        <v>1405</v>
      </c>
      <c r="M46" s="224"/>
      <c r="N46" s="224"/>
      <c r="O46" s="224"/>
      <c r="P46" s="224"/>
      <c r="Q46" s="224"/>
      <c r="R46" s="224"/>
      <c r="S46" s="224"/>
      <c r="U46" s="169" t="s">
        <v>1197</v>
      </c>
      <c r="V46" s="170">
        <v>2041.04</v>
      </c>
      <c r="W46" s="171">
        <v>675.65</v>
      </c>
    </row>
    <row r="47" spans="1:23">
      <c r="A47" s="169" t="s">
        <v>1196</v>
      </c>
      <c r="B47" s="170">
        <v>25115.759999999998</v>
      </c>
      <c r="C47" s="170">
        <v>2711.74</v>
      </c>
      <c r="D47" s="170">
        <v>7305.9</v>
      </c>
      <c r="G47" s="224"/>
      <c r="H47" s="224" t="s">
        <v>1401</v>
      </c>
      <c r="I47" s="144">
        <v>3750</v>
      </c>
      <c r="J47" s="144">
        <f>I47*K47</f>
        <v>2625</v>
      </c>
      <c r="K47" s="248">
        <v>0.7</v>
      </c>
      <c r="L47" s="144">
        <f>(I47-J47)/4</f>
        <v>281.25</v>
      </c>
      <c r="M47" s="224"/>
      <c r="N47" s="224"/>
      <c r="O47" s="224"/>
      <c r="P47" s="224"/>
      <c r="Q47" s="224"/>
      <c r="R47" s="224"/>
      <c r="S47" s="224"/>
      <c r="U47" s="169" t="s">
        <v>1196</v>
      </c>
      <c r="V47" s="170">
        <v>2096.86</v>
      </c>
      <c r="W47" s="171">
        <v>695.76</v>
      </c>
    </row>
    <row r="48" spans="1:23">
      <c r="A48" s="169" t="s">
        <v>1207</v>
      </c>
      <c r="B48" s="170">
        <v>26458.31</v>
      </c>
      <c r="C48" s="170">
        <v>2913.98</v>
      </c>
      <c r="D48" s="170">
        <v>8046.35</v>
      </c>
      <c r="G48" s="224"/>
      <c r="H48" s="224" t="s">
        <v>1400</v>
      </c>
      <c r="I48" s="144">
        <v>30600</v>
      </c>
      <c r="J48" s="144">
        <f>I48*K48</f>
        <v>19890</v>
      </c>
      <c r="K48" s="248">
        <v>0.65</v>
      </c>
      <c r="L48" s="144">
        <f>(I48-J48)/4</f>
        <v>2677.5</v>
      </c>
      <c r="M48" s="224"/>
      <c r="N48" s="224"/>
      <c r="O48" s="224"/>
      <c r="P48" s="224"/>
      <c r="Q48" s="224"/>
      <c r="R48" s="224"/>
      <c r="S48" s="224"/>
      <c r="U48" s="169" t="s">
        <v>1207</v>
      </c>
      <c r="V48" s="170">
        <v>2029.69</v>
      </c>
      <c r="W48" s="171">
        <v>648.66999999999996</v>
      </c>
    </row>
    <row r="49" spans="1:23" ht="19" thickBot="1">
      <c r="A49" s="169" t="s">
        <v>1206</v>
      </c>
      <c r="B49" s="170">
        <v>25964.82</v>
      </c>
      <c r="C49" s="170">
        <v>2901.52</v>
      </c>
      <c r="D49" s="170">
        <v>8109.54</v>
      </c>
      <c r="G49" s="224"/>
      <c r="H49" s="255" t="s">
        <v>1437</v>
      </c>
      <c r="I49" s="144">
        <v>12650</v>
      </c>
      <c r="J49" s="144">
        <f>I49*K49</f>
        <v>7590</v>
      </c>
      <c r="K49" s="248">
        <v>0.6</v>
      </c>
      <c r="L49" s="144">
        <f>(I49-J49)/4</f>
        <v>1265</v>
      </c>
      <c r="M49" s="224"/>
      <c r="N49" s="224"/>
      <c r="O49" s="224"/>
      <c r="P49" s="224"/>
      <c r="Q49" s="224"/>
      <c r="R49" s="224"/>
      <c r="S49" s="224"/>
      <c r="U49" s="169" t="s">
        <v>1206</v>
      </c>
      <c r="V49" s="170">
        <v>2343.0700000000002</v>
      </c>
      <c r="W49" s="171">
        <v>822.27</v>
      </c>
    </row>
    <row r="50" spans="1:23">
      <c r="A50" s="169" t="s">
        <v>1205</v>
      </c>
      <c r="B50" s="170">
        <v>25415.19</v>
      </c>
      <c r="C50" s="170">
        <v>2816.29</v>
      </c>
      <c r="D50" s="170">
        <v>7671.79</v>
      </c>
      <c r="G50" s="219" t="s">
        <v>1467</v>
      </c>
      <c r="H50" s="173"/>
      <c r="I50" s="174">
        <v>5000</v>
      </c>
      <c r="J50" s="174">
        <f>$I$33*J51</f>
        <v>1500</v>
      </c>
      <c r="K50" s="174"/>
      <c r="L50" s="174">
        <f>$I$33*L51</f>
        <v>500</v>
      </c>
      <c r="M50" s="174"/>
      <c r="N50" s="174">
        <f>$I$33*N51</f>
        <v>1000</v>
      </c>
      <c r="O50" s="174"/>
      <c r="P50" s="174">
        <f>$I$33*P51</f>
        <v>250</v>
      </c>
      <c r="Q50" s="174">
        <f>$I$33*Q51</f>
        <v>250</v>
      </c>
      <c r="R50" s="174">
        <f>$I$33*R51</f>
        <v>1500</v>
      </c>
      <c r="S50" s="175"/>
      <c r="U50" s="169" t="s">
        <v>1205</v>
      </c>
      <c r="V50" s="170">
        <v>2322.88</v>
      </c>
      <c r="W50" s="171">
        <v>816.97</v>
      </c>
    </row>
    <row r="51" spans="1:23">
      <c r="A51" s="169" t="s">
        <v>1204</v>
      </c>
      <c r="B51" s="170">
        <v>24271.41</v>
      </c>
      <c r="C51" s="170">
        <v>2718.37</v>
      </c>
      <c r="D51" s="170">
        <v>7510.3</v>
      </c>
      <c r="H51" s="176"/>
      <c r="I51" s="177"/>
      <c r="J51" s="178">
        <v>0.3</v>
      </c>
      <c r="K51" s="177"/>
      <c r="L51" s="178">
        <v>0.1</v>
      </c>
      <c r="M51" s="177"/>
      <c r="N51" s="178">
        <v>0.2</v>
      </c>
      <c r="O51" s="177"/>
      <c r="P51" s="178">
        <v>0.05</v>
      </c>
      <c r="Q51" s="178">
        <v>0.05</v>
      </c>
      <c r="R51" s="178">
        <v>0.3</v>
      </c>
      <c r="S51" s="179"/>
      <c r="U51" s="169" t="s">
        <v>1204</v>
      </c>
      <c r="V51" s="170">
        <v>2295.2600000000002</v>
      </c>
      <c r="W51" s="171">
        <v>775.52</v>
      </c>
    </row>
    <row r="52" spans="1:23">
      <c r="A52" s="169" t="s">
        <v>1203</v>
      </c>
      <c r="B52" s="170">
        <v>24415.84</v>
      </c>
      <c r="C52" s="170">
        <v>2705.27</v>
      </c>
      <c r="D52" s="170">
        <v>7442.12</v>
      </c>
      <c r="H52" s="176"/>
      <c r="I52" s="177"/>
      <c r="J52" s="177" t="str">
        <f>H64</f>
        <v>S&amp;P 500</v>
      </c>
      <c r="K52" s="177"/>
      <c r="L52" s="177" t="str">
        <f>H65</f>
        <v>다우존스</v>
      </c>
      <c r="M52" s="177"/>
      <c r="N52" s="177" t="str">
        <f>H66</f>
        <v>나스닥 종합</v>
      </c>
      <c r="O52" s="177"/>
      <c r="P52" s="177" t="s">
        <v>1419</v>
      </c>
      <c r="Q52" s="177" t="s">
        <v>408</v>
      </c>
      <c r="R52" s="201" t="s">
        <v>546</v>
      </c>
      <c r="S52" s="202"/>
      <c r="U52" s="169" t="s">
        <v>1203</v>
      </c>
      <c r="V52" s="170">
        <v>2326.13</v>
      </c>
      <c r="W52" s="171">
        <v>818.22</v>
      </c>
    </row>
    <row r="53" spans="1:23">
      <c r="A53" s="169" t="s">
        <v>1202</v>
      </c>
      <c r="B53" s="170">
        <v>24163.15</v>
      </c>
      <c r="C53" s="170">
        <v>2648.05</v>
      </c>
      <c r="D53" s="170">
        <v>7066.27</v>
      </c>
      <c r="H53" s="176" t="s">
        <v>1402</v>
      </c>
      <c r="I53" s="177" t="s">
        <v>1409</v>
      </c>
      <c r="J53" s="181">
        <f>I64-$L$64</f>
        <v>3515.625</v>
      </c>
      <c r="K53" s="177" t="s">
        <v>1418</v>
      </c>
      <c r="L53" s="181">
        <f>I65-$L$65</f>
        <v>29450</v>
      </c>
      <c r="M53" s="177" t="s">
        <v>1413</v>
      </c>
      <c r="N53" s="181">
        <f>I66-$L$66</f>
        <v>11701.25</v>
      </c>
      <c r="O53" s="177" t="s">
        <v>1412</v>
      </c>
      <c r="P53" s="177"/>
      <c r="Q53" s="177"/>
      <c r="R53" s="177"/>
      <c r="S53" s="180"/>
      <c r="U53" s="169" t="s">
        <v>1202</v>
      </c>
      <c r="V53" s="170">
        <v>2423.0100000000002</v>
      </c>
      <c r="W53" s="171">
        <v>879.66</v>
      </c>
    </row>
    <row r="54" spans="1:23">
      <c r="A54" s="169" t="s">
        <v>1201</v>
      </c>
      <c r="B54" s="170">
        <v>24103.11</v>
      </c>
      <c r="C54" s="170">
        <v>2640.87</v>
      </c>
      <c r="D54" s="170">
        <v>7063.44</v>
      </c>
      <c r="H54" s="176" t="s">
        <v>1403</v>
      </c>
      <c r="I54" s="177" t="s">
        <v>1407</v>
      </c>
      <c r="J54" s="181">
        <f>J53-$L$64</f>
        <v>3281.25</v>
      </c>
      <c r="K54" s="177" t="s">
        <v>1416</v>
      </c>
      <c r="L54" s="181">
        <f>L53-$L$65</f>
        <v>27900</v>
      </c>
      <c r="M54" s="177" t="s">
        <v>1414</v>
      </c>
      <c r="N54" s="181">
        <f>N53-$L$66</f>
        <v>10752.5</v>
      </c>
      <c r="O54" s="177" t="s">
        <v>1410</v>
      </c>
      <c r="P54" s="177"/>
      <c r="Q54" s="177"/>
      <c r="R54" s="177"/>
      <c r="S54" s="180"/>
      <c r="U54" s="169" t="s">
        <v>1201</v>
      </c>
      <c r="V54" s="170">
        <v>2515.38</v>
      </c>
      <c r="W54" s="171">
        <v>875.95</v>
      </c>
    </row>
    <row r="55" spans="1:23">
      <c r="A55" s="169" t="s">
        <v>1200</v>
      </c>
      <c r="B55" s="170">
        <v>25029.200000000001</v>
      </c>
      <c r="C55" s="170">
        <v>2713.83</v>
      </c>
      <c r="D55" s="170">
        <v>7273.01</v>
      </c>
      <c r="H55" s="176" t="s">
        <v>1404</v>
      </c>
      <c r="I55" s="177" t="s">
        <v>1408</v>
      </c>
      <c r="J55" s="181">
        <f>J54-$L$64</f>
        <v>3046.875</v>
      </c>
      <c r="K55" s="177" t="s">
        <v>1417</v>
      </c>
      <c r="L55" s="181">
        <f>L54-$L$65</f>
        <v>26350</v>
      </c>
      <c r="M55" s="177" t="s">
        <v>1415</v>
      </c>
      <c r="N55" s="181">
        <f>N54-$L$66</f>
        <v>9803.75</v>
      </c>
      <c r="O55" s="177" t="s">
        <v>1411</v>
      </c>
      <c r="P55" s="177"/>
      <c r="Q55" s="177"/>
      <c r="R55" s="177"/>
      <c r="S55" s="180"/>
      <c r="U55" s="169" t="s">
        <v>1200</v>
      </c>
      <c r="V55" s="170">
        <v>2445.85</v>
      </c>
      <c r="W55" s="171">
        <v>871.09</v>
      </c>
    </row>
    <row r="56" spans="1:23">
      <c r="A56" s="169" t="s">
        <v>1199</v>
      </c>
      <c r="B56" s="170">
        <v>26149.39</v>
      </c>
      <c r="C56" s="170">
        <v>2823.81</v>
      </c>
      <c r="D56" s="170">
        <v>7411.48</v>
      </c>
      <c r="H56" s="176" t="s">
        <v>1406</v>
      </c>
      <c r="I56" s="177" t="s">
        <v>1408</v>
      </c>
      <c r="J56" s="181">
        <f>J55-$L$64</f>
        <v>2812.5</v>
      </c>
      <c r="K56" s="177" t="s">
        <v>1417</v>
      </c>
      <c r="L56" s="181">
        <f>L55-$L$65</f>
        <v>24800</v>
      </c>
      <c r="M56" s="177" t="s">
        <v>1415</v>
      </c>
      <c r="N56" s="181">
        <f>N55-$L$66</f>
        <v>8855</v>
      </c>
      <c r="O56" s="177" t="s">
        <v>1411</v>
      </c>
      <c r="P56" s="177"/>
      <c r="Q56" s="177"/>
      <c r="R56" s="177"/>
      <c r="S56" s="180"/>
      <c r="U56" s="169" t="s">
        <v>1199</v>
      </c>
      <c r="V56" s="170">
        <v>2427.36</v>
      </c>
      <c r="W56" s="171">
        <v>857.06</v>
      </c>
    </row>
    <row r="57" spans="1:23">
      <c r="A57" s="169" t="s">
        <v>1186</v>
      </c>
      <c r="B57" s="170">
        <v>24719.22</v>
      </c>
      <c r="C57" s="170">
        <v>2673.61</v>
      </c>
      <c r="D57" s="170">
        <v>6903.39</v>
      </c>
      <c r="H57" s="176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80"/>
      <c r="U57" s="169" t="s">
        <v>1186</v>
      </c>
      <c r="V57" s="170">
        <v>2566.46</v>
      </c>
      <c r="W57" s="171">
        <v>913.57</v>
      </c>
    </row>
    <row r="58" spans="1:23">
      <c r="A58" s="169" t="s">
        <v>1185</v>
      </c>
      <c r="B58" s="170">
        <v>24272.35</v>
      </c>
      <c r="C58" s="170">
        <v>2647.58</v>
      </c>
      <c r="D58" s="170">
        <v>6873.97</v>
      </c>
      <c r="H58" s="176"/>
      <c r="I58" s="177"/>
      <c r="J58" s="177"/>
      <c r="K58" s="177"/>
      <c r="L58" s="177"/>
      <c r="N58" s="177"/>
      <c r="O58" s="177"/>
      <c r="P58" s="201" t="s">
        <v>1439</v>
      </c>
      <c r="Q58" s="201" t="s">
        <v>1439</v>
      </c>
      <c r="R58" s="201" t="s">
        <v>1401</v>
      </c>
      <c r="S58" s="180"/>
      <c r="U58" s="169" t="s">
        <v>1185</v>
      </c>
      <c r="V58" s="170">
        <v>2467.4899999999998</v>
      </c>
      <c r="W58" s="171">
        <v>798.42</v>
      </c>
    </row>
    <row r="59" spans="1:23">
      <c r="A59" s="169" t="s">
        <v>1184</v>
      </c>
      <c r="B59" s="170">
        <v>23377.24</v>
      </c>
      <c r="C59" s="170">
        <v>2575.2600000000002</v>
      </c>
      <c r="D59" s="170">
        <v>6727.67</v>
      </c>
      <c r="H59" s="176"/>
      <c r="I59" s="182">
        <v>0.2</v>
      </c>
      <c r="J59" s="183">
        <f>J$50*$I59</f>
        <v>300</v>
      </c>
      <c r="K59" s="177"/>
      <c r="L59" s="183">
        <f>L$50*$I59</f>
        <v>100</v>
      </c>
      <c r="M59" s="177"/>
      <c r="N59" s="191">
        <f>N$50*$I59</f>
        <v>200</v>
      </c>
      <c r="O59" s="196" t="s">
        <v>1429</v>
      </c>
      <c r="P59" s="177"/>
      <c r="Q59" s="177"/>
      <c r="R59" s="56">
        <f>R50*0.3</f>
        <v>450</v>
      </c>
      <c r="S59" s="180"/>
      <c r="U59" s="169" t="s">
        <v>1184</v>
      </c>
      <c r="V59" s="170">
        <v>2476.37</v>
      </c>
      <c r="W59" s="171">
        <v>771.42</v>
      </c>
    </row>
    <row r="60" spans="1:23">
      <c r="A60" s="169" t="s">
        <v>1195</v>
      </c>
      <c r="B60" s="170">
        <v>22405.09</v>
      </c>
      <c r="C60" s="170">
        <v>2519.36</v>
      </c>
      <c r="D60" s="170">
        <v>6495.96</v>
      </c>
      <c r="H60" s="176"/>
      <c r="I60" s="182">
        <v>0.25</v>
      </c>
      <c r="J60" s="183">
        <f>J$50*$I60</f>
        <v>375</v>
      </c>
      <c r="K60" s="177"/>
      <c r="L60" s="183">
        <f t="shared" ref="L60:L62" si="0">L$50*$I60</f>
        <v>125</v>
      </c>
      <c r="M60" s="177"/>
      <c r="N60" s="183">
        <f>N$50*$I60</f>
        <v>250</v>
      </c>
      <c r="O60" s="177"/>
      <c r="P60" s="181">
        <f>P50*0.4</f>
        <v>100</v>
      </c>
      <c r="Q60" s="181">
        <f>Q50*0.4</f>
        <v>100</v>
      </c>
      <c r="R60" s="181">
        <f>R50*0.4</f>
        <v>600</v>
      </c>
      <c r="S60" s="184"/>
      <c r="U60" s="169" t="s">
        <v>1195</v>
      </c>
      <c r="V60" s="170">
        <v>2523.4299999999998</v>
      </c>
      <c r="W60" s="171">
        <v>694.2</v>
      </c>
    </row>
    <row r="61" spans="1:23">
      <c r="A61" s="169" t="s">
        <v>1194</v>
      </c>
      <c r="B61" s="170">
        <v>21948.1</v>
      </c>
      <c r="C61" s="170">
        <v>2471.65</v>
      </c>
      <c r="D61" s="170">
        <v>6428.66</v>
      </c>
      <c r="H61" s="176"/>
      <c r="I61" s="182">
        <v>0.25</v>
      </c>
      <c r="J61" s="183">
        <f>J$50*$I61</f>
        <v>375</v>
      </c>
      <c r="K61" s="177"/>
      <c r="L61" s="183">
        <f t="shared" si="0"/>
        <v>125</v>
      </c>
      <c r="M61" s="177"/>
      <c r="N61" s="183">
        <f>N$50*$I61</f>
        <v>250</v>
      </c>
      <c r="O61" s="177"/>
      <c r="P61" s="181">
        <f>P50*0.6</f>
        <v>150</v>
      </c>
      <c r="Q61" s="181">
        <f>Q50*0.6</f>
        <v>150</v>
      </c>
      <c r="R61" s="181">
        <f>R50*0.3</f>
        <v>450</v>
      </c>
      <c r="S61" s="184"/>
      <c r="U61" s="169" t="s">
        <v>1194</v>
      </c>
      <c r="V61" s="170">
        <v>2394.4699999999998</v>
      </c>
      <c r="W61" s="171">
        <v>652.82000000000005</v>
      </c>
    </row>
    <row r="62" spans="1:23" ht="19" thickBot="1">
      <c r="A62" s="169" t="s">
        <v>1193</v>
      </c>
      <c r="B62" s="170">
        <v>21891.119999999999</v>
      </c>
      <c r="C62" s="170">
        <v>2470.3000000000002</v>
      </c>
      <c r="D62" s="170">
        <v>6348.12</v>
      </c>
      <c r="H62" s="185"/>
      <c r="I62" s="186">
        <v>0.3</v>
      </c>
      <c r="J62" s="187">
        <f>J$50*$I62</f>
        <v>450</v>
      </c>
      <c r="K62" s="188"/>
      <c r="L62" s="187">
        <f t="shared" si="0"/>
        <v>150</v>
      </c>
      <c r="M62" s="188"/>
      <c r="N62" s="187">
        <f>N$50*$I62</f>
        <v>300</v>
      </c>
      <c r="O62" s="188"/>
      <c r="P62" s="188"/>
      <c r="Q62" s="188"/>
      <c r="R62" s="188"/>
      <c r="S62" s="189"/>
      <c r="U62" s="169" t="s">
        <v>1193</v>
      </c>
      <c r="V62" s="170">
        <v>2363.19</v>
      </c>
      <c r="W62" s="171">
        <v>657.83</v>
      </c>
    </row>
    <row r="63" spans="1:23">
      <c r="A63" s="169" t="s">
        <v>1192</v>
      </c>
      <c r="B63" s="170">
        <v>21349.63</v>
      </c>
      <c r="C63" s="170">
        <v>2423.41</v>
      </c>
      <c r="D63" s="170">
        <v>6140.42</v>
      </c>
      <c r="I63" s="213" t="s">
        <v>1422</v>
      </c>
      <c r="J63" s="213" t="s">
        <v>1462</v>
      </c>
      <c r="L63" s="213" t="s">
        <v>1405</v>
      </c>
      <c r="N63" s="219" t="s">
        <v>1469</v>
      </c>
      <c r="U63" s="169" t="s">
        <v>1192</v>
      </c>
      <c r="V63" s="170">
        <v>2402.71</v>
      </c>
      <c r="W63" s="171">
        <v>650.47</v>
      </c>
    </row>
    <row r="64" spans="1:23">
      <c r="A64" s="169" t="s">
        <v>1191</v>
      </c>
      <c r="B64" s="170">
        <v>21008.65</v>
      </c>
      <c r="C64" s="170">
        <v>2411.8000000000002</v>
      </c>
      <c r="D64" s="170">
        <v>6198.52</v>
      </c>
      <c r="H64" s="167" t="s">
        <v>1401</v>
      </c>
      <c r="I64" s="56">
        <v>3750</v>
      </c>
      <c r="J64" s="56">
        <f>I64*K64</f>
        <v>2812.5</v>
      </c>
      <c r="K64" s="172">
        <v>0.75</v>
      </c>
      <c r="L64" s="56">
        <f>(I64-J64)/4</f>
        <v>234.375</v>
      </c>
      <c r="N64" s="56">
        <f>I64*O64</f>
        <v>4312.5</v>
      </c>
      <c r="O64" s="172">
        <v>1.1499999999999999</v>
      </c>
      <c r="U64" s="169" t="s">
        <v>1191</v>
      </c>
      <c r="V64" s="170">
        <v>2391.79</v>
      </c>
      <c r="W64" s="171">
        <v>669.04</v>
      </c>
    </row>
    <row r="65" spans="1:23">
      <c r="A65" s="169" t="s">
        <v>1190</v>
      </c>
      <c r="B65" s="170">
        <v>20940.509999999998</v>
      </c>
      <c r="C65" s="170">
        <v>2384.1999999999998</v>
      </c>
      <c r="D65" s="170">
        <v>6047.61</v>
      </c>
      <c r="H65" s="167" t="s">
        <v>1400</v>
      </c>
      <c r="I65" s="56">
        <v>31000</v>
      </c>
      <c r="J65" s="56">
        <f>I65*K65</f>
        <v>24800</v>
      </c>
      <c r="K65" s="172">
        <v>0.8</v>
      </c>
      <c r="L65" s="56">
        <f>(I65-J65)/4</f>
        <v>1550</v>
      </c>
      <c r="N65" s="56">
        <f t="shared" ref="N65:N66" si="1">I65*O65</f>
        <v>34100</v>
      </c>
      <c r="O65" s="172">
        <v>1.1000000000000001</v>
      </c>
      <c r="U65" s="169" t="s">
        <v>1190</v>
      </c>
      <c r="V65" s="170">
        <v>2347.38</v>
      </c>
      <c r="W65" s="171">
        <v>652.04</v>
      </c>
    </row>
    <row r="66" spans="1:23">
      <c r="A66" s="169" t="s">
        <v>1189</v>
      </c>
      <c r="B66" s="170">
        <v>20663.22</v>
      </c>
      <c r="C66" s="170">
        <v>2362.7199999999998</v>
      </c>
      <c r="D66" s="170">
        <v>5911.74</v>
      </c>
      <c r="H66" s="199" t="s">
        <v>1437</v>
      </c>
      <c r="I66" s="56">
        <v>12650</v>
      </c>
      <c r="J66" s="56">
        <f>I66*K66</f>
        <v>8855</v>
      </c>
      <c r="K66" s="172">
        <v>0.7</v>
      </c>
      <c r="L66" s="56">
        <f>(I66-J66)/4</f>
        <v>948.75</v>
      </c>
      <c r="N66" s="56">
        <f t="shared" si="1"/>
        <v>14547.499999999998</v>
      </c>
      <c r="O66" s="172">
        <v>1.1499999999999999</v>
      </c>
      <c r="U66" s="169" t="s">
        <v>1189</v>
      </c>
      <c r="V66" s="170">
        <v>2205.44</v>
      </c>
      <c r="W66" s="171">
        <v>628.24</v>
      </c>
    </row>
    <row r="67" spans="1:23">
      <c r="A67" s="169" t="s">
        <v>1188</v>
      </c>
      <c r="B67" s="170">
        <v>20812.240000000002</v>
      </c>
      <c r="C67" s="170">
        <v>2363.64</v>
      </c>
      <c r="D67" s="170">
        <v>5825.44</v>
      </c>
      <c r="U67" s="169" t="s">
        <v>1188</v>
      </c>
      <c r="V67" s="170">
        <v>2160.23</v>
      </c>
      <c r="W67" s="171">
        <v>619.28</v>
      </c>
    </row>
    <row r="68" spans="1:23">
      <c r="A68" s="169" t="s">
        <v>1187</v>
      </c>
      <c r="B68" s="170">
        <v>19864.09</v>
      </c>
      <c r="C68" s="170">
        <v>2278.87</v>
      </c>
      <c r="D68" s="170">
        <v>5614.79</v>
      </c>
      <c r="U68" s="169" t="s">
        <v>1187</v>
      </c>
      <c r="V68" s="170">
        <v>2091.64</v>
      </c>
      <c r="W68" s="171">
        <v>612.20000000000005</v>
      </c>
    </row>
    <row r="69" spans="1:23">
      <c r="A69" s="169" t="s">
        <v>1174</v>
      </c>
      <c r="B69" s="170">
        <v>19762.599999999999</v>
      </c>
      <c r="C69" s="170">
        <v>2238.83</v>
      </c>
      <c r="D69" s="170">
        <v>5383.12</v>
      </c>
      <c r="U69" s="169" t="s">
        <v>1174</v>
      </c>
      <c r="V69" s="170">
        <v>2067.5700000000002</v>
      </c>
      <c r="W69" s="171">
        <v>616.13</v>
      </c>
    </row>
    <row r="70" spans="1:23">
      <c r="A70" s="169" t="s">
        <v>1173</v>
      </c>
      <c r="B70" s="170">
        <v>19123.580000000002</v>
      </c>
      <c r="C70" s="170">
        <v>2198.81</v>
      </c>
      <c r="D70" s="170">
        <v>5323.68</v>
      </c>
      <c r="U70" s="169" t="s">
        <v>1173</v>
      </c>
      <c r="V70" s="170">
        <v>2026.46</v>
      </c>
      <c r="W70" s="171">
        <v>631.44000000000005</v>
      </c>
    </row>
    <row r="71" spans="1:23">
      <c r="A71" s="169" t="s">
        <v>1172</v>
      </c>
      <c r="B71" s="170">
        <v>18142.419999999998</v>
      </c>
      <c r="C71" s="170">
        <v>2126.15</v>
      </c>
      <c r="D71" s="170">
        <v>5189.1400000000003</v>
      </c>
      <c r="U71" s="169" t="s">
        <v>1172</v>
      </c>
      <c r="V71" s="170">
        <v>1983.48</v>
      </c>
      <c r="W71" s="171">
        <v>596.11</v>
      </c>
    </row>
    <row r="72" spans="1:23">
      <c r="A72" s="169" t="s">
        <v>1183</v>
      </c>
      <c r="B72" s="170">
        <v>18308.150000000001</v>
      </c>
      <c r="C72" s="170">
        <v>2168.27</v>
      </c>
      <c r="D72" s="170">
        <v>5312</v>
      </c>
      <c r="U72" s="169" t="s">
        <v>1183</v>
      </c>
      <c r="V72" s="170">
        <v>2008.19</v>
      </c>
      <c r="W72" s="171">
        <v>624.67999999999995</v>
      </c>
    </row>
    <row r="73" spans="1:23">
      <c r="A73" s="169" t="s">
        <v>1182</v>
      </c>
      <c r="B73" s="170">
        <v>18400.88</v>
      </c>
      <c r="C73" s="170">
        <v>2170.9499999999998</v>
      </c>
      <c r="D73" s="170">
        <v>5213.22</v>
      </c>
      <c r="U73" s="169" t="s">
        <v>1182</v>
      </c>
      <c r="V73" s="170">
        <v>2043.63</v>
      </c>
      <c r="W73" s="171">
        <v>681.21</v>
      </c>
    </row>
    <row r="74" spans="1:23">
      <c r="A74" s="169" t="s">
        <v>1181</v>
      </c>
      <c r="B74" s="170">
        <v>18432.240000000002</v>
      </c>
      <c r="C74" s="170">
        <v>2173.6</v>
      </c>
      <c r="D74" s="170">
        <v>5162.13</v>
      </c>
      <c r="U74" s="169" t="s">
        <v>1181</v>
      </c>
      <c r="V74" s="170">
        <v>2034.65</v>
      </c>
      <c r="W74" s="171">
        <v>663.69</v>
      </c>
    </row>
    <row r="75" spans="1:23">
      <c r="A75" s="169" t="s">
        <v>1180</v>
      </c>
      <c r="B75" s="170">
        <v>17929.990000000002</v>
      </c>
      <c r="C75" s="170">
        <v>2098.86</v>
      </c>
      <c r="D75" s="170">
        <v>4842.67</v>
      </c>
      <c r="U75" s="169" t="s">
        <v>1180</v>
      </c>
      <c r="V75" s="170">
        <v>2016.19</v>
      </c>
      <c r="W75" s="171">
        <v>706.24</v>
      </c>
    </row>
    <row r="76" spans="1:23">
      <c r="A76" s="169" t="s">
        <v>1179</v>
      </c>
      <c r="B76" s="170">
        <v>17787.2</v>
      </c>
      <c r="C76" s="170">
        <v>2096.96</v>
      </c>
      <c r="D76" s="170">
        <v>4948.0600000000004</v>
      </c>
      <c r="U76" s="169" t="s">
        <v>1179</v>
      </c>
      <c r="V76" s="170">
        <v>1970.35</v>
      </c>
      <c r="W76" s="171">
        <v>675.09</v>
      </c>
    </row>
    <row r="77" spans="1:23">
      <c r="A77" s="169" t="s">
        <v>1178</v>
      </c>
      <c r="B77" s="170">
        <v>17773.64</v>
      </c>
      <c r="C77" s="170">
        <v>2065.3000000000002</v>
      </c>
      <c r="D77" s="170">
        <v>4775.3599999999997</v>
      </c>
      <c r="F77" s="195"/>
      <c r="U77" s="169" t="s">
        <v>1178</v>
      </c>
      <c r="V77" s="170">
        <v>1983.4</v>
      </c>
      <c r="W77" s="171">
        <v>698.45</v>
      </c>
    </row>
    <row r="78" spans="1:23">
      <c r="A78" s="169" t="s">
        <v>1177</v>
      </c>
      <c r="B78" s="170">
        <v>17685.09</v>
      </c>
      <c r="C78" s="170">
        <v>2059.7399999999998</v>
      </c>
      <c r="D78" s="170">
        <v>4869.8500000000004</v>
      </c>
      <c r="F78" s="195"/>
      <c r="U78" s="169" t="s">
        <v>1177</v>
      </c>
      <c r="V78" s="170">
        <v>1994.15</v>
      </c>
      <c r="W78" s="171">
        <v>699.77</v>
      </c>
    </row>
    <row r="79" spans="1:23">
      <c r="A79" s="169" t="s">
        <v>1176</v>
      </c>
      <c r="B79" s="170">
        <v>16516.5</v>
      </c>
      <c r="C79" s="170">
        <v>1932.23</v>
      </c>
      <c r="D79" s="170">
        <v>4557.95</v>
      </c>
      <c r="U79" s="169" t="s">
        <v>1176</v>
      </c>
      <c r="V79" s="170">
        <v>1995.85</v>
      </c>
      <c r="W79" s="171">
        <v>688.38</v>
      </c>
    </row>
    <row r="80" spans="1:23">
      <c r="A80" s="169" t="s">
        <v>1175</v>
      </c>
      <c r="B80" s="170">
        <v>16466.3</v>
      </c>
      <c r="C80" s="170">
        <v>1940.24</v>
      </c>
      <c r="D80" s="170">
        <v>4613.95</v>
      </c>
      <c r="U80" s="169" t="s">
        <v>1175</v>
      </c>
      <c r="V80" s="170">
        <v>1916.66</v>
      </c>
      <c r="W80" s="171">
        <v>651.62</v>
      </c>
    </row>
    <row r="81" spans="1:23">
      <c r="A81" s="169" t="s">
        <v>1162</v>
      </c>
      <c r="B81" s="170">
        <v>17425.03</v>
      </c>
      <c r="C81" s="170">
        <v>2043.94</v>
      </c>
      <c r="D81" s="170">
        <v>5007.41</v>
      </c>
      <c r="U81" s="169" t="s">
        <v>1162</v>
      </c>
      <c r="V81" s="170">
        <v>1912.06</v>
      </c>
      <c r="W81" s="171">
        <v>682.8</v>
      </c>
    </row>
    <row r="82" spans="1:23">
      <c r="A82" s="169" t="s">
        <v>1161</v>
      </c>
      <c r="B82" s="170">
        <v>17719.919999999998</v>
      </c>
      <c r="C82" s="170">
        <v>2080.41</v>
      </c>
      <c r="D82" s="170">
        <v>5108.67</v>
      </c>
      <c r="U82" s="169" t="s">
        <v>1161</v>
      </c>
      <c r="V82" s="170">
        <v>1961.31</v>
      </c>
      <c r="W82" s="171">
        <v>682.35</v>
      </c>
    </row>
    <row r="83" spans="1:23">
      <c r="A83" s="169" t="s">
        <v>1160</v>
      </c>
      <c r="B83" s="170">
        <v>17663.54</v>
      </c>
      <c r="C83" s="170">
        <v>2079.36</v>
      </c>
      <c r="D83" s="170">
        <v>5053.75</v>
      </c>
      <c r="U83" s="169" t="s">
        <v>1160</v>
      </c>
      <c r="V83" s="170">
        <v>1991.97</v>
      </c>
      <c r="W83" s="171">
        <v>688.38</v>
      </c>
    </row>
    <row r="84" spans="1:23">
      <c r="A84" s="169" t="s">
        <v>1171</v>
      </c>
      <c r="B84" s="170">
        <v>16284.7</v>
      </c>
      <c r="C84" s="170">
        <v>1920.03</v>
      </c>
      <c r="D84" s="170">
        <v>4620.16</v>
      </c>
      <c r="U84" s="169" t="s">
        <v>1171</v>
      </c>
      <c r="V84" s="170">
        <v>2029.47</v>
      </c>
      <c r="W84" s="171">
        <v>683.63</v>
      </c>
    </row>
    <row r="85" spans="1:23">
      <c r="A85" s="169" t="s">
        <v>1170</v>
      </c>
      <c r="B85" s="170">
        <v>16528.03</v>
      </c>
      <c r="C85" s="170">
        <v>1972.18</v>
      </c>
      <c r="D85" s="170">
        <v>4776.51</v>
      </c>
      <c r="U85" s="169" t="s">
        <v>1170</v>
      </c>
      <c r="V85" s="170">
        <v>1962.81</v>
      </c>
      <c r="W85" s="171">
        <v>678.48</v>
      </c>
    </row>
    <row r="86" spans="1:23">
      <c r="A86" s="169" t="s">
        <v>1169</v>
      </c>
      <c r="B86" s="170">
        <v>17689.86</v>
      </c>
      <c r="C86" s="170">
        <v>2103.84</v>
      </c>
      <c r="D86" s="170">
        <v>5128.28</v>
      </c>
      <c r="U86" s="169" t="s">
        <v>1169</v>
      </c>
      <c r="V86" s="170">
        <v>1941.49</v>
      </c>
      <c r="W86" s="171">
        <v>687.11</v>
      </c>
    </row>
    <row r="87" spans="1:23">
      <c r="A87" s="169" t="s">
        <v>1168</v>
      </c>
      <c r="B87" s="170">
        <v>17619.509999999998</v>
      </c>
      <c r="C87" s="170">
        <v>2063.11</v>
      </c>
      <c r="D87" s="170">
        <v>4986.87</v>
      </c>
      <c r="U87" s="169" t="s">
        <v>1168</v>
      </c>
      <c r="V87" s="170">
        <v>2030.16</v>
      </c>
      <c r="W87" s="171">
        <v>725.06</v>
      </c>
    </row>
    <row r="88" spans="1:23">
      <c r="A88" s="169" t="s">
        <v>1167</v>
      </c>
      <c r="B88" s="170">
        <v>18010.68</v>
      </c>
      <c r="C88" s="170">
        <v>2107.39</v>
      </c>
      <c r="D88" s="170">
        <v>5070.0200000000004</v>
      </c>
      <c r="U88" s="169" t="s">
        <v>1167</v>
      </c>
      <c r="V88" s="170">
        <v>2074.1999999999998</v>
      </c>
      <c r="W88" s="171">
        <v>742.27</v>
      </c>
    </row>
    <row r="89" spans="1:23">
      <c r="A89" s="169" t="s">
        <v>1166</v>
      </c>
      <c r="B89" s="170">
        <v>17840.52</v>
      </c>
      <c r="C89" s="170">
        <v>2085.5100000000002</v>
      </c>
      <c r="D89" s="170">
        <v>4941.42</v>
      </c>
      <c r="U89" s="169" t="s">
        <v>1166</v>
      </c>
      <c r="V89" s="170">
        <v>2114.8000000000002</v>
      </c>
      <c r="W89" s="171">
        <v>711.39</v>
      </c>
    </row>
    <row r="90" spans="1:23">
      <c r="A90" s="169" t="s">
        <v>1165</v>
      </c>
      <c r="B90" s="170">
        <v>17776.12</v>
      </c>
      <c r="C90" s="170">
        <v>2067.89</v>
      </c>
      <c r="D90" s="170">
        <v>4900.88</v>
      </c>
      <c r="U90" s="169" t="s">
        <v>1165</v>
      </c>
      <c r="V90" s="170">
        <v>2127.17</v>
      </c>
      <c r="W90" s="171">
        <v>689.01</v>
      </c>
    </row>
    <row r="91" spans="1:23">
      <c r="A91" s="169" t="s">
        <v>1164</v>
      </c>
      <c r="B91" s="170">
        <v>18132.7</v>
      </c>
      <c r="C91" s="170">
        <v>2104.5</v>
      </c>
      <c r="D91" s="170">
        <v>4963.53</v>
      </c>
      <c r="U91" s="169" t="s">
        <v>1164</v>
      </c>
      <c r="V91" s="170">
        <v>2041.03</v>
      </c>
      <c r="W91" s="171">
        <v>650.49</v>
      </c>
    </row>
    <row r="92" spans="1:23">
      <c r="A92" s="169" t="s">
        <v>1163</v>
      </c>
      <c r="B92" s="170">
        <v>17164.95</v>
      </c>
      <c r="C92" s="170">
        <v>1994.99</v>
      </c>
      <c r="D92" s="170">
        <v>4635.24</v>
      </c>
      <c r="U92" s="169" t="s">
        <v>1163</v>
      </c>
      <c r="V92" s="170">
        <v>1985.8</v>
      </c>
      <c r="W92" s="171">
        <v>624.55999999999995</v>
      </c>
    </row>
    <row r="93" spans="1:23">
      <c r="A93" s="169" t="s">
        <v>1150</v>
      </c>
      <c r="B93" s="170">
        <v>17823.07</v>
      </c>
      <c r="C93" s="170">
        <v>2058.9</v>
      </c>
      <c r="D93" s="170">
        <v>4736.05</v>
      </c>
      <c r="U93" s="169" t="s">
        <v>1150</v>
      </c>
      <c r="V93" s="170">
        <v>1949.26</v>
      </c>
      <c r="W93" s="171">
        <v>591.58000000000004</v>
      </c>
    </row>
    <row r="94" spans="1:23">
      <c r="A94" s="169" t="s">
        <v>1149</v>
      </c>
      <c r="B94" s="170">
        <v>17828.240000000002</v>
      </c>
      <c r="C94" s="170">
        <v>2067.56</v>
      </c>
      <c r="D94" s="170">
        <v>4791.63</v>
      </c>
      <c r="U94" s="169" t="s">
        <v>1149</v>
      </c>
      <c r="V94" s="170">
        <v>1915.59</v>
      </c>
      <c r="W94" s="171">
        <v>542.97</v>
      </c>
    </row>
    <row r="95" spans="1:23">
      <c r="A95" s="169" t="s">
        <v>1148</v>
      </c>
      <c r="B95" s="170">
        <v>17390.52</v>
      </c>
      <c r="C95" s="170">
        <v>2018.05</v>
      </c>
      <c r="D95" s="170">
        <v>4630.74</v>
      </c>
      <c r="U95" s="169" t="s">
        <v>1148</v>
      </c>
      <c r="V95" s="170">
        <v>1980.78</v>
      </c>
      <c r="W95" s="171">
        <v>545.08000000000004</v>
      </c>
    </row>
    <row r="96" spans="1:23">
      <c r="A96" s="169" t="s">
        <v>1159</v>
      </c>
      <c r="B96" s="170">
        <v>17042.900000000001</v>
      </c>
      <c r="C96" s="170">
        <v>1972.29</v>
      </c>
      <c r="D96" s="170">
        <v>4493.3900000000003</v>
      </c>
      <c r="U96" s="169" t="s">
        <v>1159</v>
      </c>
      <c r="V96" s="170">
        <v>1964.43</v>
      </c>
      <c r="W96" s="171">
        <v>558.70000000000005</v>
      </c>
    </row>
    <row r="97" spans="1:23">
      <c r="A97" s="169" t="s">
        <v>1158</v>
      </c>
      <c r="B97" s="170">
        <v>17098.45</v>
      </c>
      <c r="C97" s="170">
        <v>2003.37</v>
      </c>
      <c r="D97" s="170">
        <v>4580.2700000000004</v>
      </c>
      <c r="U97" s="169" t="s">
        <v>1158</v>
      </c>
      <c r="V97" s="170">
        <v>2020.09</v>
      </c>
      <c r="W97" s="171">
        <v>573.22</v>
      </c>
    </row>
    <row r="98" spans="1:23">
      <c r="A98" s="169" t="s">
        <v>1157</v>
      </c>
      <c r="B98" s="170">
        <v>16563.3</v>
      </c>
      <c r="C98" s="170">
        <v>1930.67</v>
      </c>
      <c r="D98" s="170">
        <v>4369.7700000000004</v>
      </c>
      <c r="U98" s="169" t="s">
        <v>1157</v>
      </c>
      <c r="V98" s="170">
        <v>2068.54</v>
      </c>
      <c r="W98" s="171">
        <v>570.20000000000005</v>
      </c>
    </row>
    <row r="99" spans="1:23">
      <c r="A99" s="169" t="s">
        <v>1156</v>
      </c>
      <c r="B99" s="170">
        <v>16826.599999999999</v>
      </c>
      <c r="C99" s="170">
        <v>1960.23</v>
      </c>
      <c r="D99" s="170">
        <v>4408.18</v>
      </c>
      <c r="U99" s="169" t="s">
        <v>1156</v>
      </c>
      <c r="V99" s="170">
        <v>2076.12</v>
      </c>
      <c r="W99" s="171">
        <v>536.32000000000005</v>
      </c>
    </row>
    <row r="100" spans="1:23">
      <c r="A100" s="169" t="s">
        <v>1155</v>
      </c>
      <c r="B100" s="170">
        <v>16717.169999999998</v>
      </c>
      <c r="C100" s="170">
        <v>1923.57</v>
      </c>
      <c r="D100" s="170">
        <v>4242.62</v>
      </c>
      <c r="U100" s="169" t="s">
        <v>1155</v>
      </c>
      <c r="V100" s="170">
        <v>2002.21</v>
      </c>
      <c r="W100" s="171">
        <v>537.05999999999995</v>
      </c>
    </row>
    <row r="101" spans="1:23">
      <c r="A101" s="169" t="s">
        <v>1154</v>
      </c>
      <c r="B101" s="170">
        <v>16580.84</v>
      </c>
      <c r="C101" s="170">
        <v>1883.95</v>
      </c>
      <c r="D101" s="170">
        <v>4114.5600000000004</v>
      </c>
      <c r="U101" s="169" t="s">
        <v>1154</v>
      </c>
      <c r="V101" s="170">
        <v>1994.96</v>
      </c>
      <c r="W101" s="171">
        <v>546.53</v>
      </c>
    </row>
    <row r="102" spans="1:23">
      <c r="A102" s="169" t="s">
        <v>1153</v>
      </c>
      <c r="B102" s="170">
        <v>16457.66</v>
      </c>
      <c r="C102" s="170">
        <v>1872.34</v>
      </c>
      <c r="D102" s="170">
        <v>4198.99</v>
      </c>
      <c r="U102" s="169" t="s">
        <v>1153</v>
      </c>
      <c r="V102" s="170">
        <v>1961.79</v>
      </c>
      <c r="W102" s="171">
        <v>559.34</v>
      </c>
    </row>
    <row r="103" spans="1:23">
      <c r="A103" s="169" t="s">
        <v>1152</v>
      </c>
      <c r="B103" s="170">
        <v>16321.71</v>
      </c>
      <c r="C103" s="170">
        <v>1859.45</v>
      </c>
      <c r="D103" s="170">
        <v>4308.12</v>
      </c>
      <c r="U103" s="169" t="s">
        <v>1152</v>
      </c>
      <c r="V103" s="170">
        <v>1985.61</v>
      </c>
      <c r="W103" s="171">
        <v>541.58000000000004</v>
      </c>
    </row>
    <row r="104" spans="1:23">
      <c r="A104" s="169" t="s">
        <v>1151</v>
      </c>
      <c r="B104" s="170">
        <v>15698.85</v>
      </c>
      <c r="C104" s="170">
        <v>1782.59</v>
      </c>
      <c r="D104" s="170">
        <v>4103.88</v>
      </c>
      <c r="U104" s="169" t="s">
        <v>1151</v>
      </c>
      <c r="V104" s="170">
        <v>1979.99</v>
      </c>
      <c r="W104" s="171">
        <v>528.96</v>
      </c>
    </row>
    <row r="105" spans="1:23">
      <c r="A105" s="169" t="s">
        <v>1138</v>
      </c>
      <c r="B105" s="170">
        <v>16576.66</v>
      </c>
      <c r="C105" s="170">
        <v>1848.36</v>
      </c>
      <c r="D105" s="170">
        <v>4176.59</v>
      </c>
      <c r="U105" s="169" t="s">
        <v>1138</v>
      </c>
      <c r="V105" s="170">
        <v>1941.15</v>
      </c>
      <c r="W105" s="171">
        <v>515.20000000000005</v>
      </c>
    </row>
    <row r="106" spans="1:23">
      <c r="A106" s="169" t="s">
        <v>1137</v>
      </c>
      <c r="B106" s="170">
        <v>16086.41</v>
      </c>
      <c r="C106" s="170">
        <v>1805.81</v>
      </c>
      <c r="D106" s="170">
        <v>4059.89</v>
      </c>
      <c r="U106" s="169" t="s">
        <v>1137</v>
      </c>
      <c r="V106" s="170">
        <v>2011.34</v>
      </c>
      <c r="W106" s="171">
        <v>499.99</v>
      </c>
    </row>
    <row r="107" spans="1:23">
      <c r="A107" s="169" t="s">
        <v>1136</v>
      </c>
      <c r="B107" s="170">
        <v>15545.75</v>
      </c>
      <c r="C107" s="170">
        <v>1756.54</v>
      </c>
      <c r="D107" s="170">
        <v>3919.71</v>
      </c>
      <c r="U107" s="169" t="s">
        <v>1136</v>
      </c>
      <c r="V107" s="170">
        <v>2044.87</v>
      </c>
      <c r="W107" s="171">
        <v>517.05999999999995</v>
      </c>
    </row>
    <row r="108" spans="1:23">
      <c r="A108" s="169" t="s">
        <v>1147</v>
      </c>
      <c r="B108" s="170">
        <v>15129.67</v>
      </c>
      <c r="C108" s="170">
        <v>1681.55</v>
      </c>
      <c r="D108" s="170">
        <v>3771.48</v>
      </c>
      <c r="U108" s="169" t="s">
        <v>1147</v>
      </c>
      <c r="V108" s="170">
        <v>2030.09</v>
      </c>
      <c r="W108" s="171">
        <v>532.44000000000005</v>
      </c>
    </row>
    <row r="109" spans="1:23">
      <c r="A109" s="169" t="s">
        <v>1146</v>
      </c>
      <c r="B109" s="170">
        <v>14810.31</v>
      </c>
      <c r="C109" s="170">
        <v>1632.97</v>
      </c>
      <c r="D109" s="170">
        <v>3589.87</v>
      </c>
      <c r="U109" s="169" t="s">
        <v>1146</v>
      </c>
      <c r="V109" s="170">
        <v>1996.96</v>
      </c>
      <c r="W109" s="171">
        <v>534.89</v>
      </c>
    </row>
    <row r="110" spans="1:23">
      <c r="A110" s="169" t="s">
        <v>1145</v>
      </c>
      <c r="B110" s="170">
        <v>15499.54</v>
      </c>
      <c r="C110" s="170">
        <v>1685.73</v>
      </c>
      <c r="D110" s="170">
        <v>3626.37</v>
      </c>
      <c r="U110" s="169" t="s">
        <v>1145</v>
      </c>
      <c r="V110" s="170">
        <v>1926.36</v>
      </c>
      <c r="W110" s="171">
        <v>516.74</v>
      </c>
    </row>
    <row r="111" spans="1:23">
      <c r="A111" s="169" t="s">
        <v>1144</v>
      </c>
      <c r="B111" s="170">
        <v>14909.6</v>
      </c>
      <c r="C111" s="170">
        <v>1606.28</v>
      </c>
      <c r="D111" s="170">
        <v>3403.25</v>
      </c>
      <c r="U111" s="169" t="s">
        <v>1144</v>
      </c>
      <c r="V111" s="170">
        <v>1914.03</v>
      </c>
      <c r="W111" s="171">
        <v>554.30999999999995</v>
      </c>
    </row>
    <row r="112" spans="1:23">
      <c r="A112" s="169" t="s">
        <v>1143</v>
      </c>
      <c r="B112" s="170">
        <v>15115.57</v>
      </c>
      <c r="C112" s="170">
        <v>1630.74</v>
      </c>
      <c r="D112" s="170">
        <v>3455.91</v>
      </c>
      <c r="U112" s="169" t="s">
        <v>1143</v>
      </c>
      <c r="V112" s="170">
        <v>1863.32</v>
      </c>
      <c r="W112" s="171">
        <v>519.05999999999995</v>
      </c>
    </row>
    <row r="113" spans="1:23">
      <c r="A113" s="169" t="s">
        <v>1142</v>
      </c>
      <c r="B113" s="170">
        <v>14839.8</v>
      </c>
      <c r="C113" s="170">
        <v>1597.57</v>
      </c>
      <c r="D113" s="170">
        <v>3328.79</v>
      </c>
      <c r="U113" s="169" t="s">
        <v>1142</v>
      </c>
      <c r="V113" s="170">
        <v>2001.05</v>
      </c>
      <c r="W113" s="171">
        <v>577.87</v>
      </c>
    </row>
    <row r="114" spans="1:23">
      <c r="A114" s="169" t="s">
        <v>1141</v>
      </c>
      <c r="B114" s="170">
        <v>14578.54</v>
      </c>
      <c r="C114" s="170">
        <v>1569.19</v>
      </c>
      <c r="D114" s="170">
        <v>3267.52</v>
      </c>
      <c r="U114" s="169" t="s">
        <v>1141</v>
      </c>
      <c r="V114" s="170">
        <v>1963.95</v>
      </c>
      <c r="W114" s="171">
        <v>563.87</v>
      </c>
    </row>
    <row r="115" spans="1:23">
      <c r="A115" s="169" t="s">
        <v>1140</v>
      </c>
      <c r="B115" s="170">
        <v>14054.49</v>
      </c>
      <c r="C115" s="170">
        <v>1514.68</v>
      </c>
      <c r="D115" s="170">
        <v>3160.19</v>
      </c>
      <c r="U115" s="169" t="s">
        <v>1140</v>
      </c>
      <c r="V115" s="170">
        <v>2004.89</v>
      </c>
      <c r="W115" s="171">
        <v>555.02</v>
      </c>
    </row>
    <row r="116" spans="1:23" ht="19" thickBot="1">
      <c r="A116" s="169" t="s">
        <v>1139</v>
      </c>
      <c r="B116" s="170">
        <v>13860.58</v>
      </c>
      <c r="C116" s="170">
        <v>1498.11</v>
      </c>
      <c r="D116" s="170">
        <v>3142.13</v>
      </c>
      <c r="U116" s="169" t="s">
        <v>1139</v>
      </c>
      <c r="V116" s="170">
        <v>2026.49</v>
      </c>
      <c r="W116" s="171">
        <v>535.87</v>
      </c>
    </row>
    <row r="117" spans="1:23">
      <c r="A117" s="169" t="s">
        <v>1126</v>
      </c>
      <c r="B117" s="170">
        <v>13104.14</v>
      </c>
      <c r="C117" s="170">
        <v>1426.19</v>
      </c>
      <c r="D117" s="170">
        <v>3019.51</v>
      </c>
      <c r="G117" s="220" t="s">
        <v>1468</v>
      </c>
      <c r="H117" s="221"/>
      <c r="I117" s="222">
        <v>5000</v>
      </c>
      <c r="J117" s="222">
        <f>$I$33*J118</f>
        <v>1750</v>
      </c>
      <c r="K117" s="222"/>
      <c r="L117" s="222">
        <f>$I$33*L118</f>
        <v>1250</v>
      </c>
      <c r="M117" s="222"/>
      <c r="N117" s="222">
        <f>$I$33*N118</f>
        <v>500</v>
      </c>
      <c r="O117" s="222">
        <f>$I$33*O118</f>
        <v>500</v>
      </c>
      <c r="P117" s="222">
        <f>$I$33*P118</f>
        <v>250</v>
      </c>
      <c r="Q117" s="222">
        <f>$I$33*Q118</f>
        <v>500</v>
      </c>
      <c r="R117" s="222">
        <f>$I$33*R118</f>
        <v>250</v>
      </c>
      <c r="S117" s="223"/>
      <c r="U117" s="169" t="s">
        <v>1126</v>
      </c>
      <c r="V117" s="170">
        <v>1961.94</v>
      </c>
      <c r="W117" s="171">
        <v>503.67</v>
      </c>
    </row>
    <row r="118" spans="1:23">
      <c r="A118" s="169" t="s">
        <v>1125</v>
      </c>
      <c r="B118" s="170">
        <v>13025.58</v>
      </c>
      <c r="C118" s="170">
        <v>1416.18</v>
      </c>
      <c r="D118" s="170">
        <v>3010.24</v>
      </c>
      <c r="G118" s="224"/>
      <c r="H118" s="225"/>
      <c r="I118" s="226"/>
      <c r="J118" s="227">
        <v>0.35</v>
      </c>
      <c r="K118" s="226"/>
      <c r="L118" s="227">
        <v>0.25</v>
      </c>
      <c r="M118" s="226"/>
      <c r="N118" s="227">
        <v>0.1</v>
      </c>
      <c r="O118" s="227">
        <v>0.1</v>
      </c>
      <c r="P118" s="227">
        <v>0.05</v>
      </c>
      <c r="Q118" s="227">
        <v>0.1</v>
      </c>
      <c r="R118" s="227">
        <v>0.05</v>
      </c>
      <c r="S118" s="228"/>
      <c r="U118" s="169" t="s">
        <v>1125</v>
      </c>
      <c r="V118" s="170">
        <v>1997.05</v>
      </c>
      <c r="W118" s="171">
        <v>496.32</v>
      </c>
    </row>
    <row r="119" spans="1:23">
      <c r="A119" s="169" t="s">
        <v>1124</v>
      </c>
      <c r="B119" s="170">
        <v>13096.46</v>
      </c>
      <c r="C119" s="170">
        <v>1412.16</v>
      </c>
      <c r="D119" s="170">
        <v>2977.23</v>
      </c>
      <c r="G119" s="224"/>
      <c r="H119" s="225"/>
      <c r="I119" s="226"/>
      <c r="J119" s="226" t="str">
        <f>H131</f>
        <v>코스피</v>
      </c>
      <c r="K119" s="226"/>
      <c r="L119" s="226" t="str">
        <f>H132</f>
        <v>코스닥</v>
      </c>
      <c r="M119" s="226"/>
      <c r="N119" s="226" t="s">
        <v>541</v>
      </c>
      <c r="O119" s="226" t="s">
        <v>499</v>
      </c>
      <c r="P119" s="226" t="s">
        <v>1423</v>
      </c>
      <c r="Q119" s="226" t="s">
        <v>398</v>
      </c>
      <c r="R119" s="226" t="s">
        <v>496</v>
      </c>
      <c r="S119" s="228"/>
      <c r="U119" s="169" t="s">
        <v>1124</v>
      </c>
      <c r="V119" s="170">
        <v>1932.9</v>
      </c>
      <c r="W119" s="171">
        <v>499.37</v>
      </c>
    </row>
    <row r="120" spans="1:23">
      <c r="A120" s="169" t="s">
        <v>1135</v>
      </c>
      <c r="B120" s="170">
        <v>13437.13</v>
      </c>
      <c r="C120" s="170">
        <v>1440.67</v>
      </c>
      <c r="D120" s="170">
        <v>3116.23</v>
      </c>
      <c r="G120" s="224"/>
      <c r="H120" s="225" t="s">
        <v>1402</v>
      </c>
      <c r="I120" s="226" t="s">
        <v>1409</v>
      </c>
      <c r="J120" s="229">
        <f>I131-$L$131</f>
        <v>2583</v>
      </c>
      <c r="K120" s="226" t="s">
        <v>1424</v>
      </c>
      <c r="L120" s="229">
        <f>I132-$L$132</f>
        <v>846</v>
      </c>
      <c r="M120" s="226" t="s">
        <v>1425</v>
      </c>
      <c r="N120" s="229"/>
      <c r="O120" s="226"/>
      <c r="P120" s="226"/>
      <c r="Q120" s="226"/>
      <c r="R120" s="226"/>
      <c r="S120" s="228"/>
      <c r="U120" s="169" t="s">
        <v>1135</v>
      </c>
      <c r="V120" s="170">
        <v>1912.06</v>
      </c>
      <c r="W120" s="171">
        <v>508.31</v>
      </c>
    </row>
    <row r="121" spans="1:23">
      <c r="A121" s="169" t="s">
        <v>1134</v>
      </c>
      <c r="B121" s="170">
        <v>13090.84</v>
      </c>
      <c r="C121" s="170">
        <v>1406.58</v>
      </c>
      <c r="D121" s="170">
        <v>3066.96</v>
      </c>
      <c r="G121" s="224"/>
      <c r="H121" s="225" t="s">
        <v>1403</v>
      </c>
      <c r="I121" s="226" t="s">
        <v>1407</v>
      </c>
      <c r="J121" s="229">
        <f>J120-$L$131</f>
        <v>2296</v>
      </c>
      <c r="K121" s="226" t="s">
        <v>762</v>
      </c>
      <c r="L121" s="229">
        <f>L120-$L$132</f>
        <v>752</v>
      </c>
      <c r="M121" s="226" t="s">
        <v>1426</v>
      </c>
      <c r="N121" s="229"/>
      <c r="O121" s="226"/>
      <c r="P121" s="226"/>
      <c r="Q121" s="226"/>
      <c r="R121" s="226"/>
      <c r="S121" s="228"/>
      <c r="U121" s="169" t="s">
        <v>1134</v>
      </c>
      <c r="V121" s="170">
        <v>1996.21</v>
      </c>
      <c r="W121" s="171">
        <v>523.78</v>
      </c>
    </row>
    <row r="122" spans="1:23">
      <c r="A122" s="169" t="s">
        <v>1133</v>
      </c>
      <c r="B122" s="170">
        <v>13008.68</v>
      </c>
      <c r="C122" s="170">
        <v>1379.32</v>
      </c>
      <c r="D122" s="170">
        <v>2939.52</v>
      </c>
      <c r="G122" s="224"/>
      <c r="H122" s="225" t="s">
        <v>1404</v>
      </c>
      <c r="I122" s="226" t="s">
        <v>1407</v>
      </c>
      <c r="J122" s="229">
        <f>J121-$L$131</f>
        <v>2009</v>
      </c>
      <c r="K122" s="226" t="s">
        <v>762</v>
      </c>
      <c r="L122" s="229">
        <f>L121-$L$132</f>
        <v>658</v>
      </c>
      <c r="M122" s="226"/>
      <c r="N122" s="229"/>
      <c r="O122" s="226"/>
      <c r="P122" s="226"/>
      <c r="Q122" s="226"/>
      <c r="R122" s="226"/>
      <c r="S122" s="228"/>
      <c r="U122" s="169" t="s">
        <v>1133</v>
      </c>
      <c r="V122" s="170">
        <v>1905.12</v>
      </c>
      <c r="W122" s="171">
        <v>508.35</v>
      </c>
    </row>
    <row r="123" spans="1:23">
      <c r="A123" s="169" t="s">
        <v>1132</v>
      </c>
      <c r="B123" s="170">
        <v>12880.09</v>
      </c>
      <c r="C123" s="170">
        <v>1362.16</v>
      </c>
      <c r="D123" s="170">
        <v>2935.05</v>
      </c>
      <c r="G123" s="224"/>
      <c r="H123" s="225" t="s">
        <v>1406</v>
      </c>
      <c r="I123" s="226" t="s">
        <v>1407</v>
      </c>
      <c r="J123" s="229">
        <f>J122-$L$131</f>
        <v>1722</v>
      </c>
      <c r="K123" s="226" t="s">
        <v>762</v>
      </c>
      <c r="L123" s="229">
        <f>L122-$L$132</f>
        <v>564</v>
      </c>
      <c r="M123" s="226"/>
      <c r="N123" s="229" t="s">
        <v>1420</v>
      </c>
      <c r="O123" s="230" t="s">
        <v>1420</v>
      </c>
      <c r="P123" s="231" t="s">
        <v>1420</v>
      </c>
      <c r="Q123" s="230" t="s">
        <v>1421</v>
      </c>
      <c r="R123" s="230" t="s">
        <v>1421</v>
      </c>
      <c r="S123" s="228"/>
      <c r="U123" s="169" t="s">
        <v>1132</v>
      </c>
      <c r="V123" s="170">
        <v>1881.99</v>
      </c>
      <c r="W123" s="171">
        <v>467.61</v>
      </c>
    </row>
    <row r="124" spans="1:23">
      <c r="A124" s="169" t="s">
        <v>1131</v>
      </c>
      <c r="B124" s="170">
        <v>12393.45</v>
      </c>
      <c r="C124" s="170">
        <v>1310.33</v>
      </c>
      <c r="D124" s="170">
        <v>2827.34</v>
      </c>
      <c r="G124" s="224"/>
      <c r="H124" s="225"/>
      <c r="I124" s="226"/>
      <c r="J124" s="232" t="s">
        <v>1434</v>
      </c>
      <c r="K124" s="226"/>
      <c r="L124" s="233" t="s">
        <v>1427</v>
      </c>
      <c r="M124" s="226"/>
      <c r="N124" s="234" t="s">
        <v>1438</v>
      </c>
      <c r="O124" s="226"/>
      <c r="P124" s="235" t="s">
        <v>1436</v>
      </c>
      <c r="Q124" s="235" t="s">
        <v>1435</v>
      </c>
      <c r="R124" s="235" t="s">
        <v>1428</v>
      </c>
      <c r="S124" s="228"/>
      <c r="U124" s="169" t="s">
        <v>1131</v>
      </c>
      <c r="V124" s="170">
        <v>1854.01</v>
      </c>
      <c r="W124" s="171">
        <v>489.16</v>
      </c>
    </row>
    <row r="125" spans="1:23">
      <c r="A125" s="169" t="s">
        <v>1130</v>
      </c>
      <c r="B125" s="170">
        <v>13213.63</v>
      </c>
      <c r="C125" s="170">
        <v>1397.91</v>
      </c>
      <c r="D125" s="170">
        <v>3046.36</v>
      </c>
      <c r="G125" s="224"/>
      <c r="H125" s="225"/>
      <c r="I125" s="236">
        <v>0.2</v>
      </c>
      <c r="J125" s="237">
        <f>J$117*$I125</f>
        <v>350</v>
      </c>
      <c r="K125" s="224"/>
      <c r="L125" s="237">
        <f>L$117*$I125</f>
        <v>250</v>
      </c>
      <c r="M125" s="224"/>
      <c r="N125" s="229">
        <f>N117*0.2</f>
        <v>100</v>
      </c>
      <c r="O125" s="229">
        <f>O117*0.2</f>
        <v>100</v>
      </c>
      <c r="P125" s="229">
        <f>P117*0.2</f>
        <v>50</v>
      </c>
      <c r="Q125" s="229">
        <f>Q117*0.2</f>
        <v>100</v>
      </c>
      <c r="R125" s="229">
        <f>R117*0.2</f>
        <v>50</v>
      </c>
      <c r="S125" s="238"/>
      <c r="U125" s="169" t="s">
        <v>1130</v>
      </c>
      <c r="V125" s="170">
        <v>1843.47</v>
      </c>
      <c r="W125" s="171">
        <v>471.94</v>
      </c>
    </row>
    <row r="126" spans="1:23">
      <c r="A126" s="169" t="s">
        <v>1129</v>
      </c>
      <c r="B126" s="170">
        <v>13212.04</v>
      </c>
      <c r="C126" s="170">
        <v>1408.47</v>
      </c>
      <c r="D126" s="170">
        <v>3091.57</v>
      </c>
      <c r="G126" s="224"/>
      <c r="H126" s="225"/>
      <c r="I126" s="224"/>
      <c r="J126" s="239" t="s">
        <v>1445</v>
      </c>
      <c r="K126" s="224"/>
      <c r="L126" s="240" t="s">
        <v>1442</v>
      </c>
      <c r="M126" s="224"/>
      <c r="N126" s="224"/>
      <c r="O126" s="224"/>
      <c r="P126" s="239" t="s">
        <v>1444</v>
      </c>
      <c r="Q126" s="241" t="s">
        <v>1440</v>
      </c>
      <c r="R126" s="241" t="s">
        <v>1441</v>
      </c>
      <c r="S126" s="238"/>
      <c r="U126" s="169" t="s">
        <v>1129</v>
      </c>
      <c r="V126" s="170">
        <v>1981.99</v>
      </c>
      <c r="W126" s="171">
        <v>478.89</v>
      </c>
    </row>
    <row r="127" spans="1:23">
      <c r="A127" s="169" t="s">
        <v>1128</v>
      </c>
      <c r="B127" s="170">
        <v>12952.07</v>
      </c>
      <c r="C127" s="170">
        <v>1365.68</v>
      </c>
      <c r="D127" s="170">
        <v>2966.89</v>
      </c>
      <c r="G127" s="224"/>
      <c r="H127" s="225"/>
      <c r="I127" s="236">
        <v>0.25</v>
      </c>
      <c r="J127" s="237">
        <f>J$117*$I127</f>
        <v>437.5</v>
      </c>
      <c r="K127" s="226"/>
      <c r="L127" s="237">
        <f>L$117*$I127</f>
        <v>312.5</v>
      </c>
      <c r="M127" s="224"/>
      <c r="N127" s="229">
        <f>N117*0.4</f>
        <v>200</v>
      </c>
      <c r="O127" s="229">
        <f>O117*0.4</f>
        <v>200</v>
      </c>
      <c r="P127" s="229">
        <f>P117*0.4</f>
        <v>100</v>
      </c>
      <c r="Q127" s="229">
        <f>Q117*0.4</f>
        <v>200</v>
      </c>
      <c r="R127" s="229">
        <f>R117*0.4</f>
        <v>100</v>
      </c>
      <c r="S127" s="228"/>
      <c r="U127" s="169" t="s">
        <v>1128</v>
      </c>
      <c r="V127" s="170">
        <v>2014.04</v>
      </c>
      <c r="W127" s="171">
        <v>519.55999999999995</v>
      </c>
    </row>
    <row r="128" spans="1:23">
      <c r="A128" s="169" t="s">
        <v>1127</v>
      </c>
      <c r="B128" s="170">
        <v>12632.91</v>
      </c>
      <c r="C128" s="170">
        <v>1312.41</v>
      </c>
      <c r="D128" s="170">
        <v>2813.84</v>
      </c>
      <c r="G128" s="224"/>
      <c r="H128" s="225"/>
      <c r="I128" s="236">
        <v>0.25</v>
      </c>
      <c r="J128" s="237">
        <f>J$117*$I128</f>
        <v>437.5</v>
      </c>
      <c r="K128" s="226"/>
      <c r="L128" s="237">
        <f>L$117*$I128</f>
        <v>312.5</v>
      </c>
      <c r="M128" s="226"/>
      <c r="N128" s="229">
        <f>N117*0.4</f>
        <v>200</v>
      </c>
      <c r="O128" s="229">
        <f>O117*0.4</f>
        <v>200</v>
      </c>
      <c r="P128" s="229">
        <f>P117*0.4</f>
        <v>100</v>
      </c>
      <c r="Q128" s="229">
        <f>Q117*0.4</f>
        <v>200</v>
      </c>
      <c r="R128" s="229">
        <f>R117*0.4</f>
        <v>100</v>
      </c>
      <c r="S128" s="228"/>
      <c r="U128" s="169" t="s">
        <v>1127</v>
      </c>
      <c r="V128" s="170">
        <v>2030.25</v>
      </c>
      <c r="W128" s="171">
        <v>542.29999999999995</v>
      </c>
    </row>
    <row r="129" spans="1:23" ht="19" thickBot="1">
      <c r="A129" s="169" t="s">
        <v>1114</v>
      </c>
      <c r="B129" s="170">
        <v>12217.56</v>
      </c>
      <c r="C129" s="170">
        <v>1257.5999999999999</v>
      </c>
      <c r="D129" s="170">
        <v>2605.15</v>
      </c>
      <c r="G129" s="224"/>
      <c r="H129" s="242"/>
      <c r="I129" s="243">
        <v>0.3</v>
      </c>
      <c r="J129" s="244">
        <f>J$117*$I129</f>
        <v>525</v>
      </c>
      <c r="K129" s="245"/>
      <c r="L129" s="244">
        <f>L$117*$I129</f>
        <v>375</v>
      </c>
      <c r="M129" s="245"/>
      <c r="N129" s="245"/>
      <c r="O129" s="245"/>
      <c r="P129" s="245"/>
      <c r="Q129" s="245"/>
      <c r="R129" s="245"/>
      <c r="S129" s="246"/>
      <c r="U129" s="169" t="s">
        <v>1114</v>
      </c>
      <c r="V129" s="170">
        <v>1955.79</v>
      </c>
      <c r="W129" s="171">
        <v>513.99</v>
      </c>
    </row>
    <row r="130" spans="1:23">
      <c r="A130" s="169" t="s">
        <v>1113</v>
      </c>
      <c r="B130" s="170">
        <v>12045.68</v>
      </c>
      <c r="C130" s="170">
        <v>1246.96</v>
      </c>
      <c r="D130" s="170">
        <v>2620.34</v>
      </c>
      <c r="G130" s="220"/>
      <c r="H130" s="224"/>
      <c r="I130" s="247" t="s">
        <v>1422</v>
      </c>
      <c r="J130" s="247" t="s">
        <v>1461</v>
      </c>
      <c r="K130" s="224"/>
      <c r="L130" s="247" t="s">
        <v>1405</v>
      </c>
      <c r="M130" s="224"/>
      <c r="N130" s="224"/>
      <c r="O130" s="224"/>
      <c r="P130" s="224"/>
      <c r="Q130" s="224"/>
      <c r="R130" s="224"/>
      <c r="S130" s="224"/>
      <c r="U130" s="169" t="s">
        <v>1113</v>
      </c>
      <c r="V130" s="170">
        <v>1825.74</v>
      </c>
      <c r="W130" s="171">
        <v>500.18</v>
      </c>
    </row>
    <row r="131" spans="1:23">
      <c r="A131" s="169" t="s">
        <v>1112</v>
      </c>
      <c r="B131" s="170">
        <v>11955.01</v>
      </c>
      <c r="C131" s="170">
        <v>1253.3</v>
      </c>
      <c r="D131" s="170">
        <v>2684.41</v>
      </c>
      <c r="G131" s="224"/>
      <c r="H131" s="224" t="s">
        <v>1420</v>
      </c>
      <c r="I131" s="144">
        <v>2870</v>
      </c>
      <c r="J131" s="144">
        <f>I131*K131</f>
        <v>1722</v>
      </c>
      <c r="K131" s="248">
        <v>0.6</v>
      </c>
      <c r="L131" s="144">
        <f>(I131-J131)/4</f>
        <v>287</v>
      </c>
      <c r="M131" s="224"/>
      <c r="N131" s="224"/>
      <c r="O131" s="224"/>
      <c r="P131" s="224"/>
      <c r="Q131" s="224"/>
      <c r="R131" s="224"/>
      <c r="S131" s="224"/>
      <c r="U131" s="169" t="s">
        <v>1112</v>
      </c>
      <c r="V131" s="170">
        <v>1847.51</v>
      </c>
      <c r="W131" s="171">
        <v>492.81</v>
      </c>
    </row>
    <row r="132" spans="1:23" ht="19" thickBot="1">
      <c r="A132" s="169" t="s">
        <v>1123</v>
      </c>
      <c r="B132" s="170">
        <v>10913.38</v>
      </c>
      <c r="C132" s="170">
        <v>1131.42</v>
      </c>
      <c r="D132" s="170">
        <v>2415.4</v>
      </c>
      <c r="G132" s="224"/>
      <c r="H132" s="224" t="s">
        <v>1421</v>
      </c>
      <c r="I132" s="144">
        <v>940</v>
      </c>
      <c r="J132" s="144">
        <f>I132*K132</f>
        <v>564</v>
      </c>
      <c r="K132" s="248">
        <v>0.6</v>
      </c>
      <c r="L132" s="144">
        <f>(I132-J132)/4</f>
        <v>94</v>
      </c>
      <c r="M132" s="224"/>
      <c r="N132" s="224"/>
      <c r="O132" s="224"/>
      <c r="P132" s="224"/>
      <c r="Q132" s="224"/>
      <c r="R132" s="224"/>
      <c r="S132" s="224"/>
      <c r="U132" s="169" t="s">
        <v>1123</v>
      </c>
      <c r="V132" s="170">
        <v>1909.03</v>
      </c>
      <c r="W132" s="171">
        <v>490.69</v>
      </c>
    </row>
    <row r="133" spans="1:23">
      <c r="A133" s="169" t="s">
        <v>1122</v>
      </c>
      <c r="B133" s="170">
        <v>11613.53</v>
      </c>
      <c r="C133" s="170">
        <v>1218.8900000000001</v>
      </c>
      <c r="D133" s="170">
        <v>2579.46</v>
      </c>
      <c r="G133" s="219" t="s">
        <v>1467</v>
      </c>
      <c r="H133" s="173"/>
      <c r="I133" s="174">
        <v>5000</v>
      </c>
      <c r="J133" s="174">
        <f>$I$33*J134</f>
        <v>1750</v>
      </c>
      <c r="K133" s="174"/>
      <c r="L133" s="174">
        <f>$I$33*L134</f>
        <v>1250</v>
      </c>
      <c r="M133" s="174"/>
      <c r="N133" s="174">
        <f>$I$33*N134</f>
        <v>500</v>
      </c>
      <c r="O133" s="174">
        <f>$I$33*O134</f>
        <v>500</v>
      </c>
      <c r="P133" s="174">
        <f>$I$33*P134</f>
        <v>250</v>
      </c>
      <c r="Q133" s="174">
        <f>$I$33*Q134</f>
        <v>500</v>
      </c>
      <c r="R133" s="174">
        <f>$I$33*R134</f>
        <v>250</v>
      </c>
      <c r="S133" s="190"/>
      <c r="U133" s="169" t="s">
        <v>1122</v>
      </c>
      <c r="V133" s="170">
        <v>1769.65</v>
      </c>
      <c r="W133" s="171">
        <v>449.66</v>
      </c>
    </row>
    <row r="134" spans="1:23">
      <c r="A134" s="169" t="s">
        <v>1121</v>
      </c>
      <c r="B134" s="170">
        <v>12143.24</v>
      </c>
      <c r="C134" s="170">
        <v>1292.28</v>
      </c>
      <c r="D134" s="170">
        <v>2756.38</v>
      </c>
      <c r="H134" s="176"/>
      <c r="I134" s="177"/>
      <c r="J134" s="178">
        <v>0.35</v>
      </c>
      <c r="K134" s="177"/>
      <c r="L134" s="178">
        <v>0.25</v>
      </c>
      <c r="M134" s="177"/>
      <c r="N134" s="178">
        <v>0.1</v>
      </c>
      <c r="O134" s="178">
        <v>0.1</v>
      </c>
      <c r="P134" s="178">
        <v>0.05</v>
      </c>
      <c r="Q134" s="178">
        <v>0.1</v>
      </c>
      <c r="R134" s="178">
        <v>0.05</v>
      </c>
      <c r="S134" s="180"/>
      <c r="U134" s="169" t="s">
        <v>1121</v>
      </c>
      <c r="V134" s="170">
        <v>1880.11</v>
      </c>
      <c r="W134" s="171">
        <v>493.44</v>
      </c>
    </row>
    <row r="135" spans="1:23">
      <c r="A135" s="169" t="s">
        <v>1120</v>
      </c>
      <c r="B135" s="170">
        <v>12414.34</v>
      </c>
      <c r="C135" s="170">
        <v>1320.64</v>
      </c>
      <c r="D135" s="170">
        <v>2773.52</v>
      </c>
      <c r="H135" s="176"/>
      <c r="I135" s="177"/>
      <c r="J135" s="177" t="str">
        <f>H147</f>
        <v>코스피</v>
      </c>
      <c r="K135" s="177"/>
      <c r="L135" s="177" t="str">
        <f>H148</f>
        <v>코스닥</v>
      </c>
      <c r="M135" s="177"/>
      <c r="N135" s="177" t="s">
        <v>541</v>
      </c>
      <c r="O135" s="177" t="s">
        <v>499</v>
      </c>
      <c r="P135" s="177" t="s">
        <v>1423</v>
      </c>
      <c r="Q135" s="177" t="s">
        <v>398</v>
      </c>
      <c r="R135" s="177" t="s">
        <v>496</v>
      </c>
      <c r="S135" s="180"/>
      <c r="U135" s="169" t="s">
        <v>1120</v>
      </c>
      <c r="V135" s="170">
        <v>2133.21</v>
      </c>
      <c r="W135" s="171">
        <v>536.04999999999995</v>
      </c>
    </row>
    <row r="136" spans="1:23">
      <c r="A136" s="169" t="s">
        <v>1119</v>
      </c>
      <c r="B136" s="170">
        <v>12569.79</v>
      </c>
      <c r="C136" s="170">
        <v>1345.2</v>
      </c>
      <c r="D136" s="170">
        <v>2835.3</v>
      </c>
      <c r="H136" s="176" t="s">
        <v>1402</v>
      </c>
      <c r="I136" s="177" t="s">
        <v>1409</v>
      </c>
      <c r="J136" s="181">
        <f>I147-$L$147</f>
        <v>2636.25</v>
      </c>
      <c r="K136" s="177" t="s">
        <v>1424</v>
      </c>
      <c r="L136" s="181">
        <f>I148-$L$148</f>
        <v>869.5</v>
      </c>
      <c r="M136" s="177" t="s">
        <v>1425</v>
      </c>
      <c r="N136" s="181"/>
      <c r="O136" s="177"/>
      <c r="P136" s="177"/>
      <c r="Q136" s="177"/>
      <c r="R136" s="177"/>
      <c r="S136" s="180"/>
      <c r="U136" s="169" t="s">
        <v>1119</v>
      </c>
      <c r="V136" s="170">
        <v>2100.69</v>
      </c>
      <c r="W136" s="171">
        <v>479.55</v>
      </c>
    </row>
    <row r="137" spans="1:23">
      <c r="A137" s="169" t="s">
        <v>1118</v>
      </c>
      <c r="B137" s="170">
        <v>12810.54</v>
      </c>
      <c r="C137" s="170">
        <v>1363.61</v>
      </c>
      <c r="D137" s="170">
        <v>2873.54</v>
      </c>
      <c r="H137" s="176" t="s">
        <v>1403</v>
      </c>
      <c r="I137" s="177" t="s">
        <v>1407</v>
      </c>
      <c r="J137" s="181">
        <f>J136-$L$147</f>
        <v>2422.5</v>
      </c>
      <c r="K137" s="177" t="s">
        <v>762</v>
      </c>
      <c r="L137" s="181">
        <f>L136-$L$148</f>
        <v>799</v>
      </c>
      <c r="M137" s="177" t="s">
        <v>1426</v>
      </c>
      <c r="N137" s="181"/>
      <c r="O137" s="177"/>
      <c r="P137" s="177"/>
      <c r="Q137" s="177"/>
      <c r="R137" s="177"/>
      <c r="S137" s="180"/>
      <c r="U137" s="169" t="s">
        <v>1118</v>
      </c>
      <c r="V137" s="170">
        <v>2142.4699999999998</v>
      </c>
      <c r="W137" s="171">
        <v>484.54</v>
      </c>
    </row>
    <row r="138" spans="1:23">
      <c r="A138" s="169" t="s">
        <v>1117</v>
      </c>
      <c r="B138" s="170">
        <v>12319.73</v>
      </c>
      <c r="C138" s="170">
        <v>1325.83</v>
      </c>
      <c r="D138" s="170">
        <v>2781.07</v>
      </c>
      <c r="H138" s="176" t="s">
        <v>1404</v>
      </c>
      <c r="I138" s="177" t="s">
        <v>1407</v>
      </c>
      <c r="J138" s="181">
        <f>J137-$L$147</f>
        <v>2208.75</v>
      </c>
      <c r="K138" s="177" t="s">
        <v>762</v>
      </c>
      <c r="L138" s="181">
        <f>L137-$L$148</f>
        <v>728.5</v>
      </c>
      <c r="M138" s="177"/>
      <c r="N138" s="181"/>
      <c r="O138" s="177"/>
      <c r="P138" s="177"/>
      <c r="Q138" s="177"/>
      <c r="R138" s="177"/>
      <c r="S138" s="180"/>
      <c r="U138" s="169" t="s">
        <v>1117</v>
      </c>
      <c r="V138" s="170">
        <v>2192.36</v>
      </c>
      <c r="W138" s="171">
        <v>511</v>
      </c>
    </row>
    <row r="139" spans="1:23">
      <c r="A139" s="169" t="s">
        <v>1116</v>
      </c>
      <c r="B139" s="170">
        <v>12226.34</v>
      </c>
      <c r="C139" s="170">
        <v>1327.22</v>
      </c>
      <c r="D139" s="170">
        <v>2782.27</v>
      </c>
      <c r="H139" s="176" t="s">
        <v>1406</v>
      </c>
      <c r="I139" s="177" t="s">
        <v>1407</v>
      </c>
      <c r="J139" s="181">
        <f>J138-$L$147</f>
        <v>1995</v>
      </c>
      <c r="K139" s="177" t="s">
        <v>762</v>
      </c>
      <c r="L139" s="181">
        <f>L138-$L$148</f>
        <v>658</v>
      </c>
      <c r="M139" s="177"/>
      <c r="N139" s="181" t="s">
        <v>1420</v>
      </c>
      <c r="O139" s="201" t="s">
        <v>1420</v>
      </c>
      <c r="P139" s="203" t="s">
        <v>1420</v>
      </c>
      <c r="Q139" s="201" t="s">
        <v>1421</v>
      </c>
      <c r="R139" s="201" t="s">
        <v>1421</v>
      </c>
      <c r="S139" s="180"/>
      <c r="U139" s="169" t="s">
        <v>1116</v>
      </c>
      <c r="V139" s="170">
        <v>2106.6999999999998</v>
      </c>
      <c r="W139" s="171">
        <v>525.41999999999996</v>
      </c>
    </row>
    <row r="140" spans="1:23">
      <c r="A140" s="169" t="s">
        <v>1115</v>
      </c>
      <c r="B140" s="170">
        <v>11891.93</v>
      </c>
      <c r="C140" s="170">
        <v>1286.1199999999999</v>
      </c>
      <c r="D140" s="170">
        <v>2700.08</v>
      </c>
      <c r="H140" s="176"/>
      <c r="I140" s="177"/>
      <c r="J140" s="197" t="s">
        <v>1434</v>
      </c>
      <c r="K140" s="177"/>
      <c r="L140" s="192" t="s">
        <v>1427</v>
      </c>
      <c r="M140" s="177"/>
      <c r="N140" s="200" t="s">
        <v>1438</v>
      </c>
      <c r="O140" s="177"/>
      <c r="P140" s="198" t="s">
        <v>1436</v>
      </c>
      <c r="Q140" s="198" t="s">
        <v>1435</v>
      </c>
      <c r="R140" s="198" t="s">
        <v>1428</v>
      </c>
      <c r="S140" s="180"/>
      <c r="U140" s="169" t="s">
        <v>1115</v>
      </c>
      <c r="V140" s="170">
        <v>1939.3</v>
      </c>
      <c r="W140" s="171">
        <v>504.46</v>
      </c>
    </row>
    <row r="141" spans="1:23">
      <c r="A141" s="169" t="s">
        <v>1102</v>
      </c>
      <c r="B141" s="170">
        <v>11577.51</v>
      </c>
      <c r="C141" s="170">
        <v>1257.6400000000001</v>
      </c>
      <c r="D141" s="170">
        <v>2652.87</v>
      </c>
      <c r="H141" s="176"/>
      <c r="I141" s="182">
        <v>0.2</v>
      </c>
      <c r="J141" s="191">
        <f>J$133*$I141</f>
        <v>350</v>
      </c>
      <c r="L141" s="191">
        <f>L$133*$I141</f>
        <v>250</v>
      </c>
      <c r="N141" s="193">
        <f>N133*0.2</f>
        <v>100</v>
      </c>
      <c r="O141" s="181">
        <f>O133*0.2</f>
        <v>100</v>
      </c>
      <c r="P141" s="193">
        <f>P133*0.2</f>
        <v>50</v>
      </c>
      <c r="Q141" s="193">
        <f>Q133*0.2</f>
        <v>100</v>
      </c>
      <c r="R141" s="193">
        <f>R133*0.2</f>
        <v>50</v>
      </c>
      <c r="S141" s="194"/>
      <c r="U141" s="169" t="s">
        <v>1102</v>
      </c>
      <c r="V141" s="170">
        <v>2069.73</v>
      </c>
      <c r="W141" s="171">
        <v>521.38</v>
      </c>
    </row>
    <row r="142" spans="1:23">
      <c r="A142" s="169" t="s">
        <v>1101</v>
      </c>
      <c r="B142" s="170">
        <v>11006.02</v>
      </c>
      <c r="C142" s="170">
        <v>1180.55</v>
      </c>
      <c r="D142" s="170">
        <v>2498.23</v>
      </c>
      <c r="H142" s="176"/>
      <c r="J142" s="207" t="s">
        <v>1445</v>
      </c>
      <c r="L142" s="205" t="s">
        <v>1442</v>
      </c>
      <c r="P142" s="207" t="s">
        <v>1444</v>
      </c>
      <c r="Q142" s="204" t="s">
        <v>1440</v>
      </c>
      <c r="R142" s="204" t="s">
        <v>1441</v>
      </c>
      <c r="S142" s="194"/>
      <c r="U142" s="169" t="s">
        <v>1101</v>
      </c>
      <c r="V142" s="170">
        <v>2051</v>
      </c>
      <c r="W142" s="171">
        <v>510.69</v>
      </c>
    </row>
    <row r="143" spans="1:23">
      <c r="A143" s="169" t="s">
        <v>1100</v>
      </c>
      <c r="B143" s="170">
        <v>11118.49</v>
      </c>
      <c r="C143" s="170">
        <v>1183.26</v>
      </c>
      <c r="D143" s="170">
        <v>2507.41</v>
      </c>
      <c r="H143" s="176"/>
      <c r="I143" s="182">
        <v>0.25</v>
      </c>
      <c r="J143" s="208">
        <f>J$133*$I143</f>
        <v>437.5</v>
      </c>
      <c r="K143" s="177"/>
      <c r="L143" s="191">
        <f>L$133*$I143</f>
        <v>312.5</v>
      </c>
      <c r="N143" s="181">
        <f>N133*0.4</f>
        <v>200</v>
      </c>
      <c r="O143" s="181">
        <f>O133*0.4</f>
        <v>200</v>
      </c>
      <c r="P143" s="206">
        <f>P133*0.4</f>
        <v>100</v>
      </c>
      <c r="Q143" s="193">
        <f>Q133*0.4</f>
        <v>200</v>
      </c>
      <c r="R143" s="193">
        <f>R133*0.4</f>
        <v>100</v>
      </c>
      <c r="S143" s="180"/>
      <c r="U143" s="169" t="s">
        <v>1100</v>
      </c>
      <c r="V143" s="170">
        <v>1904.63</v>
      </c>
      <c r="W143" s="171">
        <v>498.39</v>
      </c>
    </row>
    <row r="144" spans="1:23">
      <c r="A144" s="169" t="s">
        <v>1111</v>
      </c>
      <c r="B144" s="170">
        <v>10788.05</v>
      </c>
      <c r="C144" s="170">
        <v>1141.2</v>
      </c>
      <c r="D144" s="170">
        <v>2368.62</v>
      </c>
      <c r="H144" s="176"/>
      <c r="I144" s="182">
        <v>0.25</v>
      </c>
      <c r="J144" s="183">
        <f>J$133*$I144</f>
        <v>437.5</v>
      </c>
      <c r="K144" s="177"/>
      <c r="L144" s="183">
        <f>L$133*$I144</f>
        <v>312.5</v>
      </c>
      <c r="M144" s="177"/>
      <c r="N144" s="181">
        <f>N133*0.4</f>
        <v>200</v>
      </c>
      <c r="O144" s="181">
        <f>O133*0.4</f>
        <v>200</v>
      </c>
      <c r="P144" s="181">
        <f>P133*0.4</f>
        <v>100</v>
      </c>
      <c r="Q144" s="181">
        <f>Q133*0.4</f>
        <v>200</v>
      </c>
      <c r="R144" s="181">
        <f>R133*0.4</f>
        <v>100</v>
      </c>
      <c r="S144" s="180"/>
      <c r="U144" s="169" t="s">
        <v>1111</v>
      </c>
      <c r="V144" s="170">
        <v>1882.95</v>
      </c>
      <c r="W144" s="171">
        <v>526.45000000000005</v>
      </c>
    </row>
    <row r="145" spans="1:23" ht="19" thickBot="1">
      <c r="A145" s="169" t="s">
        <v>1110</v>
      </c>
      <c r="B145" s="170">
        <v>10014.719999999999</v>
      </c>
      <c r="C145" s="170">
        <v>1049.33</v>
      </c>
      <c r="D145" s="170">
        <v>2114.0300000000002</v>
      </c>
      <c r="H145" s="185"/>
      <c r="I145" s="186">
        <v>0.3</v>
      </c>
      <c r="J145" s="187">
        <f>J$133*$I145</f>
        <v>525</v>
      </c>
      <c r="K145" s="188"/>
      <c r="L145" s="187">
        <f>L$133*$I145</f>
        <v>375</v>
      </c>
      <c r="M145" s="188"/>
      <c r="N145" s="188"/>
      <c r="O145" s="188"/>
      <c r="P145" s="188"/>
      <c r="Q145" s="188"/>
      <c r="R145" s="188"/>
      <c r="S145" s="189"/>
      <c r="U145" s="169" t="s">
        <v>1110</v>
      </c>
      <c r="V145" s="170">
        <v>1872.81</v>
      </c>
      <c r="W145" s="171">
        <v>492.75</v>
      </c>
    </row>
    <row r="146" spans="1:23">
      <c r="A146" s="169" t="s">
        <v>1109</v>
      </c>
      <c r="B146" s="170">
        <v>10465.94</v>
      </c>
      <c r="C146" s="170">
        <v>1101.5999999999999</v>
      </c>
      <c r="D146" s="170">
        <v>2254.6999999999998</v>
      </c>
      <c r="G146" s="219"/>
      <c r="I146" s="213" t="s">
        <v>1422</v>
      </c>
      <c r="J146" s="256" t="s">
        <v>1462</v>
      </c>
      <c r="L146" s="213" t="s">
        <v>1405</v>
      </c>
      <c r="N146" s="219" t="s">
        <v>1469</v>
      </c>
      <c r="U146" s="169" t="s">
        <v>1109</v>
      </c>
      <c r="V146" s="170">
        <v>1742.75</v>
      </c>
      <c r="W146" s="171">
        <v>464.71</v>
      </c>
    </row>
    <row r="147" spans="1:23">
      <c r="A147" s="169" t="s">
        <v>1108</v>
      </c>
      <c r="B147" s="170">
        <v>9774.02</v>
      </c>
      <c r="C147" s="170">
        <v>1030.71</v>
      </c>
      <c r="D147" s="170">
        <v>2109.2399999999998</v>
      </c>
      <c r="H147" s="167" t="s">
        <v>1420</v>
      </c>
      <c r="I147" s="56">
        <v>2850</v>
      </c>
      <c r="J147" s="56">
        <f>I147*K147</f>
        <v>1994.9999999999998</v>
      </c>
      <c r="K147" s="172">
        <v>0.7</v>
      </c>
      <c r="L147" s="56">
        <f>(I147-J147)/4</f>
        <v>213.75000000000006</v>
      </c>
      <c r="N147" s="56">
        <f>I147*O147</f>
        <v>3277.4999999999995</v>
      </c>
      <c r="O147" s="172">
        <v>1.1499999999999999</v>
      </c>
      <c r="U147" s="169" t="s">
        <v>1108</v>
      </c>
      <c r="V147" s="170">
        <v>1759.33</v>
      </c>
      <c r="W147" s="171">
        <v>481.45</v>
      </c>
    </row>
    <row r="148" spans="1:23">
      <c r="A148" s="169" t="s">
        <v>1107</v>
      </c>
      <c r="B148" s="170">
        <v>10136.629999999999</v>
      </c>
      <c r="C148" s="170">
        <v>1089.4100000000001</v>
      </c>
      <c r="D148" s="170">
        <v>2257.04</v>
      </c>
      <c r="H148" s="167" t="s">
        <v>1421</v>
      </c>
      <c r="I148" s="56">
        <v>940</v>
      </c>
      <c r="J148" s="56">
        <f>I148*K148</f>
        <v>658</v>
      </c>
      <c r="K148" s="172">
        <v>0.7</v>
      </c>
      <c r="L148" s="56">
        <f>(I148-J148)/4</f>
        <v>70.5</v>
      </c>
      <c r="N148" s="56">
        <f t="shared" ref="N148" si="2">I148*O148</f>
        <v>1034</v>
      </c>
      <c r="O148" s="172">
        <v>1.1000000000000001</v>
      </c>
      <c r="U148" s="169" t="s">
        <v>1107</v>
      </c>
      <c r="V148" s="170">
        <v>1698.29</v>
      </c>
      <c r="W148" s="171">
        <v>489.98</v>
      </c>
    </row>
    <row r="149" spans="1:23">
      <c r="A149" s="169" t="s">
        <v>1106</v>
      </c>
      <c r="B149" s="170">
        <v>11008.61</v>
      </c>
      <c r="C149" s="170">
        <v>1186.69</v>
      </c>
      <c r="D149" s="170">
        <v>2461.19</v>
      </c>
      <c r="U149" s="169" t="s">
        <v>1106</v>
      </c>
      <c r="V149" s="170">
        <v>1641.25</v>
      </c>
      <c r="W149" s="171">
        <v>489.42</v>
      </c>
    </row>
    <row r="150" spans="1:23">
      <c r="A150" s="169" t="s">
        <v>1105</v>
      </c>
      <c r="B150" s="170">
        <v>10856.63</v>
      </c>
      <c r="C150" s="170">
        <v>1169.43</v>
      </c>
      <c r="D150" s="170">
        <v>2397.96</v>
      </c>
      <c r="U150" s="169" t="s">
        <v>1105</v>
      </c>
      <c r="V150" s="170">
        <v>1741.56</v>
      </c>
      <c r="W150" s="171">
        <v>523.75</v>
      </c>
    </row>
    <row r="151" spans="1:23">
      <c r="A151" s="169" t="s">
        <v>1104</v>
      </c>
      <c r="B151" s="170">
        <v>10325.26</v>
      </c>
      <c r="C151" s="170">
        <v>1104.49</v>
      </c>
      <c r="D151" s="170">
        <v>2238.2600000000002</v>
      </c>
      <c r="U151" s="169" t="s">
        <v>1104</v>
      </c>
      <c r="V151" s="170">
        <v>1692.85</v>
      </c>
      <c r="W151" s="171">
        <v>515.74</v>
      </c>
    </row>
    <row r="152" spans="1:23">
      <c r="A152" s="169" t="s">
        <v>1103</v>
      </c>
      <c r="B152" s="170">
        <v>10067.33</v>
      </c>
      <c r="C152" s="170">
        <v>1073.8699999999999</v>
      </c>
      <c r="D152" s="170">
        <v>2147.35</v>
      </c>
      <c r="U152" s="169" t="s">
        <v>1103</v>
      </c>
      <c r="V152" s="170">
        <v>1594.58</v>
      </c>
      <c r="W152" s="171">
        <v>507.03</v>
      </c>
    </row>
    <row r="153" spans="1:23">
      <c r="A153" s="169" t="s">
        <v>1090</v>
      </c>
      <c r="B153" s="170">
        <v>10428.049999999999</v>
      </c>
      <c r="C153" s="170">
        <v>1115.0999999999999</v>
      </c>
      <c r="D153" s="170">
        <v>2269.15</v>
      </c>
      <c r="U153" s="169" t="s">
        <v>1090</v>
      </c>
      <c r="V153" s="170">
        <v>1602.43</v>
      </c>
      <c r="W153" s="171">
        <v>496.57</v>
      </c>
    </row>
    <row r="154" spans="1:23">
      <c r="A154" s="169" t="s">
        <v>1089</v>
      </c>
      <c r="B154" s="170">
        <v>10344.84</v>
      </c>
      <c r="C154" s="170">
        <v>1095.6300000000001</v>
      </c>
      <c r="D154" s="170">
        <v>2144.6</v>
      </c>
      <c r="U154" s="169" t="s">
        <v>1089</v>
      </c>
      <c r="V154" s="170">
        <v>1682.77</v>
      </c>
      <c r="W154" s="171">
        <v>513.57000000000005</v>
      </c>
    </row>
    <row r="155" spans="1:23">
      <c r="A155" s="169" t="s">
        <v>1088</v>
      </c>
      <c r="B155" s="170">
        <v>9712.73</v>
      </c>
      <c r="C155" s="170">
        <v>1036.19</v>
      </c>
      <c r="D155" s="170">
        <v>2045.11</v>
      </c>
      <c r="U155" s="169" t="s">
        <v>1088</v>
      </c>
      <c r="V155" s="170">
        <v>1555.6</v>
      </c>
      <c r="W155" s="171">
        <v>464.32</v>
      </c>
    </row>
    <row r="156" spans="1:23">
      <c r="A156" s="169" t="s">
        <v>1099</v>
      </c>
      <c r="B156" s="170">
        <v>9712.2800000000007</v>
      </c>
      <c r="C156" s="170">
        <v>1057.08</v>
      </c>
      <c r="D156" s="170">
        <v>2122.42</v>
      </c>
      <c r="U156" s="169" t="s">
        <v>1099</v>
      </c>
      <c r="V156" s="170">
        <v>1580.69</v>
      </c>
      <c r="W156" s="171">
        <v>486.46</v>
      </c>
    </row>
    <row r="157" spans="1:23">
      <c r="A157" s="169" t="s">
        <v>1098</v>
      </c>
      <c r="B157" s="170">
        <v>9496.2800000000007</v>
      </c>
      <c r="C157" s="170">
        <v>1020.62</v>
      </c>
      <c r="D157" s="170">
        <v>2009.06</v>
      </c>
      <c r="U157" s="169" t="s">
        <v>1098</v>
      </c>
      <c r="V157" s="170">
        <v>1673.14</v>
      </c>
      <c r="W157" s="171">
        <v>505.94</v>
      </c>
    </row>
    <row r="158" spans="1:23">
      <c r="A158" s="169" t="s">
        <v>1097</v>
      </c>
      <c r="B158" s="170">
        <v>9171.61</v>
      </c>
      <c r="C158" s="171">
        <v>987.48</v>
      </c>
      <c r="D158" s="170">
        <v>1978.5</v>
      </c>
      <c r="U158" s="169" t="s">
        <v>1097</v>
      </c>
      <c r="V158" s="170">
        <v>1591.85</v>
      </c>
      <c r="W158" s="171">
        <v>514.70000000000005</v>
      </c>
    </row>
    <row r="159" spans="1:23">
      <c r="A159" s="169" t="s">
        <v>1096</v>
      </c>
      <c r="B159" s="170">
        <v>8447</v>
      </c>
      <c r="C159" s="171">
        <v>919.32</v>
      </c>
      <c r="D159" s="170">
        <v>1835.04</v>
      </c>
      <c r="U159" s="169" t="s">
        <v>1096</v>
      </c>
      <c r="V159" s="170">
        <v>1557.29</v>
      </c>
      <c r="W159" s="171">
        <v>504.35</v>
      </c>
    </row>
    <row r="160" spans="1:23">
      <c r="A160" s="169" t="s">
        <v>1095</v>
      </c>
      <c r="B160" s="170">
        <v>8500.33</v>
      </c>
      <c r="C160" s="171">
        <v>919.14</v>
      </c>
      <c r="D160" s="170">
        <v>1774.33</v>
      </c>
      <c r="U160" s="169" t="s">
        <v>1095</v>
      </c>
      <c r="V160" s="170">
        <v>1390.07</v>
      </c>
      <c r="W160" s="171">
        <v>485.15</v>
      </c>
    </row>
    <row r="161" spans="1:23">
      <c r="A161" s="169" t="s">
        <v>1094</v>
      </c>
      <c r="B161" s="170">
        <v>8168.12</v>
      </c>
      <c r="C161" s="171">
        <v>872.81</v>
      </c>
      <c r="D161" s="170">
        <v>1717.3</v>
      </c>
      <c r="U161" s="169" t="s">
        <v>1094</v>
      </c>
      <c r="V161" s="170">
        <v>1395.89</v>
      </c>
      <c r="W161" s="171">
        <v>528.79999999999995</v>
      </c>
    </row>
    <row r="162" spans="1:23">
      <c r="A162" s="169" t="s">
        <v>1093</v>
      </c>
      <c r="B162" s="170">
        <v>7608.92</v>
      </c>
      <c r="C162" s="171">
        <v>797.87</v>
      </c>
      <c r="D162" s="170">
        <v>1528.59</v>
      </c>
      <c r="U162" s="169" t="s">
        <v>1093</v>
      </c>
      <c r="V162" s="170">
        <v>1369.36</v>
      </c>
      <c r="W162" s="171">
        <v>500.98</v>
      </c>
    </row>
    <row r="163" spans="1:23">
      <c r="A163" s="169" t="s">
        <v>1092</v>
      </c>
      <c r="B163" s="170">
        <v>7062.93</v>
      </c>
      <c r="C163" s="171">
        <v>735.09</v>
      </c>
      <c r="D163" s="170">
        <v>1377.84</v>
      </c>
      <c r="U163" s="169" t="s">
        <v>1092</v>
      </c>
      <c r="V163" s="170">
        <v>1206.26</v>
      </c>
      <c r="W163" s="171">
        <v>421.44</v>
      </c>
    </row>
    <row r="164" spans="1:23">
      <c r="A164" s="169" t="s">
        <v>1091</v>
      </c>
      <c r="B164" s="170">
        <v>8000.86</v>
      </c>
      <c r="C164" s="171">
        <v>825.88</v>
      </c>
      <c r="D164" s="170">
        <v>1476.42</v>
      </c>
      <c r="U164" s="169" t="s">
        <v>1091</v>
      </c>
      <c r="V164" s="170">
        <v>1063.03</v>
      </c>
      <c r="W164" s="171">
        <v>363.21</v>
      </c>
    </row>
    <row r="165" spans="1:23">
      <c r="A165" s="169" t="s">
        <v>1078</v>
      </c>
      <c r="B165" s="170">
        <v>8776.39</v>
      </c>
      <c r="C165" s="171">
        <v>903.25</v>
      </c>
      <c r="D165" s="170">
        <v>1577.03</v>
      </c>
      <c r="U165" s="169" t="s">
        <v>1078</v>
      </c>
      <c r="V165" s="170">
        <v>1162.1099999999999</v>
      </c>
      <c r="W165" s="171">
        <v>364.9</v>
      </c>
    </row>
    <row r="166" spans="1:23">
      <c r="A166" s="169" t="s">
        <v>1077</v>
      </c>
      <c r="B166" s="170">
        <v>8829.0400000000009</v>
      </c>
      <c r="C166" s="171">
        <v>896.24</v>
      </c>
      <c r="D166" s="170">
        <v>1535.57</v>
      </c>
      <c r="U166" s="169" t="s">
        <v>1077</v>
      </c>
      <c r="V166" s="170">
        <v>1124.47</v>
      </c>
      <c r="W166" s="171">
        <v>332.05</v>
      </c>
    </row>
    <row r="167" spans="1:23">
      <c r="A167" s="169" t="s">
        <v>1076</v>
      </c>
      <c r="B167" s="170">
        <v>9325.01</v>
      </c>
      <c r="C167" s="171">
        <v>968.75</v>
      </c>
      <c r="D167" s="170">
        <v>1720.95</v>
      </c>
      <c r="U167" s="169" t="s">
        <v>1076</v>
      </c>
      <c r="V167" s="170">
        <v>1076.07</v>
      </c>
      <c r="W167" s="171">
        <v>307.48</v>
      </c>
    </row>
    <row r="168" spans="1:23">
      <c r="A168" s="169" t="s">
        <v>1087</v>
      </c>
      <c r="B168" s="170">
        <v>10850.66</v>
      </c>
      <c r="C168" s="170">
        <v>1166.3599999999999</v>
      </c>
      <c r="D168" s="170">
        <v>2091.88</v>
      </c>
      <c r="U168" s="169" t="s">
        <v>1087</v>
      </c>
      <c r="V168" s="170">
        <v>1113.06</v>
      </c>
      <c r="W168" s="171">
        <v>308.02999999999997</v>
      </c>
    </row>
    <row r="169" spans="1:23">
      <c r="A169" s="169" t="s">
        <v>1086</v>
      </c>
      <c r="B169" s="170">
        <v>11543.55</v>
      </c>
      <c r="C169" s="170">
        <v>1282.83</v>
      </c>
      <c r="D169" s="170">
        <v>2367.52</v>
      </c>
      <c r="U169" s="169" t="s">
        <v>1086</v>
      </c>
      <c r="V169" s="170">
        <v>1448.06</v>
      </c>
      <c r="W169" s="171">
        <v>440.77</v>
      </c>
    </row>
    <row r="170" spans="1:23">
      <c r="A170" s="169" t="s">
        <v>1085</v>
      </c>
      <c r="B170" s="170">
        <v>11378.02</v>
      </c>
      <c r="C170" s="170">
        <v>1267.3800000000001</v>
      </c>
      <c r="D170" s="170">
        <v>2325.5500000000002</v>
      </c>
      <c r="U170" s="169" t="s">
        <v>1085</v>
      </c>
      <c r="V170" s="170">
        <v>1474.24</v>
      </c>
      <c r="W170" s="171">
        <v>470.28</v>
      </c>
    </row>
    <row r="171" spans="1:23">
      <c r="A171" s="169" t="s">
        <v>1084</v>
      </c>
      <c r="B171" s="170">
        <v>11350.01</v>
      </c>
      <c r="C171" s="170">
        <v>1280</v>
      </c>
      <c r="D171" s="170">
        <v>2292.98</v>
      </c>
      <c r="U171" s="169" t="s">
        <v>1084</v>
      </c>
      <c r="V171" s="170">
        <v>1594.67</v>
      </c>
      <c r="W171" s="171">
        <v>539.44000000000005</v>
      </c>
    </row>
    <row r="172" spans="1:23">
      <c r="A172" s="169" t="s">
        <v>1083</v>
      </c>
      <c r="B172" s="170">
        <v>12638.32</v>
      </c>
      <c r="C172" s="170">
        <v>1400.38</v>
      </c>
      <c r="D172" s="170">
        <v>2522.66</v>
      </c>
      <c r="U172" s="169" t="s">
        <v>1083</v>
      </c>
      <c r="V172" s="170">
        <v>1674.92</v>
      </c>
      <c r="W172" s="171">
        <v>590.19000000000005</v>
      </c>
    </row>
    <row r="173" spans="1:23">
      <c r="A173" s="169" t="s">
        <v>1082</v>
      </c>
      <c r="B173" s="170">
        <v>12820.13</v>
      </c>
      <c r="C173" s="170">
        <v>1385.59</v>
      </c>
      <c r="D173" s="170">
        <v>2412.8000000000002</v>
      </c>
      <c r="U173" s="169" t="s">
        <v>1082</v>
      </c>
      <c r="V173" s="170">
        <v>1852.02</v>
      </c>
      <c r="W173" s="171">
        <v>652.15</v>
      </c>
    </row>
    <row r="174" spans="1:23">
      <c r="A174" s="169" t="s">
        <v>1081</v>
      </c>
      <c r="B174" s="170">
        <v>12262.89</v>
      </c>
      <c r="C174" s="170">
        <v>1322.7</v>
      </c>
      <c r="D174" s="170">
        <v>2279.1</v>
      </c>
      <c r="U174" s="169" t="s">
        <v>1081</v>
      </c>
      <c r="V174" s="170">
        <v>1825.47</v>
      </c>
      <c r="W174" s="171">
        <v>647.02</v>
      </c>
    </row>
    <row r="175" spans="1:23">
      <c r="A175" s="169" t="s">
        <v>1080</v>
      </c>
      <c r="B175" s="170">
        <v>12266.39</v>
      </c>
      <c r="C175" s="170">
        <v>1330.63</v>
      </c>
      <c r="D175" s="170">
        <v>2271.48</v>
      </c>
      <c r="U175" s="169" t="s">
        <v>1080</v>
      </c>
      <c r="V175" s="170">
        <v>1703.99</v>
      </c>
      <c r="W175" s="171">
        <v>644.45000000000005</v>
      </c>
    </row>
    <row r="176" spans="1:23">
      <c r="A176" s="169" t="s">
        <v>1079</v>
      </c>
      <c r="B176" s="170">
        <v>12650.36</v>
      </c>
      <c r="C176" s="170">
        <v>1378.55</v>
      </c>
      <c r="D176" s="170">
        <v>2389.86</v>
      </c>
      <c r="U176" s="169" t="s">
        <v>1079</v>
      </c>
      <c r="V176" s="170">
        <v>1711.62</v>
      </c>
      <c r="W176" s="171">
        <v>655.94</v>
      </c>
    </row>
    <row r="177" spans="1:23">
      <c r="A177" s="169" t="s">
        <v>1066</v>
      </c>
      <c r="B177" s="170">
        <v>13264.82</v>
      </c>
      <c r="C177" s="170">
        <v>1468.36</v>
      </c>
      <c r="D177" s="170">
        <v>2652.28</v>
      </c>
      <c r="U177" s="169" t="s">
        <v>1066</v>
      </c>
      <c r="V177" s="170">
        <v>1624.68</v>
      </c>
      <c r="W177" s="171">
        <v>608.84</v>
      </c>
    </row>
    <row r="178" spans="1:23">
      <c r="A178" s="169" t="s">
        <v>1065</v>
      </c>
      <c r="B178" s="170">
        <v>13371.72</v>
      </c>
      <c r="C178" s="170">
        <v>1481.14</v>
      </c>
      <c r="D178" s="170">
        <v>2660.96</v>
      </c>
      <c r="U178" s="169" t="s">
        <v>1065</v>
      </c>
      <c r="V178" s="170">
        <v>1897.13</v>
      </c>
      <c r="W178" s="171">
        <v>704.23</v>
      </c>
    </row>
    <row r="179" spans="1:23">
      <c r="A179" s="169" t="s">
        <v>1064</v>
      </c>
      <c r="B179" s="170">
        <v>13930.01</v>
      </c>
      <c r="C179" s="170">
        <v>1549.38</v>
      </c>
      <c r="D179" s="170">
        <v>2859.12</v>
      </c>
      <c r="U179" s="169" t="s">
        <v>1064</v>
      </c>
      <c r="V179" s="170">
        <v>1906</v>
      </c>
      <c r="W179" s="171">
        <v>741.84</v>
      </c>
    </row>
    <row r="180" spans="1:23">
      <c r="A180" s="169" t="s">
        <v>1075</v>
      </c>
      <c r="B180" s="170">
        <v>13895.63</v>
      </c>
      <c r="C180" s="170">
        <v>1526.75</v>
      </c>
      <c r="D180" s="170">
        <v>2701.5</v>
      </c>
      <c r="U180" s="169" t="s">
        <v>1075</v>
      </c>
      <c r="V180" s="170">
        <v>2064.85</v>
      </c>
      <c r="W180" s="171">
        <v>810.07</v>
      </c>
    </row>
    <row r="181" spans="1:23">
      <c r="A181" s="169" t="s">
        <v>1074</v>
      </c>
      <c r="B181" s="170">
        <v>13357.74</v>
      </c>
      <c r="C181" s="170">
        <v>1473.99</v>
      </c>
      <c r="D181" s="170">
        <v>2596.36</v>
      </c>
      <c r="U181" s="169" t="s">
        <v>1074</v>
      </c>
      <c r="V181" s="170">
        <v>1946.48</v>
      </c>
      <c r="W181" s="171">
        <v>794.56</v>
      </c>
    </row>
    <row r="182" spans="1:23">
      <c r="A182" s="169" t="s">
        <v>1073</v>
      </c>
      <c r="B182" s="170">
        <v>13211.99</v>
      </c>
      <c r="C182" s="170">
        <v>1455.27</v>
      </c>
      <c r="D182" s="170">
        <v>2545.5700000000002</v>
      </c>
      <c r="U182" s="169" t="s">
        <v>1073</v>
      </c>
      <c r="V182" s="170">
        <v>1873.24</v>
      </c>
      <c r="W182" s="171">
        <v>775.13</v>
      </c>
    </row>
    <row r="183" spans="1:23">
      <c r="A183" s="169" t="s">
        <v>1072</v>
      </c>
      <c r="B183" s="170">
        <v>13408.62</v>
      </c>
      <c r="C183" s="170">
        <v>1503.35</v>
      </c>
      <c r="D183" s="170">
        <v>2603.23</v>
      </c>
      <c r="U183" s="169" t="s">
        <v>1072</v>
      </c>
      <c r="V183" s="170">
        <v>1933.27</v>
      </c>
      <c r="W183" s="171">
        <v>811.52</v>
      </c>
    </row>
    <row r="184" spans="1:23">
      <c r="A184" s="169" t="s">
        <v>1071</v>
      </c>
      <c r="B184" s="170">
        <v>13627.64</v>
      </c>
      <c r="C184" s="170">
        <v>1530.62</v>
      </c>
      <c r="D184" s="170">
        <v>2604.52</v>
      </c>
      <c r="U184" s="169" t="s">
        <v>1071</v>
      </c>
      <c r="V184" s="170">
        <v>1743.6</v>
      </c>
      <c r="W184" s="171">
        <v>778.69</v>
      </c>
    </row>
    <row r="185" spans="1:23">
      <c r="A185" s="169" t="s">
        <v>1070</v>
      </c>
      <c r="B185" s="170">
        <v>13062.91</v>
      </c>
      <c r="C185" s="170">
        <v>1482.37</v>
      </c>
      <c r="D185" s="170">
        <v>2525.09</v>
      </c>
      <c r="U185" s="169" t="s">
        <v>1070</v>
      </c>
      <c r="V185" s="170">
        <v>1700.91</v>
      </c>
      <c r="W185" s="171">
        <v>747.87</v>
      </c>
    </row>
    <row r="186" spans="1:23">
      <c r="A186" s="169" t="s">
        <v>1069</v>
      </c>
      <c r="B186" s="170">
        <v>12354.35</v>
      </c>
      <c r="C186" s="170">
        <v>1420.86</v>
      </c>
      <c r="D186" s="170">
        <v>2421.64</v>
      </c>
      <c r="U186" s="169" t="s">
        <v>1069</v>
      </c>
      <c r="V186" s="170">
        <v>1542.24</v>
      </c>
      <c r="W186" s="171">
        <v>675.88</v>
      </c>
    </row>
    <row r="187" spans="1:23">
      <c r="A187" s="169" t="s">
        <v>1068</v>
      </c>
      <c r="B187" s="170">
        <v>12268.63</v>
      </c>
      <c r="C187" s="170">
        <v>1406.82</v>
      </c>
      <c r="D187" s="170">
        <v>2416.15</v>
      </c>
      <c r="U187" s="169" t="s">
        <v>1068</v>
      </c>
      <c r="V187" s="170">
        <v>1452.55</v>
      </c>
      <c r="W187" s="171">
        <v>648.99</v>
      </c>
    </row>
    <row r="188" spans="1:23">
      <c r="A188" s="169" t="s">
        <v>1067</v>
      </c>
      <c r="B188" s="170">
        <v>12621.69</v>
      </c>
      <c r="C188" s="170">
        <v>1438.24</v>
      </c>
      <c r="D188" s="170">
        <v>2463.9299999999998</v>
      </c>
      <c r="U188" s="169" t="s">
        <v>1067</v>
      </c>
      <c r="V188" s="170">
        <v>1417.34</v>
      </c>
      <c r="W188" s="171">
        <v>600.92999999999995</v>
      </c>
    </row>
    <row r="189" spans="1:23">
      <c r="A189" s="169" t="s">
        <v>1054</v>
      </c>
      <c r="B189" s="170">
        <v>12463.15</v>
      </c>
      <c r="C189" s="170">
        <v>1418.3</v>
      </c>
      <c r="D189" s="170">
        <v>2415.29</v>
      </c>
      <c r="U189" s="169" t="s">
        <v>1054</v>
      </c>
      <c r="V189" s="170">
        <v>1360.23</v>
      </c>
      <c r="W189" s="171">
        <v>576.37</v>
      </c>
    </row>
    <row r="190" spans="1:23">
      <c r="A190" s="169" t="s">
        <v>1053</v>
      </c>
      <c r="B190" s="170">
        <v>12221.93</v>
      </c>
      <c r="C190" s="170">
        <v>1400.63</v>
      </c>
      <c r="D190" s="170">
        <v>2431.77</v>
      </c>
      <c r="U190" s="169" t="s">
        <v>1053</v>
      </c>
      <c r="V190" s="170">
        <v>1434.46</v>
      </c>
      <c r="W190" s="171">
        <v>606.15</v>
      </c>
    </row>
    <row r="191" spans="1:23">
      <c r="A191" s="169" t="s">
        <v>1052</v>
      </c>
      <c r="B191" s="170">
        <v>12080.73</v>
      </c>
      <c r="C191" s="170">
        <v>1377.94</v>
      </c>
      <c r="D191" s="170">
        <v>2366.71</v>
      </c>
      <c r="U191" s="169" t="s">
        <v>1052</v>
      </c>
      <c r="V191" s="170">
        <v>1432.21</v>
      </c>
      <c r="W191" s="171">
        <v>622.16999999999996</v>
      </c>
    </row>
    <row r="192" spans="1:23">
      <c r="A192" s="169" t="s">
        <v>1063</v>
      </c>
      <c r="B192" s="170">
        <v>11679.07</v>
      </c>
      <c r="C192" s="170">
        <v>1335.85</v>
      </c>
      <c r="D192" s="170">
        <v>2258.4299999999998</v>
      </c>
      <c r="U192" s="169" t="s">
        <v>1063</v>
      </c>
      <c r="V192" s="170">
        <v>1364.55</v>
      </c>
      <c r="W192" s="171">
        <v>586.1</v>
      </c>
    </row>
    <row r="193" spans="1:23">
      <c r="A193" s="169" t="s">
        <v>1062</v>
      </c>
      <c r="B193" s="170">
        <v>11381.15</v>
      </c>
      <c r="C193" s="170">
        <v>1303.82</v>
      </c>
      <c r="D193" s="170">
        <v>2183.75</v>
      </c>
      <c r="U193" s="169" t="s">
        <v>1062</v>
      </c>
      <c r="V193" s="170">
        <v>1371.41</v>
      </c>
      <c r="W193" s="171">
        <v>600.41999999999996</v>
      </c>
    </row>
    <row r="194" spans="1:23">
      <c r="A194" s="169" t="s">
        <v>1061</v>
      </c>
      <c r="B194" s="170">
        <v>11185.68</v>
      </c>
      <c r="C194" s="170">
        <v>1276.6600000000001</v>
      </c>
      <c r="D194" s="170">
        <v>2091.4699999999998</v>
      </c>
      <c r="U194" s="169" t="s">
        <v>1061</v>
      </c>
      <c r="V194" s="170">
        <v>1352.74</v>
      </c>
      <c r="W194" s="171">
        <v>572.83000000000004</v>
      </c>
    </row>
    <row r="195" spans="1:23">
      <c r="A195" s="169" t="s">
        <v>1060</v>
      </c>
      <c r="B195" s="170">
        <v>11150.22</v>
      </c>
      <c r="C195" s="170">
        <v>1270.2</v>
      </c>
      <c r="D195" s="170">
        <v>2172.09</v>
      </c>
      <c r="U195" s="169" t="s">
        <v>1060</v>
      </c>
      <c r="V195" s="170">
        <v>1297.82</v>
      </c>
      <c r="W195" s="171">
        <v>557.66</v>
      </c>
    </row>
    <row r="196" spans="1:23">
      <c r="A196" s="169" t="s">
        <v>1059</v>
      </c>
      <c r="B196" s="170">
        <v>11168.31</v>
      </c>
      <c r="C196" s="170">
        <v>1270.0899999999999</v>
      </c>
      <c r="D196" s="170">
        <v>2178.88</v>
      </c>
      <c r="U196" s="169" t="s">
        <v>1059</v>
      </c>
      <c r="V196" s="170">
        <v>1295.1500000000001</v>
      </c>
      <c r="W196" s="171">
        <v>590.67999999999995</v>
      </c>
    </row>
    <row r="197" spans="1:23">
      <c r="A197" s="169" t="s">
        <v>1058</v>
      </c>
      <c r="B197" s="170">
        <v>11367.14</v>
      </c>
      <c r="C197" s="170">
        <v>1310.6099999999999</v>
      </c>
      <c r="D197" s="170">
        <v>2322.5700000000002</v>
      </c>
      <c r="U197" s="169" t="s">
        <v>1058</v>
      </c>
      <c r="V197" s="170">
        <v>1317.7</v>
      </c>
      <c r="W197" s="171">
        <v>630.5</v>
      </c>
    </row>
    <row r="198" spans="1:23">
      <c r="A198" s="169" t="s">
        <v>1057</v>
      </c>
      <c r="B198" s="170">
        <v>11109.32</v>
      </c>
      <c r="C198" s="170">
        <v>1294.83</v>
      </c>
      <c r="D198" s="170">
        <v>2339.79</v>
      </c>
      <c r="U198" s="169" t="s">
        <v>1057</v>
      </c>
      <c r="V198" s="170">
        <v>1419.73</v>
      </c>
      <c r="W198" s="171">
        <v>685.44</v>
      </c>
    </row>
    <row r="199" spans="1:23">
      <c r="A199" s="169" t="s">
        <v>1056</v>
      </c>
      <c r="B199" s="170">
        <v>10993.41</v>
      </c>
      <c r="C199" s="170">
        <v>1280.6600000000001</v>
      </c>
      <c r="D199" s="170">
        <v>2281.39</v>
      </c>
      <c r="U199" s="169" t="s">
        <v>1056</v>
      </c>
      <c r="V199" s="170">
        <v>1359.6</v>
      </c>
      <c r="W199" s="171">
        <v>665.21</v>
      </c>
    </row>
    <row r="200" spans="1:23">
      <c r="A200" s="169" t="s">
        <v>1055</v>
      </c>
      <c r="B200" s="170">
        <v>10864.86</v>
      </c>
      <c r="C200" s="170">
        <v>1280.08</v>
      </c>
      <c r="D200" s="170">
        <v>2305.8200000000002</v>
      </c>
      <c r="U200" s="169" t="s">
        <v>1055</v>
      </c>
      <c r="V200" s="170">
        <v>1371.59</v>
      </c>
      <c r="W200" s="171">
        <v>682.36</v>
      </c>
    </row>
    <row r="201" spans="1:23">
      <c r="A201" s="169" t="s">
        <v>1042</v>
      </c>
      <c r="B201" s="170">
        <v>10717.5</v>
      </c>
      <c r="C201" s="170">
        <v>1248.29</v>
      </c>
      <c r="D201" s="170">
        <v>2205.3200000000002</v>
      </c>
      <c r="U201" s="169" t="s">
        <v>1042</v>
      </c>
      <c r="V201" s="170">
        <v>1399.83</v>
      </c>
      <c r="W201" s="171">
        <v>690.24</v>
      </c>
    </row>
    <row r="202" spans="1:23">
      <c r="A202" s="169" t="s">
        <v>1041</v>
      </c>
      <c r="B202" s="170">
        <v>10805.87</v>
      </c>
      <c r="C202" s="170">
        <v>1249.48</v>
      </c>
      <c r="D202" s="170">
        <v>2232.8200000000002</v>
      </c>
      <c r="U202" s="169" t="s">
        <v>1041</v>
      </c>
      <c r="V202" s="170">
        <v>1379.37</v>
      </c>
      <c r="W202" s="171">
        <v>701.79</v>
      </c>
    </row>
    <row r="203" spans="1:23">
      <c r="A203" s="169" t="s">
        <v>1040</v>
      </c>
      <c r="B203" s="170">
        <v>10440.07</v>
      </c>
      <c r="C203" s="170">
        <v>1207.01</v>
      </c>
      <c r="D203" s="170">
        <v>2120.3000000000002</v>
      </c>
      <c r="U203" s="169" t="s">
        <v>1040</v>
      </c>
      <c r="V203" s="170">
        <v>1297.44</v>
      </c>
      <c r="W203" s="171">
        <v>712.39</v>
      </c>
    </row>
    <row r="204" spans="1:23">
      <c r="A204" s="169" t="s">
        <v>1051</v>
      </c>
      <c r="B204" s="170">
        <v>10568.7</v>
      </c>
      <c r="C204" s="170">
        <v>1228.81</v>
      </c>
      <c r="D204" s="170">
        <v>2151.69</v>
      </c>
      <c r="U204" s="169" t="s">
        <v>1051</v>
      </c>
      <c r="V204" s="170">
        <v>1158.1099999999999</v>
      </c>
      <c r="W204" s="171">
        <v>587.46</v>
      </c>
    </row>
    <row r="205" spans="1:23">
      <c r="A205" s="169" t="s">
        <v>1050</v>
      </c>
      <c r="B205" s="170">
        <v>10481.6</v>
      </c>
      <c r="C205" s="170">
        <v>1220.33</v>
      </c>
      <c r="D205" s="170">
        <v>2152.09</v>
      </c>
      <c r="U205" s="169" t="s">
        <v>1050</v>
      </c>
      <c r="V205" s="170">
        <v>1221.01</v>
      </c>
      <c r="W205" s="171">
        <v>571.95000000000005</v>
      </c>
    </row>
    <row r="206" spans="1:23">
      <c r="A206" s="169" t="s">
        <v>1049</v>
      </c>
      <c r="B206" s="170">
        <v>10640.91</v>
      </c>
      <c r="C206" s="170">
        <v>1234.18</v>
      </c>
      <c r="D206" s="170">
        <v>2184.83</v>
      </c>
      <c r="U206" s="169" t="s">
        <v>1049</v>
      </c>
      <c r="V206" s="170">
        <v>1083.33</v>
      </c>
      <c r="W206" s="171">
        <v>503.95</v>
      </c>
    </row>
    <row r="207" spans="1:23">
      <c r="A207" s="169" t="s">
        <v>1048</v>
      </c>
      <c r="B207" s="170">
        <v>10274.969999999999</v>
      </c>
      <c r="C207" s="170">
        <v>1191.33</v>
      </c>
      <c r="D207" s="170">
        <v>2056.96</v>
      </c>
      <c r="U207" s="169" t="s">
        <v>1048</v>
      </c>
      <c r="V207" s="170">
        <v>1111.29</v>
      </c>
      <c r="W207" s="171">
        <v>546.67999999999995</v>
      </c>
    </row>
    <row r="208" spans="1:23">
      <c r="A208" s="169" t="s">
        <v>1047</v>
      </c>
      <c r="B208" s="170">
        <v>10467.48</v>
      </c>
      <c r="C208" s="170">
        <v>1191.5</v>
      </c>
      <c r="D208" s="170">
        <v>2068.2199999999998</v>
      </c>
      <c r="U208" s="169" t="s">
        <v>1047</v>
      </c>
      <c r="V208" s="170">
        <v>1008.16</v>
      </c>
      <c r="W208" s="171">
        <v>503.21</v>
      </c>
    </row>
    <row r="209" spans="1:23">
      <c r="A209" s="169" t="s">
        <v>1046</v>
      </c>
      <c r="B209" s="170">
        <v>10192.51</v>
      </c>
      <c r="C209" s="170">
        <v>1156.8499999999999</v>
      </c>
      <c r="D209" s="170">
        <v>1921.65</v>
      </c>
      <c r="U209" s="169" t="s">
        <v>1046</v>
      </c>
      <c r="V209" s="171">
        <v>970.21</v>
      </c>
      <c r="W209" s="171">
        <v>471.48</v>
      </c>
    </row>
    <row r="210" spans="1:23">
      <c r="A210" s="169" t="s">
        <v>1045</v>
      </c>
      <c r="B210" s="170">
        <v>10503.76</v>
      </c>
      <c r="C210" s="170">
        <v>1180.5899999999999</v>
      </c>
      <c r="D210" s="170">
        <v>1999.23</v>
      </c>
      <c r="U210" s="169" t="s">
        <v>1045</v>
      </c>
      <c r="V210" s="171">
        <v>911.3</v>
      </c>
      <c r="W210" s="171">
        <v>424.4</v>
      </c>
    </row>
    <row r="211" spans="1:23">
      <c r="A211" s="169" t="s">
        <v>1044</v>
      </c>
      <c r="B211" s="170">
        <v>10766.23</v>
      </c>
      <c r="C211" s="170">
        <v>1203.5999999999999</v>
      </c>
      <c r="D211" s="170">
        <v>2051.7199999999998</v>
      </c>
      <c r="U211" s="169" t="s">
        <v>1044</v>
      </c>
      <c r="V211" s="171">
        <v>965.68</v>
      </c>
      <c r="W211" s="171">
        <v>455.03</v>
      </c>
    </row>
    <row r="212" spans="1:23">
      <c r="A212" s="169" t="s">
        <v>1043</v>
      </c>
      <c r="B212" s="170">
        <v>10489.94</v>
      </c>
      <c r="C212" s="170">
        <v>1181.27</v>
      </c>
      <c r="D212" s="170">
        <v>2062.41</v>
      </c>
      <c r="U212" s="169" t="s">
        <v>1043</v>
      </c>
      <c r="V212" s="170">
        <v>1011.36</v>
      </c>
      <c r="W212" s="171">
        <v>498.38</v>
      </c>
    </row>
    <row r="213" spans="1:23">
      <c r="A213" s="169" t="s">
        <v>1030</v>
      </c>
      <c r="B213" s="170">
        <v>10783.01</v>
      </c>
      <c r="C213" s="170">
        <v>1211.92</v>
      </c>
      <c r="D213" s="170">
        <v>2175.44</v>
      </c>
      <c r="U213" s="169" t="s">
        <v>1030</v>
      </c>
      <c r="V213" s="171">
        <v>932.7</v>
      </c>
      <c r="W213" s="171">
        <v>472.95</v>
      </c>
    </row>
    <row r="214" spans="1:23">
      <c r="A214" s="169" t="s">
        <v>1029</v>
      </c>
      <c r="B214" s="170">
        <v>10428.02</v>
      </c>
      <c r="C214" s="170">
        <v>1173.82</v>
      </c>
      <c r="D214" s="170">
        <v>2096.81</v>
      </c>
      <c r="U214" s="169" t="s">
        <v>1029</v>
      </c>
      <c r="V214" s="171">
        <v>895.92</v>
      </c>
      <c r="W214" s="171">
        <v>380.33</v>
      </c>
    </row>
    <row r="215" spans="1:23">
      <c r="A215" s="169" t="s">
        <v>1028</v>
      </c>
      <c r="B215" s="170">
        <v>10027.469999999999</v>
      </c>
      <c r="C215" s="170">
        <v>1130.2</v>
      </c>
      <c r="D215" s="170">
        <v>1974.99</v>
      </c>
      <c r="U215" s="169" t="s">
        <v>1028</v>
      </c>
      <c r="V215" s="171">
        <v>878.06</v>
      </c>
      <c r="W215" s="171">
        <v>373.43</v>
      </c>
    </row>
    <row r="216" spans="1:23">
      <c r="A216" s="169" t="s">
        <v>1039</v>
      </c>
      <c r="B216" s="170">
        <v>10080.27</v>
      </c>
      <c r="C216" s="170">
        <v>1114.58</v>
      </c>
      <c r="D216" s="170">
        <v>1896.84</v>
      </c>
      <c r="U216" s="169" t="s">
        <v>1039</v>
      </c>
      <c r="V216" s="171">
        <v>834.84</v>
      </c>
      <c r="W216" s="171">
        <v>357.04</v>
      </c>
    </row>
    <row r="217" spans="1:23">
      <c r="A217" s="169" t="s">
        <v>1038</v>
      </c>
      <c r="B217" s="170">
        <v>10173.92</v>
      </c>
      <c r="C217" s="170">
        <v>1104.24</v>
      </c>
      <c r="D217" s="170">
        <v>1838.1</v>
      </c>
      <c r="U217" s="169" t="s">
        <v>1038</v>
      </c>
      <c r="V217" s="171">
        <v>835.09</v>
      </c>
      <c r="W217" s="171">
        <v>362.08</v>
      </c>
    </row>
    <row r="218" spans="1:23">
      <c r="A218" s="169" t="s">
        <v>1037</v>
      </c>
      <c r="B218" s="170">
        <v>10139.709999999999</v>
      </c>
      <c r="C218" s="170">
        <v>1101.72</v>
      </c>
      <c r="D218" s="170">
        <v>1887.36</v>
      </c>
      <c r="U218" s="169" t="s">
        <v>1037</v>
      </c>
      <c r="V218" s="171">
        <v>803.57</v>
      </c>
      <c r="W218" s="171">
        <v>355.66</v>
      </c>
    </row>
    <row r="219" spans="1:23">
      <c r="A219" s="169" t="s">
        <v>1036</v>
      </c>
      <c r="B219" s="170">
        <v>10435.48</v>
      </c>
      <c r="C219" s="170">
        <v>1140.8399999999999</v>
      </c>
      <c r="D219" s="170">
        <v>2047.79</v>
      </c>
      <c r="U219" s="169" t="s">
        <v>1036</v>
      </c>
      <c r="V219" s="171">
        <v>735.34</v>
      </c>
      <c r="W219" s="171">
        <v>331.21</v>
      </c>
    </row>
    <row r="220" spans="1:23">
      <c r="A220" s="169" t="s">
        <v>1035</v>
      </c>
      <c r="B220" s="170">
        <v>10188.450000000001</v>
      </c>
      <c r="C220" s="170">
        <v>1120.68</v>
      </c>
      <c r="D220" s="170">
        <v>1986.74</v>
      </c>
      <c r="U220" s="169" t="s">
        <v>1035</v>
      </c>
      <c r="V220" s="171">
        <v>785.79</v>
      </c>
      <c r="W220" s="171">
        <v>385.18</v>
      </c>
    </row>
    <row r="221" spans="1:23">
      <c r="A221" s="169" t="s">
        <v>1034</v>
      </c>
      <c r="B221" s="170">
        <v>10225.57</v>
      </c>
      <c r="C221" s="170">
        <v>1107.3</v>
      </c>
      <c r="D221" s="170">
        <v>1920.15</v>
      </c>
      <c r="U221" s="169" t="s">
        <v>1034</v>
      </c>
      <c r="V221" s="171">
        <v>803.84</v>
      </c>
      <c r="W221" s="171">
        <v>400.92</v>
      </c>
    </row>
    <row r="222" spans="1:23">
      <c r="A222" s="169" t="s">
        <v>1033</v>
      </c>
      <c r="B222" s="170">
        <v>10357.700000000001</v>
      </c>
      <c r="C222" s="170">
        <v>1126.21</v>
      </c>
      <c r="D222" s="170">
        <v>1994.22</v>
      </c>
      <c r="U222" s="169" t="s">
        <v>1033</v>
      </c>
      <c r="V222" s="171">
        <v>862.84</v>
      </c>
      <c r="W222" s="171">
        <v>453.47</v>
      </c>
    </row>
    <row r="223" spans="1:23">
      <c r="A223" s="169" t="s">
        <v>1032</v>
      </c>
      <c r="B223" s="170">
        <v>10583.92</v>
      </c>
      <c r="C223" s="170">
        <v>1144.94</v>
      </c>
      <c r="D223" s="170">
        <v>2029.82</v>
      </c>
      <c r="U223" s="169" t="s">
        <v>1032</v>
      </c>
      <c r="V223" s="171">
        <v>880.5</v>
      </c>
      <c r="W223" s="171">
        <v>434.16</v>
      </c>
    </row>
    <row r="224" spans="1:23">
      <c r="A224" s="169" t="s">
        <v>1031</v>
      </c>
      <c r="B224" s="170">
        <v>10488.07</v>
      </c>
      <c r="C224" s="170">
        <v>1131.1300000000001</v>
      </c>
      <c r="D224" s="170">
        <v>2066.15</v>
      </c>
      <c r="U224" s="169" t="s">
        <v>1031</v>
      </c>
      <c r="V224" s="171">
        <v>883.42</v>
      </c>
      <c r="W224" s="171">
        <v>428.68</v>
      </c>
    </row>
    <row r="225" spans="1:23">
      <c r="A225" s="169" t="s">
        <v>1018</v>
      </c>
      <c r="B225" s="170">
        <v>10453.92</v>
      </c>
      <c r="C225" s="170">
        <v>1111.92</v>
      </c>
      <c r="D225" s="170">
        <v>2003.37</v>
      </c>
      <c r="U225" s="169" t="s">
        <v>1018</v>
      </c>
      <c r="V225" s="171">
        <v>848.5</v>
      </c>
      <c r="W225" s="171">
        <v>441.45</v>
      </c>
    </row>
    <row r="226" spans="1:23">
      <c r="A226" s="169" t="s">
        <v>1017</v>
      </c>
      <c r="B226" s="170">
        <v>9782.4599999999991</v>
      </c>
      <c r="C226" s="170">
        <v>1058.2</v>
      </c>
      <c r="D226" s="170">
        <v>1960.26</v>
      </c>
      <c r="U226" s="169" t="s">
        <v>1017</v>
      </c>
      <c r="V226" s="171">
        <v>810.71</v>
      </c>
      <c r="W226" s="171">
        <v>448.7</v>
      </c>
    </row>
    <row r="227" spans="1:23">
      <c r="A227" s="169" t="s">
        <v>1016</v>
      </c>
      <c r="B227" s="170">
        <v>9801.1200000000008</v>
      </c>
      <c r="C227" s="170">
        <v>1050.71</v>
      </c>
      <c r="D227" s="170">
        <v>1932.21</v>
      </c>
      <c r="U227" s="169" t="s">
        <v>1016</v>
      </c>
      <c r="V227" s="171">
        <v>796.18</v>
      </c>
      <c r="W227" s="171">
        <v>458.4</v>
      </c>
    </row>
    <row r="228" spans="1:23">
      <c r="A228" s="169" t="s">
        <v>1027</v>
      </c>
      <c r="B228" s="170">
        <v>9275.06</v>
      </c>
      <c r="C228" s="171">
        <v>995.97</v>
      </c>
      <c r="D228" s="170">
        <v>1786.94</v>
      </c>
      <c r="U228" s="169" t="s">
        <v>1027</v>
      </c>
      <c r="V228" s="171">
        <v>782.36</v>
      </c>
      <c r="W228" s="171">
        <v>463.8</v>
      </c>
    </row>
    <row r="229" spans="1:23">
      <c r="A229" s="169" t="s">
        <v>1026</v>
      </c>
      <c r="B229" s="170">
        <v>9415.82</v>
      </c>
      <c r="C229" s="170">
        <v>1008.01</v>
      </c>
      <c r="D229" s="170">
        <v>1810.45</v>
      </c>
      <c r="U229" s="169" t="s">
        <v>1026</v>
      </c>
      <c r="V229" s="171">
        <v>697.52</v>
      </c>
      <c r="W229" s="171">
        <v>448.6</v>
      </c>
    </row>
    <row r="230" spans="1:23">
      <c r="A230" s="169" t="s">
        <v>1025</v>
      </c>
      <c r="B230" s="170">
        <v>9233.7999999999993</v>
      </c>
      <c r="C230" s="171">
        <v>993.32</v>
      </c>
      <c r="D230" s="170">
        <v>1735.02</v>
      </c>
      <c r="U230" s="169" t="s">
        <v>1025</v>
      </c>
      <c r="V230" s="171">
        <v>759.47</v>
      </c>
      <c r="W230" s="171">
        <v>495.4</v>
      </c>
    </row>
    <row r="231" spans="1:23">
      <c r="A231" s="169" t="s">
        <v>1024</v>
      </c>
      <c r="B231" s="170">
        <v>8985.44</v>
      </c>
      <c r="C231" s="171">
        <v>974.5</v>
      </c>
      <c r="D231" s="170">
        <v>1622.8</v>
      </c>
      <c r="U231" s="169" t="s">
        <v>1024</v>
      </c>
      <c r="V231" s="171">
        <v>713.52</v>
      </c>
      <c r="W231" s="171">
        <v>493.3</v>
      </c>
    </row>
    <row r="232" spans="1:23">
      <c r="A232" s="169" t="s">
        <v>1023</v>
      </c>
      <c r="B232" s="170">
        <v>8850.26</v>
      </c>
      <c r="C232" s="171">
        <v>963.59</v>
      </c>
      <c r="D232" s="170">
        <v>1595.91</v>
      </c>
      <c r="U232" s="169" t="s">
        <v>1023</v>
      </c>
      <c r="V232" s="171">
        <v>669.93</v>
      </c>
      <c r="W232" s="171">
        <v>497.5</v>
      </c>
    </row>
    <row r="233" spans="1:23">
      <c r="A233" s="169" t="s">
        <v>1022</v>
      </c>
      <c r="B233" s="170">
        <v>8480.09</v>
      </c>
      <c r="C233" s="171">
        <v>916.92</v>
      </c>
      <c r="D233" s="170">
        <v>1464.31</v>
      </c>
      <c r="U233" s="169" t="s">
        <v>1022</v>
      </c>
      <c r="V233" s="171">
        <v>633.41999999999996</v>
      </c>
      <c r="W233" s="171">
        <v>471.8</v>
      </c>
    </row>
    <row r="234" spans="1:23">
      <c r="A234" s="169" t="s">
        <v>1021</v>
      </c>
      <c r="B234" s="170">
        <v>7992.13</v>
      </c>
      <c r="C234" s="171">
        <v>848.18</v>
      </c>
      <c r="D234" s="170">
        <v>1341.17</v>
      </c>
      <c r="U234" s="169" t="s">
        <v>1021</v>
      </c>
      <c r="V234" s="171">
        <v>599.35</v>
      </c>
      <c r="W234" s="171">
        <v>428</v>
      </c>
    </row>
    <row r="235" spans="1:23">
      <c r="A235" s="169" t="s">
        <v>1020</v>
      </c>
      <c r="B235" s="170">
        <v>7891.08</v>
      </c>
      <c r="C235" s="171">
        <v>841.15</v>
      </c>
      <c r="D235" s="170">
        <v>1337.52</v>
      </c>
      <c r="U235" s="169" t="s">
        <v>1020</v>
      </c>
      <c r="V235" s="171">
        <v>535.70000000000005</v>
      </c>
      <c r="W235" s="171">
        <v>377.7</v>
      </c>
    </row>
    <row r="236" spans="1:23">
      <c r="A236" s="169" t="s">
        <v>1019</v>
      </c>
      <c r="B236" s="170">
        <v>8053.81</v>
      </c>
      <c r="C236" s="171">
        <v>855.7</v>
      </c>
      <c r="D236" s="170">
        <v>1320.91</v>
      </c>
      <c r="U236" s="169" t="s">
        <v>1019</v>
      </c>
      <c r="V236" s="171">
        <v>575.42999999999995</v>
      </c>
      <c r="W236" s="171">
        <v>417.8</v>
      </c>
    </row>
    <row r="237" spans="1:23">
      <c r="A237" s="169" t="s">
        <v>1006</v>
      </c>
      <c r="B237" s="170">
        <v>8341.6299999999992</v>
      </c>
      <c r="C237" s="171">
        <v>879.82</v>
      </c>
      <c r="D237" s="170">
        <v>1335.51</v>
      </c>
      <c r="U237" s="169" t="s">
        <v>1006</v>
      </c>
      <c r="V237" s="171">
        <v>591.86</v>
      </c>
      <c r="W237" s="171">
        <v>433.9</v>
      </c>
    </row>
    <row r="238" spans="1:23">
      <c r="A238" s="169" t="s">
        <v>1005</v>
      </c>
      <c r="B238" s="170">
        <v>8896.09</v>
      </c>
      <c r="C238" s="171">
        <v>936.31</v>
      </c>
      <c r="D238" s="170">
        <v>1478.78</v>
      </c>
      <c r="U238" s="169" t="s">
        <v>1005</v>
      </c>
      <c r="V238" s="171">
        <v>627.54999999999995</v>
      </c>
      <c r="W238" s="171">
        <v>443.6</v>
      </c>
    </row>
    <row r="239" spans="1:23">
      <c r="A239" s="169" t="s">
        <v>1004</v>
      </c>
      <c r="B239" s="170">
        <v>8397.0300000000007</v>
      </c>
      <c r="C239" s="171">
        <v>885.76</v>
      </c>
      <c r="D239" s="170">
        <v>1329.75</v>
      </c>
      <c r="U239" s="169" t="s">
        <v>1004</v>
      </c>
      <c r="V239" s="171">
        <v>724.8</v>
      </c>
      <c r="W239" s="171">
        <v>519</v>
      </c>
    </row>
    <row r="240" spans="1:23">
      <c r="A240" s="169" t="s">
        <v>1015</v>
      </c>
      <c r="B240" s="170">
        <v>7591.93</v>
      </c>
      <c r="C240" s="171">
        <v>815.28</v>
      </c>
      <c r="D240" s="170">
        <v>1172.06</v>
      </c>
      <c r="U240" s="169" t="s">
        <v>1015</v>
      </c>
      <c r="V240" s="171">
        <v>658.92</v>
      </c>
      <c r="W240" s="171">
        <v>480.5</v>
      </c>
    </row>
    <row r="241" spans="1:23">
      <c r="A241" s="169" t="s">
        <v>1014</v>
      </c>
      <c r="B241" s="170">
        <v>8663.5</v>
      </c>
      <c r="C241" s="171">
        <v>916.07</v>
      </c>
      <c r="D241" s="170">
        <v>1314.85</v>
      </c>
      <c r="U241" s="169" t="s">
        <v>1014</v>
      </c>
      <c r="V241" s="171">
        <v>646.41999999999996</v>
      </c>
      <c r="W241" s="171">
        <v>467.1</v>
      </c>
    </row>
    <row r="242" spans="1:23">
      <c r="A242" s="169" t="s">
        <v>1013</v>
      </c>
      <c r="B242" s="170">
        <v>8736.59</v>
      </c>
      <c r="C242" s="171">
        <v>911.62</v>
      </c>
      <c r="D242" s="170">
        <v>1328.26</v>
      </c>
      <c r="U242" s="169" t="s">
        <v>1013</v>
      </c>
      <c r="V242" s="171">
        <v>736.4</v>
      </c>
      <c r="W242" s="171">
        <v>591.1</v>
      </c>
    </row>
    <row r="243" spans="1:23">
      <c r="A243" s="169" t="s">
        <v>1012</v>
      </c>
      <c r="B243" s="170">
        <v>9243.26</v>
      </c>
      <c r="C243" s="171">
        <v>989.82</v>
      </c>
      <c r="D243" s="170">
        <v>1463.21</v>
      </c>
      <c r="U243" s="169" t="s">
        <v>1012</v>
      </c>
      <c r="V243" s="171">
        <v>717.99</v>
      </c>
      <c r="W243" s="171">
        <v>586.20000000000005</v>
      </c>
    </row>
    <row r="244" spans="1:23">
      <c r="A244" s="169" t="s">
        <v>1011</v>
      </c>
      <c r="B244" s="170">
        <v>9925.25</v>
      </c>
      <c r="C244" s="170">
        <v>1067.1400000000001</v>
      </c>
      <c r="D244" s="170">
        <v>1615.73</v>
      </c>
      <c r="U244" s="169" t="s">
        <v>1011</v>
      </c>
      <c r="V244" s="171">
        <v>742.72</v>
      </c>
      <c r="W244" s="171">
        <v>608.5</v>
      </c>
    </row>
    <row r="245" spans="1:23">
      <c r="A245" s="169" t="s">
        <v>1010</v>
      </c>
      <c r="B245" s="170">
        <v>9946.2199999999993</v>
      </c>
      <c r="C245" s="170">
        <v>1076.92</v>
      </c>
      <c r="D245" s="170">
        <v>1688.23</v>
      </c>
      <c r="U245" s="169" t="s">
        <v>1010</v>
      </c>
      <c r="V245" s="171">
        <v>796.4</v>
      </c>
      <c r="W245" s="171">
        <v>697.8</v>
      </c>
    </row>
    <row r="246" spans="1:23">
      <c r="A246" s="169" t="s">
        <v>1009</v>
      </c>
      <c r="B246" s="170">
        <v>10403.94</v>
      </c>
      <c r="C246" s="170">
        <v>1147.3900000000001</v>
      </c>
      <c r="D246" s="170">
        <v>1845.35</v>
      </c>
      <c r="U246" s="169" t="s">
        <v>1009</v>
      </c>
      <c r="V246" s="171">
        <v>842.34</v>
      </c>
      <c r="W246" s="171">
        <v>733.4</v>
      </c>
    </row>
    <row r="247" spans="1:23">
      <c r="A247" s="169" t="s">
        <v>1008</v>
      </c>
      <c r="B247" s="170">
        <v>10106.129999999999</v>
      </c>
      <c r="C247" s="170">
        <v>1106.73</v>
      </c>
      <c r="D247" s="170">
        <v>1731.49</v>
      </c>
      <c r="U247" s="169" t="s">
        <v>1008</v>
      </c>
      <c r="V247" s="171">
        <v>895.58</v>
      </c>
      <c r="W247" s="171">
        <v>927.3</v>
      </c>
    </row>
    <row r="248" spans="1:23">
      <c r="A248" s="169" t="s">
        <v>1007</v>
      </c>
      <c r="B248" s="170">
        <v>9920</v>
      </c>
      <c r="C248" s="170">
        <v>1130.2</v>
      </c>
      <c r="D248" s="170">
        <v>1934.03</v>
      </c>
      <c r="U248" s="169" t="s">
        <v>1007</v>
      </c>
      <c r="V248" s="171">
        <v>819.99</v>
      </c>
      <c r="W248" s="171">
        <v>787.1</v>
      </c>
    </row>
    <row r="249" spans="1:23">
      <c r="A249" s="169" t="s">
        <v>994</v>
      </c>
      <c r="B249" s="170">
        <v>10021.57</v>
      </c>
      <c r="C249" s="170">
        <v>1148.08</v>
      </c>
      <c r="D249" s="170">
        <v>1950.4</v>
      </c>
      <c r="U249" s="169" t="s">
        <v>994</v>
      </c>
      <c r="V249" s="171">
        <v>748.07</v>
      </c>
      <c r="W249" s="171">
        <v>773.6</v>
      </c>
    </row>
    <row r="250" spans="1:23">
      <c r="A250" s="169" t="s">
        <v>993</v>
      </c>
      <c r="B250" s="170">
        <v>9851.56</v>
      </c>
      <c r="C250" s="170">
        <v>1139.45</v>
      </c>
      <c r="D250" s="170">
        <v>1930.58</v>
      </c>
      <c r="U250" s="169" t="s">
        <v>993</v>
      </c>
      <c r="V250" s="171">
        <v>693.7</v>
      </c>
      <c r="W250" s="171">
        <v>722.1</v>
      </c>
    </row>
    <row r="251" spans="1:23">
      <c r="A251" s="169" t="s">
        <v>992</v>
      </c>
      <c r="B251" s="170">
        <v>9075.14</v>
      </c>
      <c r="C251" s="170">
        <v>1059.78</v>
      </c>
      <c r="D251" s="170">
        <v>1690.2</v>
      </c>
      <c r="U251" s="169" t="s">
        <v>992</v>
      </c>
      <c r="V251" s="171">
        <v>643.89</v>
      </c>
      <c r="W251" s="171">
        <v>705.2</v>
      </c>
    </row>
    <row r="252" spans="1:23">
      <c r="A252" s="169" t="s">
        <v>1003</v>
      </c>
      <c r="B252" s="170">
        <v>8847.56</v>
      </c>
      <c r="C252" s="170">
        <v>1040.94</v>
      </c>
      <c r="D252" s="170">
        <v>1498.8</v>
      </c>
      <c r="U252" s="169" t="s">
        <v>1003</v>
      </c>
      <c r="V252" s="171">
        <v>537.80999999999995</v>
      </c>
      <c r="W252" s="171">
        <v>625.5</v>
      </c>
    </row>
    <row r="253" spans="1:23">
      <c r="A253" s="169" t="s">
        <v>1002</v>
      </c>
      <c r="B253" s="170">
        <v>9949.75</v>
      </c>
      <c r="C253" s="170">
        <v>1133.58</v>
      </c>
      <c r="D253" s="170">
        <v>1805.43</v>
      </c>
      <c r="U253" s="169" t="s">
        <v>1002</v>
      </c>
      <c r="V253" s="171">
        <v>479.68</v>
      </c>
      <c r="W253" s="171">
        <v>516.4</v>
      </c>
    </row>
    <row r="254" spans="1:23">
      <c r="A254" s="169" t="s">
        <v>1001</v>
      </c>
      <c r="B254" s="170">
        <v>10522.81</v>
      </c>
      <c r="C254" s="170">
        <v>1211.23</v>
      </c>
      <c r="D254" s="170">
        <v>2027.13</v>
      </c>
      <c r="U254" s="169" t="s">
        <v>1001</v>
      </c>
      <c r="V254" s="171">
        <v>545.11</v>
      </c>
      <c r="W254" s="171">
        <v>618.4</v>
      </c>
    </row>
    <row r="255" spans="1:23">
      <c r="A255" s="169" t="s">
        <v>1000</v>
      </c>
      <c r="B255" s="170">
        <v>10502.4</v>
      </c>
      <c r="C255" s="170">
        <v>1224.3800000000001</v>
      </c>
      <c r="D255" s="170">
        <v>2161.2399999999998</v>
      </c>
      <c r="U255" s="169" t="s">
        <v>1000</v>
      </c>
      <c r="V255" s="171">
        <v>541.54999999999995</v>
      </c>
      <c r="W255" s="171">
        <v>680.9</v>
      </c>
    </row>
    <row r="256" spans="1:23">
      <c r="A256" s="169" t="s">
        <v>999</v>
      </c>
      <c r="B256" s="170">
        <v>10911.94</v>
      </c>
      <c r="C256" s="170">
        <v>1255.82</v>
      </c>
      <c r="D256" s="170">
        <v>2110.4899999999998</v>
      </c>
      <c r="U256" s="169" t="s">
        <v>999</v>
      </c>
      <c r="V256" s="171">
        <v>595.13</v>
      </c>
      <c r="W256" s="171">
        <v>768.7</v>
      </c>
    </row>
    <row r="257" spans="1:23">
      <c r="A257" s="169" t="s">
        <v>998</v>
      </c>
      <c r="B257" s="170">
        <v>10734.97</v>
      </c>
      <c r="C257" s="170">
        <v>1249.46</v>
      </c>
      <c r="D257" s="170">
        <v>2116.2399999999998</v>
      </c>
      <c r="U257" s="169" t="s">
        <v>998</v>
      </c>
      <c r="V257" s="171">
        <v>612.16</v>
      </c>
      <c r="W257" s="171">
        <v>813.5</v>
      </c>
    </row>
    <row r="258" spans="1:23">
      <c r="A258" s="169" t="s">
        <v>997</v>
      </c>
      <c r="B258" s="170">
        <v>9878.7800000000007</v>
      </c>
      <c r="C258" s="170">
        <v>1160.33</v>
      </c>
      <c r="D258" s="170">
        <v>1840.26</v>
      </c>
      <c r="U258" s="169" t="s">
        <v>997</v>
      </c>
      <c r="V258" s="171">
        <v>577.36</v>
      </c>
      <c r="W258" s="171">
        <v>789.7</v>
      </c>
    </row>
    <row r="259" spans="1:23">
      <c r="A259" s="169" t="s">
        <v>996</v>
      </c>
      <c r="B259" s="170">
        <v>10495.28</v>
      </c>
      <c r="C259" s="170">
        <v>1239.94</v>
      </c>
      <c r="D259" s="170">
        <v>2151.83</v>
      </c>
      <c r="U259" s="169" t="s">
        <v>996</v>
      </c>
      <c r="V259" s="171">
        <v>523.22</v>
      </c>
      <c r="W259" s="171">
        <v>684.3</v>
      </c>
    </row>
    <row r="260" spans="1:23">
      <c r="A260" s="169" t="s">
        <v>995</v>
      </c>
      <c r="B260" s="170">
        <v>10887.36</v>
      </c>
      <c r="C260" s="170">
        <v>1366.01</v>
      </c>
      <c r="D260" s="170">
        <v>2772.73</v>
      </c>
      <c r="U260" s="169" t="s">
        <v>995</v>
      </c>
      <c r="V260" s="171">
        <v>578.1</v>
      </c>
      <c r="W260" s="171">
        <v>767.6</v>
      </c>
    </row>
    <row r="261" spans="1:23">
      <c r="A261" s="169" t="s">
        <v>982</v>
      </c>
      <c r="B261" s="170">
        <v>10786.85</v>
      </c>
      <c r="C261" s="170">
        <v>1320.28</v>
      </c>
      <c r="D261" s="170">
        <v>2470.52</v>
      </c>
      <c r="U261" s="169" t="s">
        <v>982</v>
      </c>
      <c r="V261" s="171">
        <v>617.91</v>
      </c>
      <c r="W261" s="171">
        <v>843.6</v>
      </c>
    </row>
    <row r="262" spans="1:23">
      <c r="A262" s="169" t="s">
        <v>981</v>
      </c>
      <c r="B262" s="170">
        <v>10414.49</v>
      </c>
      <c r="C262" s="170">
        <v>1314.95</v>
      </c>
      <c r="D262" s="170">
        <v>2597.9299999999998</v>
      </c>
      <c r="U262" s="169" t="s">
        <v>981</v>
      </c>
      <c r="V262" s="171">
        <v>504.62</v>
      </c>
      <c r="W262" s="171">
        <v>525.79999999999995</v>
      </c>
    </row>
    <row r="263" spans="1:23">
      <c r="A263" s="169" t="s">
        <v>980</v>
      </c>
      <c r="B263" s="170">
        <v>10971.14</v>
      </c>
      <c r="C263" s="170">
        <v>1429.4</v>
      </c>
      <c r="D263" s="170">
        <v>3369.63</v>
      </c>
      <c r="U263" s="169" t="s">
        <v>980</v>
      </c>
      <c r="V263" s="171">
        <v>509.23</v>
      </c>
      <c r="W263" s="171">
        <v>672.6</v>
      </c>
    </row>
    <row r="264" spans="1:23">
      <c r="A264" s="169" t="s">
        <v>991</v>
      </c>
      <c r="B264" s="170">
        <v>10650.92</v>
      </c>
      <c r="C264" s="170">
        <v>1436.51</v>
      </c>
      <c r="D264" s="170">
        <v>3672.82</v>
      </c>
      <c r="U264" s="169" t="s">
        <v>991</v>
      </c>
      <c r="V264" s="171">
        <v>514.48</v>
      </c>
      <c r="W264" s="171">
        <v>746.8</v>
      </c>
    </row>
    <row r="265" spans="1:23">
      <c r="A265" s="169" t="s">
        <v>990</v>
      </c>
      <c r="B265" s="170">
        <v>11215.1</v>
      </c>
      <c r="C265" s="170">
        <v>1517.68</v>
      </c>
      <c r="D265" s="170">
        <v>4206.3500000000004</v>
      </c>
      <c r="U265" s="169" t="s">
        <v>990</v>
      </c>
      <c r="V265" s="171">
        <v>613.22</v>
      </c>
      <c r="W265" s="171">
        <v>901.7</v>
      </c>
    </row>
    <row r="266" spans="1:23">
      <c r="A266" s="169" t="s">
        <v>989</v>
      </c>
      <c r="B266" s="170">
        <v>10521.98</v>
      </c>
      <c r="C266" s="170">
        <v>1430.83</v>
      </c>
      <c r="D266" s="170">
        <v>3766.99</v>
      </c>
      <c r="U266" s="169" t="s">
        <v>989</v>
      </c>
      <c r="V266" s="171">
        <v>688.62</v>
      </c>
      <c r="W266" s="170">
        <v>1085.9000000000001</v>
      </c>
    </row>
    <row r="267" spans="1:23">
      <c r="A267" s="169" t="s">
        <v>988</v>
      </c>
      <c r="B267" s="170">
        <v>10447.9</v>
      </c>
      <c r="C267" s="170">
        <v>1454.6</v>
      </c>
      <c r="D267" s="170">
        <v>3966.11</v>
      </c>
      <c r="U267" s="169" t="s">
        <v>988</v>
      </c>
      <c r="V267" s="171">
        <v>705.97</v>
      </c>
      <c r="W267" s="170">
        <v>1158</v>
      </c>
    </row>
    <row r="268" spans="1:23">
      <c r="A268" s="169" t="s">
        <v>987</v>
      </c>
      <c r="B268" s="170">
        <v>10522.34</v>
      </c>
      <c r="C268" s="170">
        <v>1420.6</v>
      </c>
      <c r="D268" s="170">
        <v>3400.91</v>
      </c>
      <c r="U268" s="169" t="s">
        <v>987</v>
      </c>
      <c r="V268" s="171">
        <v>821.22</v>
      </c>
      <c r="W268" s="170">
        <v>1518.6</v>
      </c>
    </row>
    <row r="269" spans="1:23">
      <c r="A269" s="169" t="s">
        <v>986</v>
      </c>
      <c r="B269" s="170">
        <v>10733.91</v>
      </c>
      <c r="C269" s="170">
        <v>1452.43</v>
      </c>
      <c r="D269" s="170">
        <v>3860.66</v>
      </c>
      <c r="U269" s="169" t="s">
        <v>986</v>
      </c>
      <c r="V269" s="171">
        <v>731.88</v>
      </c>
      <c r="W269" s="170">
        <v>1441.5</v>
      </c>
    </row>
    <row r="270" spans="1:23">
      <c r="A270" s="169" t="s">
        <v>985</v>
      </c>
      <c r="B270" s="170">
        <v>10921.93</v>
      </c>
      <c r="C270" s="170">
        <v>1498.58</v>
      </c>
      <c r="D270" s="170">
        <v>4572.83</v>
      </c>
      <c r="U270" s="169" t="s">
        <v>985</v>
      </c>
      <c r="V270" s="171">
        <v>725.39</v>
      </c>
      <c r="W270" s="170">
        <v>1581.8</v>
      </c>
    </row>
    <row r="271" spans="1:23">
      <c r="A271" s="169" t="s">
        <v>984</v>
      </c>
      <c r="B271" s="170">
        <v>10128.31</v>
      </c>
      <c r="C271" s="170">
        <v>1366.42</v>
      </c>
      <c r="D271" s="170">
        <v>4696.6899999999996</v>
      </c>
      <c r="U271" s="169" t="s">
        <v>984</v>
      </c>
      <c r="V271" s="171">
        <v>860.94</v>
      </c>
      <c r="W271" s="170">
        <v>2212.6999999999998</v>
      </c>
    </row>
    <row r="272" spans="1:23">
      <c r="A272" s="169" t="s">
        <v>983</v>
      </c>
      <c r="B272" s="170">
        <v>10940.53</v>
      </c>
      <c r="C272" s="170">
        <v>1394.46</v>
      </c>
      <c r="D272" s="170">
        <v>3940.35</v>
      </c>
      <c r="U272" s="169" t="s">
        <v>983</v>
      </c>
      <c r="V272" s="171">
        <v>828.38</v>
      </c>
      <c r="W272" s="170">
        <v>2663.7</v>
      </c>
    </row>
    <row r="273" spans="1:23">
      <c r="A273" s="169" t="s">
        <v>970</v>
      </c>
      <c r="B273" s="170">
        <v>11497.12</v>
      </c>
      <c r="C273" s="170">
        <v>1469.25</v>
      </c>
      <c r="D273" s="170">
        <v>4069.31</v>
      </c>
      <c r="U273" s="169" t="s">
        <v>970</v>
      </c>
      <c r="V273" s="171">
        <v>943.88</v>
      </c>
      <c r="W273" s="170">
        <v>1903.7</v>
      </c>
    </row>
    <row r="274" spans="1:23">
      <c r="A274" s="169" t="s">
        <v>969</v>
      </c>
      <c r="B274" s="170">
        <v>10877.81</v>
      </c>
      <c r="C274" s="170">
        <v>1388.91</v>
      </c>
      <c r="D274" s="170">
        <v>3336.16</v>
      </c>
      <c r="U274" s="169" t="s">
        <v>969</v>
      </c>
      <c r="V274" s="170">
        <v>1028.07</v>
      </c>
      <c r="W274" s="170">
        <v>2561.4</v>
      </c>
    </row>
    <row r="275" spans="1:23">
      <c r="A275" s="169" t="s">
        <v>968</v>
      </c>
      <c r="B275" s="170">
        <v>10729.87</v>
      </c>
      <c r="C275" s="170">
        <v>1362.93</v>
      </c>
      <c r="D275" s="170">
        <v>2966.43</v>
      </c>
      <c r="U275" s="169" t="s">
        <v>968</v>
      </c>
      <c r="V275" s="171">
        <v>996.66</v>
      </c>
      <c r="W275" s="170">
        <v>2292</v>
      </c>
    </row>
    <row r="276" spans="1:23">
      <c r="A276" s="169" t="s">
        <v>979</v>
      </c>
      <c r="B276" s="170">
        <v>10336.959999999999</v>
      </c>
      <c r="C276" s="170">
        <v>1282.71</v>
      </c>
      <c r="D276" s="170">
        <v>2746.16</v>
      </c>
      <c r="U276" s="169" t="s">
        <v>979</v>
      </c>
      <c r="V276" s="171">
        <v>833.51</v>
      </c>
      <c r="W276" s="170">
        <v>1793.8</v>
      </c>
    </row>
    <row r="277" spans="1:23">
      <c r="A277" s="169" t="s">
        <v>978</v>
      </c>
      <c r="B277" s="170">
        <v>10829.28</v>
      </c>
      <c r="C277" s="170">
        <v>1320.41</v>
      </c>
      <c r="D277" s="170">
        <v>2739.35</v>
      </c>
      <c r="U277" s="169" t="s">
        <v>978</v>
      </c>
      <c r="V277" s="171">
        <v>836.18</v>
      </c>
      <c r="W277" s="170">
        <v>1571.2</v>
      </c>
    </row>
    <row r="278" spans="1:23">
      <c r="A278" s="169" t="s">
        <v>977</v>
      </c>
      <c r="B278" s="170">
        <v>10655.15</v>
      </c>
      <c r="C278" s="170">
        <v>1328.72</v>
      </c>
      <c r="D278" s="170">
        <v>2638.49</v>
      </c>
      <c r="U278" s="169" t="s">
        <v>977</v>
      </c>
      <c r="V278" s="171">
        <v>937.88</v>
      </c>
      <c r="W278" s="170">
        <v>2009.6</v>
      </c>
    </row>
    <row r="279" spans="1:23">
      <c r="A279" s="169" t="s">
        <v>976</v>
      </c>
      <c r="B279" s="170">
        <v>10970.81</v>
      </c>
      <c r="C279" s="170">
        <v>1372.71</v>
      </c>
      <c r="D279" s="170">
        <v>2686.12</v>
      </c>
      <c r="U279" s="169" t="s">
        <v>976</v>
      </c>
      <c r="V279" s="171">
        <v>969.72</v>
      </c>
      <c r="W279" s="170">
        <v>1929.7</v>
      </c>
    </row>
    <row r="280" spans="1:23">
      <c r="A280" s="169" t="s">
        <v>975</v>
      </c>
      <c r="B280" s="170">
        <v>10559.74</v>
      </c>
      <c r="C280" s="170">
        <v>1301.8399999999999</v>
      </c>
      <c r="D280" s="170">
        <v>2470.52</v>
      </c>
      <c r="U280" s="169" t="s">
        <v>975</v>
      </c>
      <c r="V280" s="171">
        <v>883</v>
      </c>
      <c r="W280" s="170">
        <v>1795.5</v>
      </c>
    </row>
    <row r="281" spans="1:23">
      <c r="A281" s="169" t="s">
        <v>974</v>
      </c>
      <c r="B281" s="170">
        <v>10789.04</v>
      </c>
      <c r="C281" s="170">
        <v>1335.18</v>
      </c>
      <c r="D281" s="170">
        <v>2542.85</v>
      </c>
      <c r="U281" s="169" t="s">
        <v>974</v>
      </c>
      <c r="V281" s="171">
        <v>736.02</v>
      </c>
      <c r="W281" s="170">
        <v>1454.8</v>
      </c>
    </row>
    <row r="282" spans="1:23">
      <c r="A282" s="169" t="s">
        <v>973</v>
      </c>
      <c r="B282" s="170">
        <v>9786.16</v>
      </c>
      <c r="C282" s="170">
        <v>1286.3699999999999</v>
      </c>
      <c r="D282" s="170">
        <v>2461.4</v>
      </c>
      <c r="U282" s="169" t="s">
        <v>973</v>
      </c>
      <c r="V282" s="171">
        <v>752.59</v>
      </c>
      <c r="W282" s="170">
        <v>1191</v>
      </c>
    </row>
    <row r="283" spans="1:23">
      <c r="A283" s="169" t="s">
        <v>972</v>
      </c>
      <c r="B283" s="170">
        <v>9306.57</v>
      </c>
      <c r="C283" s="170">
        <v>1238.33</v>
      </c>
      <c r="D283" s="170">
        <v>2288.0300000000002</v>
      </c>
      <c r="U283" s="169" t="s">
        <v>972</v>
      </c>
      <c r="V283" s="171">
        <v>618.98</v>
      </c>
      <c r="W283" s="171">
        <v>797.9</v>
      </c>
    </row>
    <row r="284" spans="1:23">
      <c r="A284" s="169" t="s">
        <v>971</v>
      </c>
      <c r="B284" s="170">
        <v>9358.83</v>
      </c>
      <c r="C284" s="170">
        <v>1279.6400000000001</v>
      </c>
      <c r="D284" s="170">
        <v>2505.89</v>
      </c>
      <c r="U284" s="169" t="s">
        <v>971</v>
      </c>
      <c r="V284" s="171">
        <v>520.05999999999995</v>
      </c>
      <c r="W284" s="171">
        <v>723</v>
      </c>
    </row>
    <row r="285" spans="1:23">
      <c r="A285" s="169" t="s">
        <v>958</v>
      </c>
      <c r="B285" s="170">
        <v>9181.43</v>
      </c>
      <c r="C285" s="170">
        <v>1229.23</v>
      </c>
      <c r="D285" s="170">
        <v>2192.69</v>
      </c>
      <c r="U285" s="169" t="s">
        <v>958</v>
      </c>
      <c r="V285" s="171">
        <v>571.42999999999995</v>
      </c>
      <c r="W285" s="171">
        <v>761.6</v>
      </c>
    </row>
    <row r="286" spans="1:23">
      <c r="A286" s="169" t="s">
        <v>957</v>
      </c>
      <c r="B286" s="170">
        <v>9116.5499999999993</v>
      </c>
      <c r="C286" s="170">
        <v>1163.6300000000001</v>
      </c>
      <c r="D286" s="170">
        <v>1949.54</v>
      </c>
      <c r="U286" s="169" t="s">
        <v>957</v>
      </c>
      <c r="V286" s="171">
        <v>562.46</v>
      </c>
      <c r="W286" s="171">
        <v>751.8</v>
      </c>
    </row>
    <row r="287" spans="1:23">
      <c r="A287" s="169" t="s">
        <v>956</v>
      </c>
      <c r="B287" s="170">
        <v>8592.11</v>
      </c>
      <c r="C287" s="170">
        <v>1098.67</v>
      </c>
      <c r="D287" s="170">
        <v>1771.39</v>
      </c>
      <c r="U287" s="169" t="s">
        <v>956</v>
      </c>
      <c r="V287" s="171">
        <v>451.88</v>
      </c>
      <c r="W287" s="171">
        <v>641.29999999999995</v>
      </c>
    </row>
    <row r="288" spans="1:23">
      <c r="A288" s="169" t="s">
        <v>967</v>
      </c>
      <c r="B288" s="170">
        <v>7842.62</v>
      </c>
      <c r="C288" s="170">
        <v>1017.01</v>
      </c>
      <c r="D288" s="170">
        <v>1693.84</v>
      </c>
      <c r="U288" s="169" t="s">
        <v>967</v>
      </c>
      <c r="V288" s="171">
        <v>403.44</v>
      </c>
      <c r="W288" s="171">
        <v>639.4</v>
      </c>
    </row>
    <row r="289" spans="1:23">
      <c r="A289" s="169" t="s">
        <v>966</v>
      </c>
      <c r="B289" s="170">
        <v>7539.07</v>
      </c>
      <c r="C289" s="171">
        <v>957.28</v>
      </c>
      <c r="D289" s="170">
        <v>1499.25</v>
      </c>
      <c r="U289" s="169" t="s">
        <v>966</v>
      </c>
      <c r="V289" s="171">
        <v>310.32</v>
      </c>
      <c r="W289" s="171">
        <v>610.29999999999995</v>
      </c>
    </row>
    <row r="290" spans="1:23">
      <c r="A290" s="169" t="s">
        <v>965</v>
      </c>
      <c r="B290" s="170">
        <v>8883.2900000000009</v>
      </c>
      <c r="C290" s="170">
        <v>1120.67</v>
      </c>
      <c r="D290" s="170">
        <v>1872.39</v>
      </c>
      <c r="U290" s="169" t="s">
        <v>965</v>
      </c>
      <c r="V290" s="171">
        <v>310.16000000000003</v>
      </c>
      <c r="W290" s="171">
        <v>637.6</v>
      </c>
    </row>
    <row r="291" spans="1:23">
      <c r="A291" s="169" t="s">
        <v>964</v>
      </c>
      <c r="B291" s="170">
        <v>8952.01</v>
      </c>
      <c r="C291" s="170">
        <v>1133.8399999999999</v>
      </c>
      <c r="D291" s="170">
        <v>1894.74</v>
      </c>
      <c r="U291" s="169" t="s">
        <v>964</v>
      </c>
      <c r="V291" s="171">
        <v>343.33</v>
      </c>
      <c r="W291" s="171">
        <v>698.1</v>
      </c>
    </row>
    <row r="292" spans="1:23">
      <c r="A292" s="169" t="s">
        <v>963</v>
      </c>
      <c r="B292" s="170">
        <v>8899.9500000000007</v>
      </c>
      <c r="C292" s="170">
        <v>1090.82</v>
      </c>
      <c r="D292" s="170">
        <v>1778.87</v>
      </c>
      <c r="U292" s="169" t="s">
        <v>963</v>
      </c>
      <c r="V292" s="171">
        <v>297.88</v>
      </c>
      <c r="W292" s="171">
        <v>746.7</v>
      </c>
    </row>
    <row r="293" spans="1:23">
      <c r="A293" s="169" t="s">
        <v>962</v>
      </c>
      <c r="B293" s="170">
        <v>9063.36</v>
      </c>
      <c r="C293" s="170">
        <v>1111.75</v>
      </c>
      <c r="D293" s="170">
        <v>1868.41</v>
      </c>
      <c r="U293" s="169" t="s">
        <v>962</v>
      </c>
      <c r="V293" s="171">
        <v>332.03</v>
      </c>
      <c r="W293" s="171">
        <v>782.9</v>
      </c>
    </row>
    <row r="294" spans="1:23">
      <c r="A294" s="169" t="s">
        <v>961</v>
      </c>
      <c r="B294" s="170">
        <v>8799.81</v>
      </c>
      <c r="C294" s="170">
        <v>1101.75</v>
      </c>
      <c r="D294" s="170">
        <v>1835.68</v>
      </c>
      <c r="U294" s="169" t="s">
        <v>961</v>
      </c>
      <c r="V294" s="171">
        <v>421.22</v>
      </c>
      <c r="W294" s="171">
        <v>906</v>
      </c>
    </row>
    <row r="295" spans="1:23">
      <c r="A295" s="169" t="s">
        <v>960</v>
      </c>
      <c r="B295" s="170">
        <v>8545.7199999999993</v>
      </c>
      <c r="C295" s="170">
        <v>1049.3399999999999</v>
      </c>
      <c r="D295" s="170">
        <v>1770.51</v>
      </c>
      <c r="U295" s="169" t="s">
        <v>960</v>
      </c>
      <c r="V295" s="171">
        <v>481.04</v>
      </c>
      <c r="W295" s="170">
        <v>1030.5999999999999</v>
      </c>
    </row>
    <row r="296" spans="1:23">
      <c r="A296" s="169" t="s">
        <v>959</v>
      </c>
      <c r="B296" s="170">
        <v>7906.5</v>
      </c>
      <c r="C296" s="171">
        <v>980.28</v>
      </c>
      <c r="D296" s="170">
        <v>1619.36</v>
      </c>
      <c r="U296" s="169" t="s">
        <v>959</v>
      </c>
      <c r="V296" s="171">
        <v>558.98</v>
      </c>
      <c r="W296" s="170">
        <v>1032.7</v>
      </c>
    </row>
    <row r="297" spans="1:23">
      <c r="A297" s="169" t="s">
        <v>946</v>
      </c>
      <c r="B297" s="170">
        <v>7908.24</v>
      </c>
      <c r="C297" s="171">
        <v>970.43</v>
      </c>
      <c r="D297" s="170">
        <v>1570.35</v>
      </c>
      <c r="U297" s="169" t="s">
        <v>946</v>
      </c>
      <c r="V297" s="171">
        <v>567.38</v>
      </c>
      <c r="W297" s="170">
        <v>1031.2</v>
      </c>
    </row>
    <row r="298" spans="1:23">
      <c r="A298" s="169" t="s">
        <v>945</v>
      </c>
      <c r="B298" s="170">
        <v>7823.1</v>
      </c>
      <c r="C298" s="171">
        <v>955.4</v>
      </c>
      <c r="D298" s="170">
        <v>1600.55</v>
      </c>
      <c r="U298" s="169" t="s">
        <v>945</v>
      </c>
      <c r="V298" s="171">
        <v>376.31</v>
      </c>
      <c r="W298" s="171">
        <v>972.5</v>
      </c>
    </row>
    <row r="299" spans="1:23">
      <c r="A299" s="169" t="s">
        <v>944</v>
      </c>
      <c r="B299" s="170">
        <v>7442.08</v>
      </c>
      <c r="C299" s="171">
        <v>914.62</v>
      </c>
      <c r="D299" s="170">
        <v>1593.61</v>
      </c>
      <c r="U299" s="169" t="s">
        <v>944</v>
      </c>
      <c r="V299" s="171">
        <v>407.86</v>
      </c>
      <c r="W299" s="170">
        <v>1098.0999999999999</v>
      </c>
    </row>
    <row r="300" spans="1:23">
      <c r="A300" s="169" t="s">
        <v>955</v>
      </c>
      <c r="B300" s="170">
        <v>7945.3</v>
      </c>
      <c r="C300" s="171">
        <v>947.28</v>
      </c>
      <c r="D300" s="170">
        <v>1685.69</v>
      </c>
      <c r="U300" s="169" t="s">
        <v>955</v>
      </c>
      <c r="V300" s="171">
        <v>470.79</v>
      </c>
      <c r="W300" s="170">
        <v>1204.3</v>
      </c>
    </row>
    <row r="301" spans="1:23">
      <c r="A301" s="169" t="s">
        <v>954</v>
      </c>
      <c r="B301" s="170">
        <v>7622.42</v>
      </c>
      <c r="C301" s="171">
        <v>899.47</v>
      </c>
      <c r="D301" s="170">
        <v>1587.32</v>
      </c>
      <c r="U301" s="169" t="s">
        <v>954</v>
      </c>
      <c r="V301" s="171">
        <v>647.11</v>
      </c>
      <c r="W301" s="170">
        <v>1327.4</v>
      </c>
    </row>
    <row r="302" spans="1:23">
      <c r="A302" s="169" t="s">
        <v>953</v>
      </c>
      <c r="B302" s="170">
        <v>8222.61</v>
      </c>
      <c r="C302" s="171">
        <v>954.31</v>
      </c>
      <c r="D302" s="170">
        <v>1593.81</v>
      </c>
      <c r="U302" s="169" t="s">
        <v>953</v>
      </c>
      <c r="V302" s="171">
        <v>695.37</v>
      </c>
      <c r="W302" s="170">
        <v>1340.1</v>
      </c>
    </row>
    <row r="303" spans="1:23">
      <c r="A303" s="169" t="s">
        <v>952</v>
      </c>
      <c r="B303" s="170">
        <v>7672.8</v>
      </c>
      <c r="C303" s="171">
        <v>885.14</v>
      </c>
      <c r="D303" s="170">
        <v>1442.07</v>
      </c>
      <c r="U303" s="169" t="s">
        <v>952</v>
      </c>
      <c r="V303" s="171">
        <v>726.12</v>
      </c>
      <c r="W303" s="170">
        <v>1331.3</v>
      </c>
    </row>
    <row r="304" spans="1:23">
      <c r="A304" s="169" t="s">
        <v>951</v>
      </c>
      <c r="B304" s="170">
        <v>7331.04</v>
      </c>
      <c r="C304" s="171">
        <v>848.28</v>
      </c>
      <c r="D304" s="170">
        <v>1400.32</v>
      </c>
      <c r="U304" s="169" t="s">
        <v>951</v>
      </c>
      <c r="V304" s="171">
        <v>745.4</v>
      </c>
      <c r="W304" s="170">
        <v>1331.1</v>
      </c>
    </row>
    <row r="305" spans="1:23">
      <c r="A305" s="169" t="s">
        <v>950</v>
      </c>
      <c r="B305" s="170">
        <v>7008.99</v>
      </c>
      <c r="C305" s="171">
        <v>801.34</v>
      </c>
      <c r="D305" s="170">
        <v>1260.76</v>
      </c>
      <c r="U305" s="169" t="s">
        <v>950</v>
      </c>
      <c r="V305" s="171">
        <v>756.77</v>
      </c>
      <c r="W305" s="170">
        <v>1308.0999999999999</v>
      </c>
    </row>
    <row r="306" spans="1:23">
      <c r="A306" s="169" t="s">
        <v>949</v>
      </c>
      <c r="B306" s="170">
        <v>6583.48</v>
      </c>
      <c r="C306" s="171">
        <v>757.12</v>
      </c>
      <c r="D306" s="170">
        <v>1221.7</v>
      </c>
      <c r="U306" s="169" t="s">
        <v>949</v>
      </c>
      <c r="V306" s="171">
        <v>703.23</v>
      </c>
      <c r="W306" s="170">
        <v>1252.9000000000001</v>
      </c>
    </row>
    <row r="307" spans="1:23">
      <c r="A307" s="169" t="s">
        <v>948</v>
      </c>
      <c r="B307" s="170">
        <v>6877.74</v>
      </c>
      <c r="C307" s="171">
        <v>790.82</v>
      </c>
      <c r="D307" s="170">
        <v>1309</v>
      </c>
      <c r="U307" s="169" t="s">
        <v>948</v>
      </c>
      <c r="V307" s="171">
        <v>677.34</v>
      </c>
      <c r="W307" s="170">
        <v>1204.7</v>
      </c>
    </row>
    <row r="308" spans="1:23">
      <c r="A308" s="169" t="s">
        <v>947</v>
      </c>
      <c r="B308" s="170">
        <v>6813.09</v>
      </c>
      <c r="C308" s="171">
        <v>786.16</v>
      </c>
      <c r="D308" s="170">
        <v>1379.85</v>
      </c>
      <c r="U308" s="169" t="s">
        <v>947</v>
      </c>
      <c r="V308" s="171">
        <v>676.53</v>
      </c>
      <c r="W308" s="170">
        <v>1183.5</v>
      </c>
    </row>
    <row r="309" spans="1:23">
      <c r="A309" s="169" t="s">
        <v>934</v>
      </c>
      <c r="B309" s="170">
        <v>6448.27</v>
      </c>
      <c r="C309" s="171">
        <v>740.74</v>
      </c>
      <c r="D309" s="170">
        <v>1291.03</v>
      </c>
      <c r="U309" s="169" t="s">
        <v>934</v>
      </c>
      <c r="V309" s="171">
        <v>685.84</v>
      </c>
    </row>
    <row r="310" spans="1:23">
      <c r="A310" s="169" t="s">
        <v>933</v>
      </c>
      <c r="B310" s="170">
        <v>6521.7</v>
      </c>
      <c r="C310" s="171">
        <v>757.02</v>
      </c>
      <c r="D310" s="170">
        <v>1292.6099999999999</v>
      </c>
      <c r="U310" s="169" t="s">
        <v>933</v>
      </c>
      <c r="V310" s="171">
        <v>651.22</v>
      </c>
    </row>
    <row r="311" spans="1:23">
      <c r="A311" s="169" t="s">
        <v>932</v>
      </c>
      <c r="B311" s="170">
        <v>6029.38</v>
      </c>
      <c r="C311" s="171">
        <v>705.27</v>
      </c>
      <c r="D311" s="170">
        <v>1221.51</v>
      </c>
      <c r="U311" s="169" t="s">
        <v>932</v>
      </c>
      <c r="V311" s="171">
        <v>726.48</v>
      </c>
    </row>
    <row r="312" spans="1:23">
      <c r="A312" s="169" t="s">
        <v>943</v>
      </c>
      <c r="B312" s="170">
        <v>5882.17</v>
      </c>
      <c r="C312" s="171">
        <v>687.33</v>
      </c>
      <c r="D312" s="170">
        <v>1226.92</v>
      </c>
      <c r="U312" s="169" t="s">
        <v>943</v>
      </c>
      <c r="V312" s="171">
        <v>757.59</v>
      </c>
    </row>
    <row r="313" spans="1:23">
      <c r="A313" s="169" t="s">
        <v>942</v>
      </c>
      <c r="B313" s="170">
        <v>5616.2</v>
      </c>
      <c r="C313" s="171">
        <v>651.99</v>
      </c>
      <c r="D313" s="170">
        <v>1141.5</v>
      </c>
      <c r="U313" s="169" t="s">
        <v>942</v>
      </c>
      <c r="V313" s="171">
        <v>789.67</v>
      </c>
    </row>
    <row r="314" spans="1:23">
      <c r="A314" s="169" t="s">
        <v>941</v>
      </c>
      <c r="B314" s="170">
        <v>5528.91</v>
      </c>
      <c r="C314" s="171">
        <v>639.95000000000005</v>
      </c>
      <c r="D314" s="170">
        <v>1080.5899999999999</v>
      </c>
      <c r="U314" s="169" t="s">
        <v>941</v>
      </c>
      <c r="V314" s="171">
        <v>781.49</v>
      </c>
    </row>
    <row r="315" spans="1:23">
      <c r="A315" s="169" t="s">
        <v>940</v>
      </c>
      <c r="B315" s="170">
        <v>5654.63</v>
      </c>
      <c r="C315" s="171">
        <v>670.63</v>
      </c>
      <c r="D315" s="170">
        <v>1185.02</v>
      </c>
      <c r="U315" s="169" t="s">
        <v>940</v>
      </c>
      <c r="V315" s="171">
        <v>821.71</v>
      </c>
    </row>
    <row r="316" spans="1:23">
      <c r="A316" s="169" t="s">
        <v>939</v>
      </c>
      <c r="B316" s="170">
        <v>5643.17</v>
      </c>
      <c r="C316" s="171">
        <v>669.12</v>
      </c>
      <c r="D316" s="170">
        <v>1243.43</v>
      </c>
      <c r="U316" s="169" t="s">
        <v>939</v>
      </c>
      <c r="V316" s="171">
        <v>817.43</v>
      </c>
    </row>
    <row r="317" spans="1:23">
      <c r="A317" s="169" t="s">
        <v>938</v>
      </c>
      <c r="B317" s="170">
        <v>5569.07</v>
      </c>
      <c r="C317" s="171">
        <v>654.16999999999996</v>
      </c>
      <c r="D317" s="170">
        <v>1190.52</v>
      </c>
      <c r="U317" s="169" t="s">
        <v>938</v>
      </c>
      <c r="V317" s="171">
        <v>903.09</v>
      </c>
    </row>
    <row r="318" spans="1:23">
      <c r="A318" s="169" t="s">
        <v>937</v>
      </c>
      <c r="B318" s="170">
        <v>5587.14</v>
      </c>
      <c r="C318" s="171">
        <v>645.5</v>
      </c>
      <c r="D318" s="170">
        <v>1101.4000000000001</v>
      </c>
      <c r="U318" s="169" t="s">
        <v>937</v>
      </c>
      <c r="V318" s="171">
        <v>980.9</v>
      </c>
    </row>
    <row r="319" spans="1:23">
      <c r="A319" s="169" t="s">
        <v>936</v>
      </c>
      <c r="B319" s="170">
        <v>5485.62</v>
      </c>
      <c r="C319" s="171">
        <v>640.42999999999995</v>
      </c>
      <c r="D319" s="170">
        <v>1100.05</v>
      </c>
      <c r="U319" s="169" t="s">
        <v>936</v>
      </c>
      <c r="V319" s="171">
        <v>874.16</v>
      </c>
    </row>
    <row r="320" spans="1:23">
      <c r="A320" s="169" t="s">
        <v>935</v>
      </c>
      <c r="B320" s="170">
        <v>5395.3</v>
      </c>
      <c r="C320" s="171">
        <v>636.02</v>
      </c>
      <c r="D320" s="170">
        <v>1059.79</v>
      </c>
      <c r="U320" s="169" t="s">
        <v>935</v>
      </c>
      <c r="V320" s="171">
        <v>852.83</v>
      </c>
    </row>
    <row r="321" spans="1:22">
      <c r="A321" s="169" t="s">
        <v>922</v>
      </c>
      <c r="B321" s="170">
        <v>5117.12</v>
      </c>
      <c r="C321" s="171">
        <v>615.92999999999995</v>
      </c>
      <c r="D321" s="170">
        <v>1052.1300000000001</v>
      </c>
      <c r="U321" s="169" t="s">
        <v>922</v>
      </c>
      <c r="V321" s="171">
        <v>878.82</v>
      </c>
    </row>
    <row r="322" spans="1:22">
      <c r="A322" s="169" t="s">
        <v>921</v>
      </c>
      <c r="B322" s="170">
        <v>5074.49</v>
      </c>
      <c r="C322" s="171">
        <v>605.37</v>
      </c>
      <c r="D322" s="170">
        <v>1059.2</v>
      </c>
      <c r="U322" s="169" t="s">
        <v>921</v>
      </c>
      <c r="V322" s="171">
        <v>882.94</v>
      </c>
    </row>
    <row r="323" spans="1:22">
      <c r="A323" s="169" t="s">
        <v>920</v>
      </c>
      <c r="B323" s="170">
        <v>4755.4799999999996</v>
      </c>
      <c r="C323" s="171">
        <v>581.5</v>
      </c>
      <c r="D323" s="170">
        <v>1036.06</v>
      </c>
      <c r="U323" s="169" t="s">
        <v>920</v>
      </c>
      <c r="V323" s="171">
        <v>930.92</v>
      </c>
    </row>
    <row r="324" spans="1:22">
      <c r="A324" s="169" t="s">
        <v>931</v>
      </c>
      <c r="B324" s="170">
        <v>4789.08</v>
      </c>
      <c r="C324" s="171">
        <v>584.41</v>
      </c>
      <c r="D324" s="170">
        <v>1043.54</v>
      </c>
      <c r="U324" s="169" t="s">
        <v>931</v>
      </c>
      <c r="V324" s="171">
        <v>990.26</v>
      </c>
    </row>
    <row r="325" spans="1:22">
      <c r="A325" s="169" t="s">
        <v>930</v>
      </c>
      <c r="B325" s="170">
        <v>4610.5600000000004</v>
      </c>
      <c r="C325" s="171">
        <v>561.88</v>
      </c>
      <c r="D325" s="170">
        <v>1020.11</v>
      </c>
      <c r="U325" s="169" t="s">
        <v>930</v>
      </c>
      <c r="V325" s="171">
        <v>982.65</v>
      </c>
    </row>
    <row r="326" spans="1:22">
      <c r="A326" s="169" t="s">
        <v>929</v>
      </c>
      <c r="B326" s="170">
        <v>4708.47</v>
      </c>
      <c r="C326" s="171">
        <v>562.05999999999995</v>
      </c>
      <c r="D326" s="170">
        <v>1001.21</v>
      </c>
      <c r="U326" s="169" t="s">
        <v>929</v>
      </c>
      <c r="V326" s="171">
        <v>914.06</v>
      </c>
    </row>
    <row r="327" spans="1:22">
      <c r="A327" s="169" t="s">
        <v>928</v>
      </c>
      <c r="B327" s="170">
        <v>4556.09</v>
      </c>
      <c r="C327" s="171">
        <v>544.75</v>
      </c>
      <c r="D327" s="171">
        <v>933.45</v>
      </c>
      <c r="U327" s="169" t="s">
        <v>928</v>
      </c>
      <c r="V327" s="171">
        <v>933.57</v>
      </c>
    </row>
    <row r="328" spans="1:22">
      <c r="A328" s="169" t="s">
        <v>927</v>
      </c>
      <c r="B328" s="170">
        <v>4465.1400000000003</v>
      </c>
      <c r="C328" s="171">
        <v>533.4</v>
      </c>
      <c r="D328" s="171">
        <v>864.58</v>
      </c>
      <c r="U328" s="169" t="s">
        <v>927</v>
      </c>
      <c r="V328" s="171">
        <v>894.41</v>
      </c>
    </row>
    <row r="329" spans="1:22">
      <c r="A329" s="169" t="s">
        <v>926</v>
      </c>
      <c r="B329" s="170">
        <v>4321.2700000000004</v>
      </c>
      <c r="C329" s="171">
        <v>514.71</v>
      </c>
      <c r="D329" s="171">
        <v>843.98</v>
      </c>
      <c r="U329" s="169" t="s">
        <v>926</v>
      </c>
      <c r="V329" s="171">
        <v>882.5</v>
      </c>
    </row>
    <row r="330" spans="1:22">
      <c r="A330" s="169" t="s">
        <v>925</v>
      </c>
      <c r="B330" s="170">
        <v>4157.6899999999996</v>
      </c>
      <c r="C330" s="171">
        <v>500.71</v>
      </c>
      <c r="D330" s="171">
        <v>817.21</v>
      </c>
      <c r="U330" s="169" t="s">
        <v>925</v>
      </c>
      <c r="V330" s="171">
        <v>897</v>
      </c>
    </row>
    <row r="331" spans="1:22">
      <c r="A331" s="169" t="s">
        <v>924</v>
      </c>
      <c r="B331" s="170">
        <v>4011.05</v>
      </c>
      <c r="C331" s="171">
        <v>487.39</v>
      </c>
      <c r="D331" s="171">
        <v>793.73</v>
      </c>
      <c r="U331" s="169" t="s">
        <v>924</v>
      </c>
      <c r="V331" s="171">
        <v>931.78</v>
      </c>
    </row>
    <row r="332" spans="1:22">
      <c r="A332" s="169" t="s">
        <v>923</v>
      </c>
      <c r="B332" s="170">
        <v>3843.86</v>
      </c>
      <c r="C332" s="171">
        <v>470.42</v>
      </c>
      <c r="D332" s="171">
        <v>755.2</v>
      </c>
      <c r="U332" s="169" t="s">
        <v>923</v>
      </c>
      <c r="V332" s="171">
        <v>885.69</v>
      </c>
    </row>
    <row r="333" spans="1:22">
      <c r="A333" s="169" t="s">
        <v>910</v>
      </c>
      <c r="B333" s="170">
        <v>3834.44</v>
      </c>
      <c r="C333" s="171">
        <v>459.27</v>
      </c>
      <c r="D333" s="171">
        <v>751.96</v>
      </c>
      <c r="U333" s="169" t="s">
        <v>910</v>
      </c>
      <c r="V333" s="171">
        <v>925.56</v>
      </c>
    </row>
    <row r="334" spans="1:22">
      <c r="A334" s="169" t="s">
        <v>909</v>
      </c>
      <c r="B334" s="170">
        <v>3739.22</v>
      </c>
      <c r="C334" s="171">
        <v>453.69</v>
      </c>
      <c r="D334" s="171">
        <v>750.32</v>
      </c>
      <c r="U334" s="169" t="s">
        <v>909</v>
      </c>
      <c r="V334" s="170">
        <v>1027.3699999999999</v>
      </c>
    </row>
    <row r="335" spans="1:22">
      <c r="A335" s="169" t="s">
        <v>908</v>
      </c>
      <c r="B335" s="170">
        <v>3908.12</v>
      </c>
      <c r="C335" s="171">
        <v>472.35</v>
      </c>
      <c r="D335" s="171">
        <v>777.49</v>
      </c>
      <c r="U335" s="169" t="s">
        <v>908</v>
      </c>
      <c r="V335" s="170">
        <v>1074.4100000000001</v>
      </c>
    </row>
    <row r="336" spans="1:22">
      <c r="A336" s="169" t="s">
        <v>919</v>
      </c>
      <c r="B336" s="170">
        <v>3843.18</v>
      </c>
      <c r="C336" s="171">
        <v>462.71</v>
      </c>
      <c r="D336" s="171">
        <v>764.29</v>
      </c>
      <c r="U336" s="169" t="s">
        <v>919</v>
      </c>
      <c r="V336" s="170">
        <v>1105.6199999999999</v>
      </c>
    </row>
    <row r="337" spans="1:22">
      <c r="A337" s="169" t="s">
        <v>918</v>
      </c>
      <c r="B337" s="170">
        <v>3913.42</v>
      </c>
      <c r="C337" s="171">
        <v>475.49</v>
      </c>
      <c r="D337" s="171">
        <v>765.62</v>
      </c>
      <c r="U337" s="169" t="s">
        <v>918</v>
      </c>
      <c r="V337" s="170">
        <v>1050.51</v>
      </c>
    </row>
    <row r="338" spans="1:22">
      <c r="A338" s="169" t="s">
        <v>917</v>
      </c>
      <c r="B338" s="170">
        <v>3764.5</v>
      </c>
      <c r="C338" s="171">
        <v>458.26</v>
      </c>
      <c r="D338" s="171">
        <v>722.16</v>
      </c>
      <c r="U338" s="169" t="s">
        <v>917</v>
      </c>
      <c r="V338" s="171">
        <v>944.23</v>
      </c>
    </row>
    <row r="339" spans="1:22">
      <c r="A339" s="169" t="s">
        <v>916</v>
      </c>
      <c r="B339" s="170">
        <v>3624.96</v>
      </c>
      <c r="C339" s="171">
        <v>444.27</v>
      </c>
      <c r="D339" s="171">
        <v>705.96</v>
      </c>
      <c r="U339" s="169" t="s">
        <v>916</v>
      </c>
      <c r="V339" s="171">
        <v>927.97</v>
      </c>
    </row>
    <row r="340" spans="1:22">
      <c r="A340" s="169" t="s">
        <v>915</v>
      </c>
      <c r="B340" s="170">
        <v>3758.37</v>
      </c>
      <c r="C340" s="171">
        <v>456.5</v>
      </c>
      <c r="D340" s="171">
        <v>735.19</v>
      </c>
      <c r="U340" s="169" t="s">
        <v>915</v>
      </c>
      <c r="V340" s="171">
        <v>933.36</v>
      </c>
    </row>
    <row r="341" spans="1:22">
      <c r="A341" s="169" t="s">
        <v>914</v>
      </c>
      <c r="B341" s="170">
        <v>3681.69</v>
      </c>
      <c r="C341" s="171">
        <v>450.91</v>
      </c>
      <c r="D341" s="171">
        <v>733.84</v>
      </c>
      <c r="U341" s="169" t="s">
        <v>914</v>
      </c>
      <c r="V341" s="171">
        <v>939.49</v>
      </c>
    </row>
    <row r="342" spans="1:22">
      <c r="A342" s="169" t="s">
        <v>913</v>
      </c>
      <c r="B342" s="170">
        <v>3635.96</v>
      </c>
      <c r="C342" s="171">
        <v>445.77</v>
      </c>
      <c r="D342" s="171">
        <v>743.46</v>
      </c>
      <c r="U342" s="169" t="s">
        <v>913</v>
      </c>
      <c r="V342" s="171">
        <v>908.72</v>
      </c>
    </row>
    <row r="343" spans="1:22">
      <c r="A343" s="169" t="s">
        <v>912</v>
      </c>
      <c r="B343" s="170">
        <v>3832.02</v>
      </c>
      <c r="C343" s="171">
        <v>467.14</v>
      </c>
      <c r="D343" s="171">
        <v>792.5</v>
      </c>
      <c r="U343" s="169" t="s">
        <v>912</v>
      </c>
      <c r="V343" s="171">
        <v>867.22</v>
      </c>
    </row>
    <row r="344" spans="1:22">
      <c r="A344" s="169" t="s">
        <v>911</v>
      </c>
      <c r="B344" s="170">
        <v>3978.36</v>
      </c>
      <c r="C344" s="171">
        <v>481.61</v>
      </c>
      <c r="D344" s="171">
        <v>800.47</v>
      </c>
      <c r="U344" s="169" t="s">
        <v>911</v>
      </c>
      <c r="V344" s="171">
        <v>918.88</v>
      </c>
    </row>
    <row r="345" spans="1:22">
      <c r="A345" s="169" t="s">
        <v>898</v>
      </c>
      <c r="B345" s="170">
        <v>3754.09</v>
      </c>
      <c r="C345" s="171">
        <v>466.45</v>
      </c>
      <c r="D345" s="171">
        <v>776.8</v>
      </c>
      <c r="U345" s="169" t="s">
        <v>898</v>
      </c>
      <c r="V345" s="171">
        <v>945.71</v>
      </c>
    </row>
    <row r="346" spans="1:22">
      <c r="A346" s="169" t="s">
        <v>897</v>
      </c>
      <c r="B346" s="170">
        <v>3683.95</v>
      </c>
      <c r="C346" s="171">
        <v>461.79</v>
      </c>
      <c r="D346" s="171">
        <v>754.39</v>
      </c>
      <c r="U346" s="169" t="s">
        <v>897</v>
      </c>
      <c r="V346" s="171">
        <v>866.18</v>
      </c>
    </row>
    <row r="347" spans="1:22">
      <c r="A347" s="169" t="s">
        <v>896</v>
      </c>
      <c r="B347" s="170">
        <v>3680.59</v>
      </c>
      <c r="C347" s="171">
        <v>467.83</v>
      </c>
      <c r="D347" s="171">
        <v>779.26</v>
      </c>
      <c r="U347" s="169" t="s">
        <v>896</v>
      </c>
      <c r="V347" s="171">
        <v>811.06</v>
      </c>
    </row>
    <row r="348" spans="1:22">
      <c r="A348" s="169" t="s">
        <v>907</v>
      </c>
      <c r="B348" s="170">
        <v>3555.12</v>
      </c>
      <c r="C348" s="171">
        <v>458.93</v>
      </c>
      <c r="D348" s="171">
        <v>762.78</v>
      </c>
      <c r="U348" s="169" t="s">
        <v>907</v>
      </c>
      <c r="V348" s="171">
        <v>750.72</v>
      </c>
    </row>
    <row r="349" spans="1:22">
      <c r="A349" s="169" t="s">
        <v>906</v>
      </c>
      <c r="B349" s="170">
        <v>3651.25</v>
      </c>
      <c r="C349" s="171">
        <v>463.56</v>
      </c>
      <c r="D349" s="171">
        <v>742.84</v>
      </c>
      <c r="U349" s="169" t="s">
        <v>906</v>
      </c>
      <c r="V349" s="171">
        <v>718.87</v>
      </c>
    </row>
    <row r="350" spans="1:22">
      <c r="A350" s="169" t="s">
        <v>905</v>
      </c>
      <c r="B350" s="170">
        <v>3539.47</v>
      </c>
      <c r="C350" s="171">
        <v>448.13</v>
      </c>
      <c r="D350" s="171">
        <v>704.7</v>
      </c>
      <c r="U350" s="169" t="s">
        <v>905</v>
      </c>
      <c r="V350" s="171">
        <v>664.88</v>
      </c>
    </row>
    <row r="351" spans="1:22">
      <c r="A351" s="169" t="s">
        <v>904</v>
      </c>
      <c r="B351" s="170">
        <v>3516.08</v>
      </c>
      <c r="C351" s="171">
        <v>450.53</v>
      </c>
      <c r="D351" s="171">
        <v>703.95</v>
      </c>
      <c r="U351" s="169" t="s">
        <v>904</v>
      </c>
      <c r="V351" s="171">
        <v>729.94</v>
      </c>
    </row>
    <row r="352" spans="1:22">
      <c r="A352" s="169" t="s">
        <v>903</v>
      </c>
      <c r="B352" s="170">
        <v>3527.43</v>
      </c>
      <c r="C352" s="171">
        <v>450.19</v>
      </c>
      <c r="D352" s="171">
        <v>700.53</v>
      </c>
      <c r="U352" s="169" t="s">
        <v>903</v>
      </c>
      <c r="V352" s="171">
        <v>748.87</v>
      </c>
    </row>
    <row r="353" spans="1:22">
      <c r="A353" s="169" t="s">
        <v>902</v>
      </c>
      <c r="B353" s="170">
        <v>3427.55</v>
      </c>
      <c r="C353" s="171">
        <v>440.19</v>
      </c>
      <c r="D353" s="171">
        <v>661.42</v>
      </c>
      <c r="U353" s="169" t="s">
        <v>902</v>
      </c>
      <c r="V353" s="171">
        <v>752.31</v>
      </c>
    </row>
    <row r="354" spans="1:22">
      <c r="A354" s="169" t="s">
        <v>901</v>
      </c>
      <c r="B354" s="170">
        <v>3435.11</v>
      </c>
      <c r="C354" s="171">
        <v>451.67</v>
      </c>
      <c r="D354" s="171">
        <v>690.13</v>
      </c>
      <c r="U354" s="169" t="s">
        <v>901</v>
      </c>
      <c r="V354" s="171">
        <v>721.57</v>
      </c>
    </row>
    <row r="355" spans="1:22">
      <c r="A355" s="169" t="s">
        <v>900</v>
      </c>
      <c r="B355" s="170">
        <v>3370.81</v>
      </c>
      <c r="C355" s="171">
        <v>443.38</v>
      </c>
      <c r="D355" s="171">
        <v>670.77</v>
      </c>
      <c r="U355" s="169" t="s">
        <v>900</v>
      </c>
      <c r="V355" s="171">
        <v>666.75</v>
      </c>
    </row>
    <row r="356" spans="1:22">
      <c r="A356" s="169" t="s">
        <v>899</v>
      </c>
      <c r="B356" s="170">
        <v>3310</v>
      </c>
      <c r="C356" s="171">
        <v>438.78</v>
      </c>
      <c r="D356" s="171">
        <v>696.34</v>
      </c>
      <c r="U356" s="169" t="s">
        <v>899</v>
      </c>
      <c r="V356" s="171">
        <v>642.96</v>
      </c>
    </row>
    <row r="357" spans="1:22">
      <c r="A357" s="169" t="s">
        <v>886</v>
      </c>
      <c r="B357" s="170">
        <v>3301.11</v>
      </c>
      <c r="C357" s="171">
        <v>435.71</v>
      </c>
      <c r="D357" s="171">
        <v>676.95</v>
      </c>
      <c r="U357" s="169" t="s">
        <v>886</v>
      </c>
      <c r="V357" s="171">
        <v>670.56</v>
      </c>
    </row>
    <row r="358" spans="1:22">
      <c r="A358" s="169" t="s">
        <v>885</v>
      </c>
      <c r="B358" s="170">
        <v>3305.2</v>
      </c>
      <c r="C358" s="171">
        <v>431.35</v>
      </c>
      <c r="D358" s="171">
        <v>652.73</v>
      </c>
      <c r="U358" s="169" t="s">
        <v>885</v>
      </c>
      <c r="V358" s="171">
        <v>678.44</v>
      </c>
    </row>
    <row r="359" spans="1:22">
      <c r="A359" s="169" t="s">
        <v>884</v>
      </c>
      <c r="B359" s="170">
        <v>3226.28</v>
      </c>
      <c r="C359" s="171">
        <v>418.68</v>
      </c>
      <c r="D359" s="171">
        <v>605.16999999999996</v>
      </c>
      <c r="U359" s="169" t="s">
        <v>884</v>
      </c>
      <c r="V359" s="171">
        <v>663.36</v>
      </c>
    </row>
    <row r="360" spans="1:22">
      <c r="A360" s="169" t="s">
        <v>895</v>
      </c>
      <c r="B360" s="170">
        <v>3271.66</v>
      </c>
      <c r="C360" s="171">
        <v>417.8</v>
      </c>
      <c r="D360" s="171">
        <v>583.27</v>
      </c>
      <c r="U360" s="169" t="s">
        <v>895</v>
      </c>
      <c r="V360" s="171">
        <v>615.58000000000004</v>
      </c>
    </row>
    <row r="361" spans="1:22">
      <c r="A361" s="169" t="s">
        <v>894</v>
      </c>
      <c r="B361" s="170">
        <v>3257.4</v>
      </c>
      <c r="C361" s="171">
        <v>414.03</v>
      </c>
      <c r="D361" s="171">
        <v>563.12</v>
      </c>
      <c r="U361" s="169" t="s">
        <v>894</v>
      </c>
      <c r="V361" s="171">
        <v>513.82000000000005</v>
      </c>
    </row>
    <row r="362" spans="1:22">
      <c r="A362" s="169" t="s">
        <v>893</v>
      </c>
      <c r="B362" s="170">
        <v>3393.78</v>
      </c>
      <c r="C362" s="171">
        <v>424.21</v>
      </c>
      <c r="D362" s="171">
        <v>580.83000000000004</v>
      </c>
      <c r="U362" s="169" t="s">
        <v>893</v>
      </c>
      <c r="V362" s="171">
        <v>562.79999999999995</v>
      </c>
    </row>
    <row r="363" spans="1:22">
      <c r="A363" s="169" t="s">
        <v>892</v>
      </c>
      <c r="B363" s="170">
        <v>3318.52</v>
      </c>
      <c r="C363" s="171">
        <v>408.14</v>
      </c>
      <c r="D363" s="171">
        <v>563.6</v>
      </c>
      <c r="U363" s="169" t="s">
        <v>892</v>
      </c>
      <c r="V363" s="171">
        <v>509.95</v>
      </c>
    </row>
    <row r="364" spans="1:22">
      <c r="A364" s="169" t="s">
        <v>891</v>
      </c>
      <c r="B364" s="170">
        <v>3396.88</v>
      </c>
      <c r="C364" s="171">
        <v>415.35</v>
      </c>
      <c r="D364" s="171">
        <v>585.30999999999995</v>
      </c>
      <c r="U364" s="169" t="s">
        <v>891</v>
      </c>
      <c r="V364" s="171">
        <v>552.03</v>
      </c>
    </row>
    <row r="365" spans="1:22">
      <c r="A365" s="169" t="s">
        <v>890</v>
      </c>
      <c r="B365" s="170">
        <v>3359.12</v>
      </c>
      <c r="C365" s="171">
        <v>414.95</v>
      </c>
      <c r="D365" s="171">
        <v>578.67999999999995</v>
      </c>
      <c r="U365" s="169" t="s">
        <v>890</v>
      </c>
      <c r="V365" s="171">
        <v>574.20000000000005</v>
      </c>
    </row>
    <row r="366" spans="1:22">
      <c r="A366" s="169" t="s">
        <v>889</v>
      </c>
      <c r="B366" s="170">
        <v>3235.5</v>
      </c>
      <c r="C366" s="171">
        <v>403.69</v>
      </c>
      <c r="D366" s="171">
        <v>603.77</v>
      </c>
      <c r="U366" s="169" t="s">
        <v>889</v>
      </c>
      <c r="V366" s="171">
        <v>615.97</v>
      </c>
    </row>
    <row r="367" spans="1:22">
      <c r="A367" s="169" t="s">
        <v>888</v>
      </c>
      <c r="B367" s="170">
        <v>3267.7</v>
      </c>
      <c r="C367" s="171">
        <v>412.7</v>
      </c>
      <c r="D367" s="171">
        <v>633.47</v>
      </c>
      <c r="U367" s="169" t="s">
        <v>888</v>
      </c>
      <c r="V367" s="171">
        <v>606.32000000000005</v>
      </c>
    </row>
    <row r="368" spans="1:22">
      <c r="A368" s="169" t="s">
        <v>887</v>
      </c>
      <c r="B368" s="170">
        <v>3223.4</v>
      </c>
      <c r="C368" s="171">
        <v>408.78</v>
      </c>
      <c r="D368" s="171">
        <v>620.21</v>
      </c>
      <c r="U368" s="169" t="s">
        <v>887</v>
      </c>
      <c r="V368" s="171">
        <v>612.5</v>
      </c>
    </row>
    <row r="369" spans="1:22">
      <c r="A369" s="169" t="s">
        <v>874</v>
      </c>
      <c r="B369" s="170">
        <v>3168.83</v>
      </c>
      <c r="C369" s="171">
        <v>417.09</v>
      </c>
      <c r="D369" s="171">
        <v>586.34</v>
      </c>
      <c r="U369" s="169" t="s">
        <v>874</v>
      </c>
      <c r="V369" s="171">
        <v>680.51</v>
      </c>
    </row>
    <row r="370" spans="1:22">
      <c r="A370" s="169" t="s">
        <v>873</v>
      </c>
      <c r="B370" s="170">
        <v>2894.68</v>
      </c>
      <c r="C370" s="171">
        <v>375.22</v>
      </c>
      <c r="D370" s="171">
        <v>523.9</v>
      </c>
      <c r="U370" s="169" t="s">
        <v>873</v>
      </c>
      <c r="V370" s="171">
        <v>610.91999999999996</v>
      </c>
    </row>
    <row r="371" spans="1:22">
      <c r="A371" s="169" t="s">
        <v>872</v>
      </c>
      <c r="B371" s="170">
        <v>3069.1</v>
      </c>
      <c r="C371" s="171">
        <v>392.45</v>
      </c>
      <c r="D371" s="171">
        <v>542.98</v>
      </c>
      <c r="U371" s="169" t="s">
        <v>872</v>
      </c>
      <c r="V371" s="171">
        <v>652.11</v>
      </c>
    </row>
    <row r="372" spans="1:22">
      <c r="A372" s="169" t="s">
        <v>883</v>
      </c>
      <c r="B372" s="170">
        <v>3016.77</v>
      </c>
      <c r="C372" s="171">
        <v>387.86</v>
      </c>
      <c r="D372" s="171">
        <v>526.88</v>
      </c>
      <c r="U372" s="169" t="s">
        <v>883</v>
      </c>
      <c r="V372" s="171">
        <v>695.94</v>
      </c>
    </row>
    <row r="373" spans="1:22">
      <c r="A373" s="169" t="s">
        <v>882</v>
      </c>
      <c r="B373" s="170">
        <v>3043.6</v>
      </c>
      <c r="C373" s="171">
        <v>395.43</v>
      </c>
      <c r="D373" s="171">
        <v>525.67999999999995</v>
      </c>
      <c r="U373" s="169" t="s">
        <v>882</v>
      </c>
      <c r="V373" s="171">
        <v>705.08</v>
      </c>
    </row>
    <row r="374" spans="1:22">
      <c r="A374" s="169" t="s">
        <v>881</v>
      </c>
      <c r="B374" s="170">
        <v>3024.82</v>
      </c>
      <c r="C374" s="171">
        <v>387.81</v>
      </c>
      <c r="D374" s="171">
        <v>502.04</v>
      </c>
      <c r="U374" s="169" t="s">
        <v>881</v>
      </c>
      <c r="V374" s="171">
        <v>683.11</v>
      </c>
    </row>
    <row r="375" spans="1:22">
      <c r="A375" s="169" t="s">
        <v>880</v>
      </c>
      <c r="B375" s="170">
        <v>2906.75</v>
      </c>
      <c r="C375" s="171">
        <v>371.16</v>
      </c>
      <c r="D375" s="171">
        <v>475.92</v>
      </c>
      <c r="U375" s="169" t="s">
        <v>880</v>
      </c>
      <c r="V375" s="171">
        <v>717.03</v>
      </c>
    </row>
    <row r="376" spans="1:22">
      <c r="A376" s="169" t="s">
        <v>879</v>
      </c>
      <c r="B376" s="170">
        <v>3027.5</v>
      </c>
      <c r="C376" s="171">
        <v>389.83</v>
      </c>
      <c r="D376" s="171">
        <v>506.11</v>
      </c>
      <c r="U376" s="169" t="s">
        <v>879</v>
      </c>
      <c r="V376" s="171">
        <v>605.27</v>
      </c>
    </row>
    <row r="377" spans="1:22">
      <c r="A377" s="169" t="s">
        <v>878</v>
      </c>
      <c r="B377" s="170">
        <v>2887.87</v>
      </c>
      <c r="C377" s="171">
        <v>375.34</v>
      </c>
      <c r="D377" s="171">
        <v>484.72</v>
      </c>
      <c r="U377" s="169" t="s">
        <v>878</v>
      </c>
      <c r="V377" s="171">
        <v>611.35</v>
      </c>
    </row>
    <row r="378" spans="1:22">
      <c r="A378" s="169" t="s">
        <v>877</v>
      </c>
      <c r="B378" s="170">
        <v>2913.86</v>
      </c>
      <c r="C378" s="171">
        <v>375.22</v>
      </c>
      <c r="D378" s="171">
        <v>482.3</v>
      </c>
      <c r="U378" s="169" t="s">
        <v>877</v>
      </c>
      <c r="V378" s="171">
        <v>645.61</v>
      </c>
    </row>
    <row r="379" spans="1:22">
      <c r="A379" s="169" t="s">
        <v>876</v>
      </c>
      <c r="B379" s="170">
        <v>2882.18</v>
      </c>
      <c r="C379" s="171">
        <v>367.07</v>
      </c>
      <c r="D379" s="171">
        <v>453.05</v>
      </c>
      <c r="U379" s="169" t="s">
        <v>876</v>
      </c>
      <c r="V379" s="171">
        <v>659.85</v>
      </c>
    </row>
    <row r="380" spans="1:22">
      <c r="A380" s="169" t="s">
        <v>875</v>
      </c>
      <c r="B380" s="170">
        <v>2736.39</v>
      </c>
      <c r="C380" s="171">
        <v>343.93</v>
      </c>
      <c r="D380" s="171">
        <v>414.2</v>
      </c>
      <c r="U380" s="169" t="s">
        <v>875</v>
      </c>
      <c r="V380" s="171">
        <v>675.57</v>
      </c>
    </row>
    <row r="381" spans="1:22">
      <c r="A381" s="169" t="s">
        <v>862</v>
      </c>
      <c r="B381" s="170">
        <v>2633.66</v>
      </c>
      <c r="C381" s="171">
        <v>330.22</v>
      </c>
      <c r="D381" s="171">
        <v>373.84</v>
      </c>
      <c r="U381" s="169" t="s">
        <v>862</v>
      </c>
      <c r="V381" s="171">
        <v>635.4</v>
      </c>
    </row>
    <row r="382" spans="1:22">
      <c r="A382" s="169" t="s">
        <v>861</v>
      </c>
      <c r="B382" s="170">
        <v>2559.65</v>
      </c>
      <c r="C382" s="171">
        <v>322.22000000000003</v>
      </c>
      <c r="D382" s="171">
        <v>359.06</v>
      </c>
      <c r="U382" s="169" t="s">
        <v>861</v>
      </c>
      <c r="V382" s="171">
        <v>696.11</v>
      </c>
    </row>
    <row r="383" spans="1:22">
      <c r="A383" s="169" t="s">
        <v>860</v>
      </c>
      <c r="B383" s="170">
        <v>2442.33</v>
      </c>
      <c r="C383" s="171">
        <v>304</v>
      </c>
      <c r="D383" s="171">
        <v>329.84</v>
      </c>
      <c r="U383" s="169" t="s">
        <v>860</v>
      </c>
      <c r="V383" s="171">
        <v>697.03</v>
      </c>
    </row>
    <row r="384" spans="1:22">
      <c r="A384" s="169" t="s">
        <v>871</v>
      </c>
      <c r="B384" s="170">
        <v>2452.48</v>
      </c>
      <c r="C384" s="171">
        <v>306.05</v>
      </c>
      <c r="D384" s="171">
        <v>344.51</v>
      </c>
      <c r="U384" s="169" t="s">
        <v>871</v>
      </c>
      <c r="V384" s="171">
        <v>690.16</v>
      </c>
    </row>
    <row r="385" spans="1:22">
      <c r="A385" s="169" t="s">
        <v>870</v>
      </c>
      <c r="B385" s="170">
        <v>2614.36</v>
      </c>
      <c r="C385" s="171">
        <v>322.56</v>
      </c>
      <c r="D385" s="171">
        <v>381.21</v>
      </c>
      <c r="U385" s="169" t="s">
        <v>870</v>
      </c>
      <c r="V385" s="171">
        <v>602.88</v>
      </c>
    </row>
    <row r="386" spans="1:22">
      <c r="A386" s="169" t="s">
        <v>869</v>
      </c>
      <c r="B386" s="170">
        <v>2905.2</v>
      </c>
      <c r="C386" s="171">
        <v>356.15</v>
      </c>
      <c r="D386" s="171">
        <v>438.24</v>
      </c>
      <c r="U386" s="169" t="s">
        <v>869</v>
      </c>
      <c r="V386" s="171">
        <v>606.87</v>
      </c>
    </row>
    <row r="387" spans="1:22">
      <c r="A387" s="169" t="s">
        <v>868</v>
      </c>
      <c r="B387" s="170">
        <v>2880.69</v>
      </c>
      <c r="C387" s="171">
        <v>358.02</v>
      </c>
      <c r="D387" s="171">
        <v>462.29</v>
      </c>
      <c r="U387" s="169" t="s">
        <v>868</v>
      </c>
      <c r="V387" s="171">
        <v>678.38</v>
      </c>
    </row>
    <row r="388" spans="1:22">
      <c r="A388" s="169" t="s">
        <v>867</v>
      </c>
      <c r="B388" s="170">
        <v>2876.66</v>
      </c>
      <c r="C388" s="171">
        <v>361.23</v>
      </c>
      <c r="D388" s="171">
        <v>458.97</v>
      </c>
      <c r="U388" s="169" t="s">
        <v>867</v>
      </c>
      <c r="V388" s="171">
        <v>706.79</v>
      </c>
    </row>
    <row r="389" spans="1:22">
      <c r="A389" s="169" t="s">
        <v>866</v>
      </c>
      <c r="B389" s="170">
        <v>2656.76</v>
      </c>
      <c r="C389" s="171">
        <v>330.8</v>
      </c>
      <c r="D389" s="171">
        <v>420.07</v>
      </c>
      <c r="U389" s="169" t="s">
        <v>866</v>
      </c>
      <c r="V389" s="171">
        <v>797.95</v>
      </c>
    </row>
    <row r="390" spans="1:22">
      <c r="A390" s="169" t="s">
        <v>865</v>
      </c>
      <c r="B390" s="170">
        <v>2707.21</v>
      </c>
      <c r="C390" s="171">
        <v>339.94</v>
      </c>
      <c r="D390" s="171">
        <v>435.54</v>
      </c>
      <c r="U390" s="169" t="s">
        <v>865</v>
      </c>
      <c r="V390" s="171">
        <v>688.66</v>
      </c>
    </row>
    <row r="391" spans="1:22">
      <c r="A391" s="169" t="s">
        <v>864</v>
      </c>
      <c r="B391" s="170">
        <v>2627.25</v>
      </c>
      <c r="C391" s="171">
        <v>331.89</v>
      </c>
      <c r="D391" s="171">
        <v>425.83</v>
      </c>
      <c r="U391" s="169" t="s">
        <v>864</v>
      </c>
      <c r="V391" s="171">
        <v>840.89</v>
      </c>
    </row>
    <row r="392" spans="1:22">
      <c r="A392" s="169" t="s">
        <v>863</v>
      </c>
      <c r="B392" s="170">
        <v>2590.54</v>
      </c>
      <c r="C392" s="171">
        <v>329.08</v>
      </c>
      <c r="D392" s="171">
        <v>415.81</v>
      </c>
      <c r="U392" s="169" t="s">
        <v>863</v>
      </c>
      <c r="V392" s="171">
        <v>861.59</v>
      </c>
    </row>
    <row r="393" spans="1:22">
      <c r="A393" s="169" t="s">
        <v>850</v>
      </c>
      <c r="B393" s="170">
        <v>2753.2</v>
      </c>
      <c r="C393" s="171">
        <v>353.4</v>
      </c>
      <c r="D393" s="171">
        <v>454.82</v>
      </c>
      <c r="U393" s="169" t="s">
        <v>850</v>
      </c>
      <c r="V393" s="171">
        <v>896.16</v>
      </c>
    </row>
    <row r="394" spans="1:22">
      <c r="A394" s="169" t="s">
        <v>849</v>
      </c>
      <c r="B394" s="170">
        <v>2706.27</v>
      </c>
      <c r="C394" s="171">
        <v>345.99</v>
      </c>
      <c r="D394" s="171">
        <v>456.09</v>
      </c>
      <c r="U394" s="169" t="s">
        <v>849</v>
      </c>
      <c r="V394" s="171">
        <v>909.72</v>
      </c>
    </row>
    <row r="395" spans="1:22">
      <c r="A395" s="169" t="s">
        <v>848</v>
      </c>
      <c r="B395" s="170">
        <v>2645.08</v>
      </c>
      <c r="C395" s="171">
        <v>340.36</v>
      </c>
      <c r="D395" s="171">
        <v>455.63</v>
      </c>
      <c r="U395" s="169" t="s">
        <v>848</v>
      </c>
      <c r="V395" s="171">
        <v>906.33</v>
      </c>
    </row>
    <row r="396" spans="1:22">
      <c r="A396" s="169" t="s">
        <v>859</v>
      </c>
      <c r="B396" s="170">
        <v>2692.82</v>
      </c>
      <c r="C396" s="171">
        <v>349.15</v>
      </c>
      <c r="D396" s="171">
        <v>472.92</v>
      </c>
      <c r="U396" s="169" t="s">
        <v>859</v>
      </c>
      <c r="V396" s="171">
        <v>894.02</v>
      </c>
    </row>
    <row r="397" spans="1:22">
      <c r="A397" s="169" t="s">
        <v>858</v>
      </c>
      <c r="B397" s="170">
        <v>2737.27</v>
      </c>
      <c r="C397" s="171">
        <v>351.45</v>
      </c>
      <c r="D397" s="171">
        <v>469.33</v>
      </c>
      <c r="U397" s="169" t="s">
        <v>858</v>
      </c>
      <c r="V397" s="171">
        <v>942.41</v>
      </c>
    </row>
    <row r="398" spans="1:22">
      <c r="A398" s="169" t="s">
        <v>857</v>
      </c>
      <c r="B398" s="170">
        <v>2660.66</v>
      </c>
      <c r="C398" s="171">
        <v>346.08</v>
      </c>
      <c r="D398" s="171">
        <v>453.84</v>
      </c>
      <c r="U398" s="169" t="s">
        <v>857</v>
      </c>
      <c r="V398" s="171">
        <v>975.28</v>
      </c>
    </row>
    <row r="399" spans="1:22">
      <c r="A399" s="169" t="s">
        <v>856</v>
      </c>
      <c r="B399" s="170">
        <v>2440.06</v>
      </c>
      <c r="C399" s="171">
        <v>317.98</v>
      </c>
      <c r="D399" s="171">
        <v>435.29</v>
      </c>
      <c r="U399" s="169" t="s">
        <v>856</v>
      </c>
      <c r="V399" s="171">
        <v>895.66</v>
      </c>
    </row>
    <row r="400" spans="1:22">
      <c r="A400" s="169" t="s">
        <v>855</v>
      </c>
      <c r="B400" s="170">
        <v>2480.15</v>
      </c>
      <c r="C400" s="171">
        <v>320.52</v>
      </c>
      <c r="D400" s="171">
        <v>446.17</v>
      </c>
      <c r="U400" s="169" t="s">
        <v>855</v>
      </c>
      <c r="V400" s="171">
        <v>854.61</v>
      </c>
    </row>
    <row r="401" spans="1:22">
      <c r="A401" s="169" t="s">
        <v>854</v>
      </c>
      <c r="B401" s="170">
        <v>2418.8000000000002</v>
      </c>
      <c r="C401" s="171">
        <v>309.64</v>
      </c>
      <c r="D401" s="171">
        <v>427.55</v>
      </c>
      <c r="U401" s="169" t="s">
        <v>854</v>
      </c>
      <c r="V401" s="171">
        <v>932.76</v>
      </c>
    </row>
    <row r="402" spans="1:22">
      <c r="A402" s="169" t="s">
        <v>853</v>
      </c>
      <c r="B402" s="170">
        <v>2293.62</v>
      </c>
      <c r="C402" s="171">
        <v>294.87</v>
      </c>
      <c r="D402" s="171">
        <v>406.73</v>
      </c>
      <c r="U402" s="169" t="s">
        <v>853</v>
      </c>
      <c r="V402" s="171">
        <v>940.54</v>
      </c>
    </row>
    <row r="403" spans="1:22">
      <c r="A403" s="169" t="s">
        <v>852</v>
      </c>
      <c r="B403" s="170">
        <v>2258.39</v>
      </c>
      <c r="C403" s="171">
        <v>288.86</v>
      </c>
      <c r="D403" s="171">
        <v>399.71</v>
      </c>
      <c r="U403" s="169" t="s">
        <v>852</v>
      </c>
      <c r="V403" s="170">
        <v>1003.31</v>
      </c>
    </row>
    <row r="404" spans="1:22">
      <c r="A404" s="169" t="s">
        <v>851</v>
      </c>
      <c r="B404" s="170">
        <v>2342.3200000000002</v>
      </c>
      <c r="C404" s="171">
        <v>297.47000000000003</v>
      </c>
      <c r="D404" s="171">
        <v>401.3</v>
      </c>
      <c r="U404" s="169" t="s">
        <v>851</v>
      </c>
      <c r="V404" s="171">
        <v>917.9</v>
      </c>
    </row>
    <row r="405" spans="1:22">
      <c r="A405" s="169" t="s">
        <v>838</v>
      </c>
      <c r="B405" s="170">
        <v>2168.5700000000002</v>
      </c>
      <c r="C405" s="171">
        <v>277.72000000000003</v>
      </c>
      <c r="D405" s="171">
        <v>381.38</v>
      </c>
      <c r="U405" s="169" t="s">
        <v>838</v>
      </c>
      <c r="V405" s="171">
        <v>884.29</v>
      </c>
    </row>
    <row r="406" spans="1:22">
      <c r="A406" s="169" t="s">
        <v>837</v>
      </c>
      <c r="B406" s="170">
        <v>2114.5100000000002</v>
      </c>
      <c r="C406" s="171">
        <v>273.7</v>
      </c>
      <c r="D406" s="171">
        <v>371.45</v>
      </c>
      <c r="U406" s="169" t="s">
        <v>837</v>
      </c>
      <c r="V406" s="171">
        <v>907.2</v>
      </c>
    </row>
    <row r="407" spans="1:22">
      <c r="A407" s="169" t="s">
        <v>836</v>
      </c>
      <c r="B407" s="170">
        <v>2148.65</v>
      </c>
      <c r="C407" s="171">
        <v>278.97000000000003</v>
      </c>
      <c r="D407" s="171">
        <v>382.46</v>
      </c>
      <c r="U407" s="169" t="s">
        <v>836</v>
      </c>
      <c r="V407" s="171">
        <v>831.12</v>
      </c>
    </row>
    <row r="408" spans="1:22">
      <c r="A408" s="169" t="s">
        <v>847</v>
      </c>
      <c r="B408" s="170">
        <v>2112.91</v>
      </c>
      <c r="C408" s="171">
        <v>271.91000000000003</v>
      </c>
      <c r="D408" s="171">
        <v>387.71</v>
      </c>
      <c r="U408" s="169" t="s">
        <v>847</v>
      </c>
      <c r="V408" s="171">
        <v>729.79</v>
      </c>
    </row>
    <row r="409" spans="1:22">
      <c r="A409" s="169" t="s">
        <v>846</v>
      </c>
      <c r="B409" s="170">
        <v>2031.65</v>
      </c>
      <c r="C409" s="171">
        <v>261.52</v>
      </c>
      <c r="D409" s="171">
        <v>376.55</v>
      </c>
      <c r="U409" s="169" t="s">
        <v>846</v>
      </c>
      <c r="V409" s="171">
        <v>677.54</v>
      </c>
    </row>
    <row r="410" spans="1:22">
      <c r="A410" s="169" t="s">
        <v>845</v>
      </c>
      <c r="B410" s="170">
        <v>2128.73</v>
      </c>
      <c r="C410" s="171">
        <v>272.02</v>
      </c>
      <c r="D410" s="171">
        <v>387.33</v>
      </c>
      <c r="U410" s="169" t="s">
        <v>845</v>
      </c>
      <c r="V410" s="171">
        <v>664.43</v>
      </c>
    </row>
    <row r="411" spans="1:22">
      <c r="A411" s="169" t="s">
        <v>844</v>
      </c>
      <c r="B411" s="170">
        <v>2141.71</v>
      </c>
      <c r="C411" s="171">
        <v>273.5</v>
      </c>
      <c r="D411" s="171">
        <v>394.66</v>
      </c>
      <c r="U411" s="169" t="s">
        <v>844</v>
      </c>
      <c r="V411" s="171">
        <v>721.08</v>
      </c>
    </row>
    <row r="412" spans="1:22">
      <c r="A412" s="169" t="s">
        <v>843</v>
      </c>
      <c r="B412" s="170">
        <v>2031.12</v>
      </c>
      <c r="C412" s="171">
        <v>262.16000000000003</v>
      </c>
      <c r="D412" s="171">
        <v>370.34</v>
      </c>
      <c r="U412" s="169" t="s">
        <v>843</v>
      </c>
      <c r="V412" s="171">
        <v>702.83</v>
      </c>
    </row>
    <row r="413" spans="1:22">
      <c r="A413" s="169" t="s">
        <v>842</v>
      </c>
      <c r="B413" s="170">
        <v>2032.33</v>
      </c>
      <c r="C413" s="171">
        <v>261.33</v>
      </c>
      <c r="D413" s="171">
        <v>379.23</v>
      </c>
      <c r="U413" s="169" t="s">
        <v>842</v>
      </c>
      <c r="V413" s="171">
        <v>717.35</v>
      </c>
    </row>
    <row r="414" spans="1:22">
      <c r="A414" s="169" t="s">
        <v>841</v>
      </c>
      <c r="B414" s="170">
        <v>1988.06</v>
      </c>
      <c r="C414" s="171">
        <v>258.89</v>
      </c>
      <c r="D414" s="171">
        <v>374.64</v>
      </c>
      <c r="U414" s="169" t="s">
        <v>841</v>
      </c>
      <c r="V414" s="171">
        <v>647.17999999999995</v>
      </c>
    </row>
    <row r="415" spans="1:22">
      <c r="A415" s="169" t="s">
        <v>840</v>
      </c>
      <c r="B415" s="170">
        <v>2071.62</v>
      </c>
      <c r="C415" s="171">
        <v>267.82</v>
      </c>
      <c r="D415" s="171">
        <v>366.95</v>
      </c>
      <c r="U415" s="169" t="s">
        <v>840</v>
      </c>
      <c r="V415" s="171">
        <v>656.47</v>
      </c>
    </row>
    <row r="416" spans="1:22">
      <c r="A416" s="169" t="s">
        <v>839</v>
      </c>
      <c r="B416" s="170">
        <v>1958.22</v>
      </c>
      <c r="C416" s="171">
        <v>257.07</v>
      </c>
      <c r="D416" s="171">
        <v>344.66</v>
      </c>
      <c r="U416" s="169" t="s">
        <v>839</v>
      </c>
      <c r="V416" s="171">
        <v>612.35</v>
      </c>
    </row>
    <row r="417" spans="1:22">
      <c r="A417" s="169" t="s">
        <v>826</v>
      </c>
      <c r="B417" s="170">
        <v>1938.83</v>
      </c>
      <c r="C417" s="171">
        <v>247.08</v>
      </c>
      <c r="D417" s="171">
        <v>330.47</v>
      </c>
      <c r="U417" s="169" t="s">
        <v>826</v>
      </c>
      <c r="V417" s="171">
        <v>633.58000000000004</v>
      </c>
    </row>
    <row r="418" spans="1:22">
      <c r="A418" s="169" t="s">
        <v>825</v>
      </c>
      <c r="B418" s="170">
        <v>1833.55</v>
      </c>
      <c r="C418" s="171">
        <v>230.3</v>
      </c>
      <c r="D418" s="171">
        <v>305.16000000000003</v>
      </c>
      <c r="U418" s="169" t="s">
        <v>825</v>
      </c>
      <c r="V418" s="171">
        <v>525.11</v>
      </c>
    </row>
    <row r="419" spans="1:22">
      <c r="A419" s="169" t="s">
        <v>824</v>
      </c>
      <c r="B419" s="170">
        <v>1993.53</v>
      </c>
      <c r="C419" s="171">
        <v>251.79</v>
      </c>
      <c r="D419" s="171">
        <v>323.3</v>
      </c>
      <c r="U419" s="169" t="s">
        <v>824</v>
      </c>
      <c r="V419" s="171">
        <v>475.59</v>
      </c>
    </row>
    <row r="420" spans="1:22">
      <c r="A420" s="169" t="s">
        <v>835</v>
      </c>
      <c r="B420" s="170">
        <v>2596.2800000000002</v>
      </c>
      <c r="C420" s="171">
        <v>321.83</v>
      </c>
      <c r="D420" s="171">
        <v>444.29</v>
      </c>
      <c r="U420" s="169" t="s">
        <v>835</v>
      </c>
      <c r="V420" s="171">
        <v>509.05</v>
      </c>
    </row>
    <row r="421" spans="1:22">
      <c r="A421" s="169" t="s">
        <v>834</v>
      </c>
      <c r="B421" s="170">
        <v>2662.95</v>
      </c>
      <c r="C421" s="171">
        <v>329.8</v>
      </c>
      <c r="D421" s="171">
        <v>454.97</v>
      </c>
      <c r="U421" s="169" t="s">
        <v>834</v>
      </c>
      <c r="V421" s="171">
        <v>485.35</v>
      </c>
    </row>
    <row r="422" spans="1:22">
      <c r="A422" s="169" t="s">
        <v>833</v>
      </c>
      <c r="B422" s="170">
        <v>2572.0700000000002</v>
      </c>
      <c r="C422" s="171">
        <v>318.66000000000003</v>
      </c>
      <c r="D422" s="171">
        <v>434.93</v>
      </c>
      <c r="U422" s="169" t="s">
        <v>833</v>
      </c>
      <c r="V422" s="171">
        <v>474.01</v>
      </c>
    </row>
    <row r="423" spans="1:22">
      <c r="A423" s="169" t="s">
        <v>832</v>
      </c>
      <c r="B423" s="170">
        <v>2418.5300000000002</v>
      </c>
      <c r="C423" s="171">
        <v>304</v>
      </c>
      <c r="D423" s="171">
        <v>424.67</v>
      </c>
      <c r="U423" s="169" t="s">
        <v>832</v>
      </c>
      <c r="V423" s="171">
        <v>485.48</v>
      </c>
    </row>
    <row r="424" spans="1:22">
      <c r="A424" s="169" t="s">
        <v>831</v>
      </c>
      <c r="B424" s="170">
        <v>2291.5700000000002</v>
      </c>
      <c r="C424" s="171">
        <v>290.10000000000002</v>
      </c>
      <c r="D424" s="171">
        <v>416.54</v>
      </c>
      <c r="U424" s="169" t="s">
        <v>831</v>
      </c>
      <c r="V424" s="171">
        <v>411.76</v>
      </c>
    </row>
    <row r="425" spans="1:22">
      <c r="A425" s="169" t="s">
        <v>830</v>
      </c>
      <c r="B425" s="170">
        <v>2286.36</v>
      </c>
      <c r="C425" s="171">
        <v>288.36</v>
      </c>
      <c r="D425" s="171">
        <v>417.81</v>
      </c>
      <c r="U425" s="169" t="s">
        <v>830</v>
      </c>
      <c r="V425" s="171">
        <v>387.99</v>
      </c>
    </row>
    <row r="426" spans="1:22">
      <c r="A426" s="169" t="s">
        <v>829</v>
      </c>
      <c r="B426" s="170">
        <v>2304.69</v>
      </c>
      <c r="C426" s="171">
        <v>291.7</v>
      </c>
      <c r="D426" s="171">
        <v>430.05</v>
      </c>
      <c r="U426" s="169" t="s">
        <v>829</v>
      </c>
      <c r="V426" s="171">
        <v>358.63</v>
      </c>
    </row>
    <row r="427" spans="1:22">
      <c r="A427" s="169" t="s">
        <v>828</v>
      </c>
      <c r="B427" s="170">
        <v>2223.9899999999998</v>
      </c>
      <c r="C427" s="171">
        <v>284.2</v>
      </c>
      <c r="D427" s="171">
        <v>424.97</v>
      </c>
      <c r="U427" s="169" t="s">
        <v>828</v>
      </c>
      <c r="V427" s="171">
        <v>405.13</v>
      </c>
    </row>
    <row r="428" spans="1:22">
      <c r="A428" s="169" t="s">
        <v>827</v>
      </c>
      <c r="B428" s="170">
        <v>2158.04</v>
      </c>
      <c r="C428" s="171">
        <v>274.08</v>
      </c>
      <c r="D428" s="171">
        <v>392.06</v>
      </c>
      <c r="U428" s="169" t="s">
        <v>827</v>
      </c>
      <c r="V428" s="171">
        <v>334.98</v>
      </c>
    </row>
    <row r="429" spans="1:22">
      <c r="A429" s="169" t="s">
        <v>814</v>
      </c>
      <c r="B429" s="170">
        <v>1895.95</v>
      </c>
      <c r="C429" s="171">
        <v>242.17</v>
      </c>
      <c r="D429" s="171">
        <v>348.83</v>
      </c>
      <c r="U429" s="169" t="s">
        <v>814</v>
      </c>
      <c r="V429" s="171">
        <v>310.22000000000003</v>
      </c>
    </row>
    <row r="430" spans="1:22">
      <c r="A430" s="169" t="s">
        <v>813</v>
      </c>
      <c r="B430" s="170">
        <v>1914.23</v>
      </c>
      <c r="C430" s="171">
        <v>249.22</v>
      </c>
      <c r="D430" s="171">
        <v>359.57</v>
      </c>
      <c r="U430" s="169" t="s">
        <v>813</v>
      </c>
      <c r="V430" s="171">
        <v>272.61</v>
      </c>
    </row>
    <row r="431" spans="1:22">
      <c r="A431" s="169" t="s">
        <v>812</v>
      </c>
      <c r="B431" s="170">
        <v>1877.81</v>
      </c>
      <c r="C431" s="171">
        <v>243.98</v>
      </c>
      <c r="D431" s="171">
        <v>360.77</v>
      </c>
      <c r="U431" s="169" t="s">
        <v>812</v>
      </c>
      <c r="V431" s="171">
        <v>268.98</v>
      </c>
    </row>
    <row r="432" spans="1:22">
      <c r="A432" s="169" t="s">
        <v>823</v>
      </c>
      <c r="B432" s="170">
        <v>1767.58</v>
      </c>
      <c r="C432" s="171">
        <v>231.32</v>
      </c>
      <c r="D432" s="171">
        <v>350.67</v>
      </c>
      <c r="U432" s="169" t="s">
        <v>823</v>
      </c>
      <c r="V432" s="171">
        <v>240.79</v>
      </c>
    </row>
    <row r="433" spans="1:22">
      <c r="A433" s="169" t="s">
        <v>822</v>
      </c>
      <c r="B433" s="170">
        <v>1898.34</v>
      </c>
      <c r="C433" s="171">
        <v>252.93</v>
      </c>
      <c r="D433" s="171">
        <v>382.86</v>
      </c>
      <c r="U433" s="169" t="s">
        <v>822</v>
      </c>
      <c r="V433" s="171">
        <v>253.45</v>
      </c>
    </row>
    <row r="434" spans="1:22">
      <c r="A434" s="169" t="s">
        <v>821</v>
      </c>
      <c r="B434" s="170">
        <v>1775.31</v>
      </c>
      <c r="C434" s="171">
        <v>236.12</v>
      </c>
      <c r="D434" s="171">
        <v>371.37</v>
      </c>
      <c r="U434" s="169" t="s">
        <v>821</v>
      </c>
      <c r="V434" s="171">
        <v>264.64</v>
      </c>
    </row>
    <row r="435" spans="1:22">
      <c r="A435" s="169" t="s">
        <v>820</v>
      </c>
      <c r="B435" s="170">
        <v>1892.72</v>
      </c>
      <c r="C435" s="171">
        <v>250.84</v>
      </c>
      <c r="D435" s="171">
        <v>405.51</v>
      </c>
      <c r="I435" s="168"/>
      <c r="J435" s="168"/>
      <c r="U435" s="169" t="s">
        <v>820</v>
      </c>
      <c r="V435" s="171">
        <v>273.75</v>
      </c>
    </row>
    <row r="436" spans="1:22">
      <c r="A436" s="169" t="s">
        <v>819</v>
      </c>
      <c r="B436" s="170">
        <v>1876.71</v>
      </c>
      <c r="C436" s="171">
        <v>247.35</v>
      </c>
      <c r="D436" s="171">
        <v>400.16</v>
      </c>
      <c r="I436" s="169"/>
      <c r="J436" s="170"/>
      <c r="U436" s="169" t="s">
        <v>819</v>
      </c>
      <c r="V436" s="171">
        <v>243.36</v>
      </c>
    </row>
    <row r="437" spans="1:22">
      <c r="A437" s="169" t="s">
        <v>818</v>
      </c>
      <c r="B437" s="170">
        <v>1783.98</v>
      </c>
      <c r="C437" s="171">
        <v>235.52</v>
      </c>
      <c r="D437" s="171">
        <v>383.24</v>
      </c>
      <c r="I437" s="169"/>
      <c r="J437" s="170"/>
      <c r="U437" s="169" t="s">
        <v>818</v>
      </c>
      <c r="V437" s="171">
        <v>231.06</v>
      </c>
    </row>
    <row r="438" spans="1:22">
      <c r="A438" s="169" t="s">
        <v>817</v>
      </c>
      <c r="B438" s="170">
        <v>1818.61</v>
      </c>
      <c r="C438" s="171">
        <v>238.9</v>
      </c>
      <c r="D438" s="171">
        <v>374.72</v>
      </c>
      <c r="I438" s="169"/>
      <c r="J438" s="170"/>
      <c r="U438" s="169" t="s">
        <v>817</v>
      </c>
      <c r="V438" s="171">
        <v>202.91</v>
      </c>
    </row>
    <row r="439" spans="1:22">
      <c r="A439" s="169" t="s">
        <v>816</v>
      </c>
      <c r="B439" s="170">
        <v>1709.06</v>
      </c>
      <c r="C439" s="171">
        <v>226.92</v>
      </c>
      <c r="D439" s="171">
        <v>359.53</v>
      </c>
      <c r="I439" s="169"/>
      <c r="J439" s="170"/>
      <c r="U439" s="169" t="s">
        <v>816</v>
      </c>
      <c r="V439" s="171">
        <v>199.76</v>
      </c>
    </row>
    <row r="440" spans="1:22">
      <c r="A440" s="169" t="s">
        <v>815</v>
      </c>
      <c r="B440" s="170">
        <v>1570.99</v>
      </c>
      <c r="C440" s="171">
        <v>211.78</v>
      </c>
      <c r="D440" s="171">
        <v>335.77</v>
      </c>
      <c r="I440" s="169"/>
      <c r="J440" s="170"/>
      <c r="U440" s="169" t="s">
        <v>815</v>
      </c>
      <c r="V440" s="171">
        <v>175.91</v>
      </c>
    </row>
    <row r="441" spans="1:22">
      <c r="A441" s="169" t="s">
        <v>802</v>
      </c>
      <c r="B441" s="170">
        <v>1546.67</v>
      </c>
      <c r="C441" s="171">
        <v>211.28</v>
      </c>
      <c r="D441" s="171">
        <v>324.93</v>
      </c>
      <c r="I441" s="169"/>
      <c r="J441" s="170"/>
      <c r="U441" s="169" t="s">
        <v>802</v>
      </c>
      <c r="V441" s="171">
        <v>160.41999999999999</v>
      </c>
    </row>
    <row r="442" spans="1:22">
      <c r="A442" s="169" t="s">
        <v>801</v>
      </c>
      <c r="B442" s="170">
        <v>1472.13</v>
      </c>
      <c r="C442" s="171">
        <v>202.17</v>
      </c>
      <c r="D442" s="171">
        <v>313.95</v>
      </c>
      <c r="I442" s="169"/>
      <c r="J442" s="170"/>
      <c r="U442" s="169" t="s">
        <v>801</v>
      </c>
      <c r="V442" s="171">
        <v>163.37</v>
      </c>
    </row>
    <row r="443" spans="1:22">
      <c r="A443" s="169" t="s">
        <v>800</v>
      </c>
      <c r="B443" s="170">
        <v>1374.31</v>
      </c>
      <c r="C443" s="171">
        <v>189.82</v>
      </c>
      <c r="D443" s="171">
        <v>292.54000000000002</v>
      </c>
      <c r="I443" s="169"/>
      <c r="J443" s="170"/>
      <c r="U443" s="169" t="s">
        <v>800</v>
      </c>
      <c r="V443" s="171">
        <v>150.16</v>
      </c>
    </row>
    <row r="444" spans="1:22">
      <c r="A444" s="169" t="s">
        <v>811</v>
      </c>
      <c r="B444" s="170">
        <v>1328.63</v>
      </c>
      <c r="C444" s="171">
        <v>182.08</v>
      </c>
      <c r="D444" s="171">
        <v>280.33</v>
      </c>
      <c r="I444" s="169"/>
      <c r="J444" s="170"/>
      <c r="U444" s="169" t="s">
        <v>811</v>
      </c>
      <c r="V444" s="171">
        <v>140.88999999999999</v>
      </c>
    </row>
    <row r="445" spans="1:22">
      <c r="A445" s="169" t="s">
        <v>810</v>
      </c>
      <c r="B445" s="170">
        <v>1334.01</v>
      </c>
      <c r="C445" s="171">
        <v>188.63</v>
      </c>
      <c r="D445" s="171">
        <v>297.70999999999998</v>
      </c>
      <c r="I445" s="169"/>
      <c r="J445" s="170"/>
      <c r="U445" s="169" t="s">
        <v>810</v>
      </c>
      <c r="V445" s="171">
        <v>138.91</v>
      </c>
    </row>
    <row r="446" spans="1:22">
      <c r="A446" s="169" t="s">
        <v>809</v>
      </c>
      <c r="B446" s="170">
        <v>1347.45</v>
      </c>
      <c r="C446" s="171">
        <v>190.92</v>
      </c>
      <c r="D446" s="171">
        <v>301.29000000000002</v>
      </c>
      <c r="I446" s="169"/>
      <c r="J446" s="170"/>
      <c r="U446" s="169" t="s">
        <v>809</v>
      </c>
      <c r="V446" s="171">
        <v>136.49</v>
      </c>
    </row>
    <row r="447" spans="1:22">
      <c r="A447" s="169" t="s">
        <v>808</v>
      </c>
      <c r="B447" s="170">
        <v>1335.46</v>
      </c>
      <c r="C447" s="171">
        <v>191.85</v>
      </c>
      <c r="D447" s="171">
        <v>296.2</v>
      </c>
      <c r="I447" s="169"/>
      <c r="J447" s="170"/>
      <c r="U447" s="169" t="s">
        <v>808</v>
      </c>
      <c r="V447" s="171">
        <v>137.38</v>
      </c>
    </row>
    <row r="448" spans="1:22">
      <c r="A448" s="169" t="s">
        <v>807</v>
      </c>
      <c r="B448" s="170">
        <v>1315.41</v>
      </c>
      <c r="C448" s="171">
        <v>189.55</v>
      </c>
      <c r="D448" s="171">
        <v>290.8</v>
      </c>
      <c r="I448" s="169"/>
      <c r="J448" s="170"/>
      <c r="U448" s="169" t="s">
        <v>807</v>
      </c>
      <c r="V448" s="171">
        <v>136.58000000000001</v>
      </c>
    </row>
    <row r="449" spans="1:22">
      <c r="A449" s="169" t="s">
        <v>806</v>
      </c>
      <c r="B449" s="170">
        <v>1258.06</v>
      </c>
      <c r="C449" s="171">
        <v>179.83</v>
      </c>
      <c r="D449" s="171">
        <v>280.56</v>
      </c>
      <c r="I449" s="169"/>
      <c r="J449" s="170"/>
      <c r="U449" s="169" t="s">
        <v>806</v>
      </c>
      <c r="V449" s="171">
        <v>134.09</v>
      </c>
    </row>
    <row r="450" spans="1:22">
      <c r="A450" s="169" t="s">
        <v>805</v>
      </c>
      <c r="B450" s="170">
        <v>1266.78</v>
      </c>
      <c r="C450" s="171">
        <v>180.66</v>
      </c>
      <c r="D450" s="171">
        <v>279.2</v>
      </c>
      <c r="I450" s="169"/>
      <c r="J450" s="170"/>
      <c r="U450" s="169" t="s">
        <v>805</v>
      </c>
      <c r="V450" s="171">
        <v>134.15</v>
      </c>
    </row>
    <row r="451" spans="1:22">
      <c r="A451" s="169" t="s">
        <v>804</v>
      </c>
      <c r="B451" s="170">
        <v>1284.01</v>
      </c>
      <c r="C451" s="171">
        <v>181.18</v>
      </c>
      <c r="D451" s="171">
        <v>284.17</v>
      </c>
      <c r="I451" s="169"/>
      <c r="J451" s="170"/>
      <c r="U451" s="169" t="s">
        <v>804</v>
      </c>
      <c r="V451" s="171">
        <v>136.46</v>
      </c>
    </row>
    <row r="452" spans="1:22">
      <c r="A452" s="169" t="s">
        <v>803</v>
      </c>
      <c r="B452" s="170">
        <v>1286.77</v>
      </c>
      <c r="C452" s="171">
        <v>179.63</v>
      </c>
      <c r="D452" s="171">
        <v>278.7</v>
      </c>
      <c r="I452" s="169"/>
      <c r="J452" s="170"/>
      <c r="U452" s="169" t="s">
        <v>803</v>
      </c>
      <c r="V452" s="171">
        <v>134.93</v>
      </c>
    </row>
    <row r="453" spans="1:22">
      <c r="A453" s="169" t="s">
        <v>790</v>
      </c>
      <c r="B453" s="170">
        <v>1211.57</v>
      </c>
      <c r="C453" s="171">
        <v>167.24</v>
      </c>
      <c r="D453" s="171">
        <v>247.35</v>
      </c>
      <c r="I453" s="169"/>
      <c r="J453" s="170"/>
      <c r="U453" s="169" t="s">
        <v>790</v>
      </c>
      <c r="V453" s="171">
        <v>138.9</v>
      </c>
    </row>
    <row r="454" spans="1:22">
      <c r="A454" s="169" t="s">
        <v>789</v>
      </c>
      <c r="B454" s="170">
        <v>1188.94</v>
      </c>
      <c r="C454" s="171">
        <v>163.58000000000001</v>
      </c>
      <c r="D454" s="171">
        <v>242.53</v>
      </c>
      <c r="I454" s="169"/>
      <c r="J454" s="170"/>
      <c r="U454" s="169" t="s">
        <v>789</v>
      </c>
      <c r="V454" s="171">
        <v>142.46</v>
      </c>
    </row>
    <row r="455" spans="1:22">
      <c r="A455" s="169" t="s">
        <v>788</v>
      </c>
      <c r="B455" s="170">
        <v>1207.3800000000001</v>
      </c>
      <c r="C455" s="171">
        <v>166.09</v>
      </c>
      <c r="D455" s="171">
        <v>247.03</v>
      </c>
      <c r="I455" s="169"/>
      <c r="J455" s="170"/>
      <c r="U455" s="169" t="s">
        <v>788</v>
      </c>
      <c r="V455" s="171">
        <v>135.54</v>
      </c>
    </row>
    <row r="456" spans="1:22">
      <c r="A456" s="169" t="s">
        <v>799</v>
      </c>
      <c r="B456" s="170">
        <v>1206.71</v>
      </c>
      <c r="C456" s="171">
        <v>166.1</v>
      </c>
      <c r="D456" s="171">
        <v>249.94</v>
      </c>
      <c r="I456" s="169"/>
      <c r="J456" s="170"/>
      <c r="U456" s="169" t="s">
        <v>799</v>
      </c>
      <c r="V456" s="171">
        <v>129.82</v>
      </c>
    </row>
    <row r="457" spans="1:22">
      <c r="A457" s="169" t="s">
        <v>798</v>
      </c>
      <c r="B457" s="170">
        <v>1224.3800000000001</v>
      </c>
      <c r="C457" s="171">
        <v>166.68</v>
      </c>
      <c r="D457" s="171">
        <v>254.64</v>
      </c>
      <c r="I457" s="169"/>
      <c r="J457" s="170"/>
      <c r="U457" s="169" t="s">
        <v>798</v>
      </c>
      <c r="V457" s="171">
        <v>134.13999999999999</v>
      </c>
    </row>
    <row r="458" spans="1:22">
      <c r="A458" s="169" t="s">
        <v>797</v>
      </c>
      <c r="B458" s="170">
        <v>1115.28</v>
      </c>
      <c r="C458" s="171">
        <v>150.66</v>
      </c>
      <c r="D458" s="171">
        <v>229.7</v>
      </c>
      <c r="I458" s="169"/>
      <c r="J458" s="170"/>
      <c r="U458" s="169" t="s">
        <v>797</v>
      </c>
      <c r="V458" s="171">
        <v>136.11000000000001</v>
      </c>
    </row>
    <row r="459" spans="1:22">
      <c r="A459" s="169" t="s">
        <v>796</v>
      </c>
      <c r="B459" s="170">
        <v>1132.4000000000001</v>
      </c>
      <c r="C459" s="171">
        <v>153.18</v>
      </c>
      <c r="D459" s="171">
        <v>239.65</v>
      </c>
      <c r="I459" s="169"/>
      <c r="J459" s="170"/>
      <c r="U459" s="169" t="s">
        <v>796</v>
      </c>
      <c r="V459" s="171">
        <v>134.54</v>
      </c>
    </row>
    <row r="460" spans="1:22">
      <c r="A460" s="169" t="s">
        <v>795</v>
      </c>
      <c r="B460" s="170">
        <v>1104.8499999999999</v>
      </c>
      <c r="C460" s="171">
        <v>150.55000000000001</v>
      </c>
      <c r="D460" s="171">
        <v>232.82</v>
      </c>
      <c r="I460" s="169"/>
      <c r="J460" s="170"/>
      <c r="U460" s="169" t="s">
        <v>795</v>
      </c>
      <c r="V460" s="171">
        <v>130.28</v>
      </c>
    </row>
    <row r="461" spans="1:22">
      <c r="A461" s="169" t="s">
        <v>794</v>
      </c>
      <c r="B461" s="170">
        <v>1170.75</v>
      </c>
      <c r="C461" s="171">
        <v>160.05000000000001</v>
      </c>
      <c r="D461" s="171">
        <v>247.44</v>
      </c>
      <c r="I461" s="169"/>
      <c r="J461" s="170"/>
      <c r="U461" s="169" t="s">
        <v>794</v>
      </c>
      <c r="V461" s="171">
        <v>130.47999999999999</v>
      </c>
    </row>
    <row r="462" spans="1:22">
      <c r="A462" s="169" t="s">
        <v>793</v>
      </c>
      <c r="B462" s="170">
        <v>1164.8900000000001</v>
      </c>
      <c r="C462" s="171">
        <v>159.18</v>
      </c>
      <c r="D462" s="171">
        <v>250.78</v>
      </c>
      <c r="I462" s="169"/>
      <c r="J462" s="170"/>
      <c r="U462" s="169" t="s">
        <v>793</v>
      </c>
      <c r="V462" s="171">
        <v>135.6</v>
      </c>
    </row>
    <row r="463" spans="1:22">
      <c r="A463" s="169" t="s">
        <v>792</v>
      </c>
      <c r="B463" s="170">
        <v>1154.6300000000001</v>
      </c>
      <c r="C463" s="171">
        <v>157.06</v>
      </c>
      <c r="D463" s="171">
        <v>252.57</v>
      </c>
      <c r="I463" s="169"/>
      <c r="J463" s="170"/>
      <c r="U463" s="169" t="s">
        <v>792</v>
      </c>
      <c r="V463" s="171">
        <v>133.35</v>
      </c>
    </row>
    <row r="464" spans="1:22">
      <c r="A464" s="169" t="s">
        <v>791</v>
      </c>
      <c r="B464" s="170">
        <v>1220.58</v>
      </c>
      <c r="C464" s="171">
        <v>163.41</v>
      </c>
      <c r="D464" s="171">
        <v>268.43</v>
      </c>
      <c r="I464" s="169"/>
      <c r="J464" s="170"/>
      <c r="U464" s="169" t="s">
        <v>791</v>
      </c>
      <c r="V464" s="171">
        <v>129.66</v>
      </c>
    </row>
    <row r="465" spans="1:22">
      <c r="A465" s="169" t="s">
        <v>778</v>
      </c>
      <c r="B465" s="170">
        <v>1258.6400000000001</v>
      </c>
      <c r="C465" s="171">
        <v>164.93</v>
      </c>
      <c r="D465" s="171">
        <v>278.60000000000002</v>
      </c>
      <c r="I465" s="169"/>
      <c r="J465" s="170"/>
      <c r="U465" s="169" t="s">
        <v>778</v>
      </c>
      <c r="V465" s="171">
        <v>124.08</v>
      </c>
    </row>
    <row r="466" spans="1:22">
      <c r="A466" s="169" t="s">
        <v>777</v>
      </c>
      <c r="B466" s="170">
        <v>1276.02</v>
      </c>
      <c r="C466" s="171">
        <v>166.4</v>
      </c>
      <c r="D466" s="171">
        <v>285.67</v>
      </c>
      <c r="I466" s="169"/>
      <c r="J466" s="170"/>
      <c r="U466" s="169" t="s">
        <v>777</v>
      </c>
      <c r="V466" s="171">
        <v>121.21</v>
      </c>
    </row>
    <row r="467" spans="1:22">
      <c r="A467" s="169" t="s">
        <v>776</v>
      </c>
      <c r="B467" s="170">
        <v>1225.2</v>
      </c>
      <c r="C467" s="171">
        <v>163.55000000000001</v>
      </c>
      <c r="D467" s="171">
        <v>274.55</v>
      </c>
      <c r="I467" s="169"/>
      <c r="J467" s="170"/>
      <c r="U467" s="169" t="s">
        <v>776</v>
      </c>
      <c r="V467" s="171">
        <v>117.63</v>
      </c>
    </row>
    <row r="468" spans="1:22">
      <c r="A468" s="169" t="s">
        <v>787</v>
      </c>
      <c r="B468" s="170">
        <v>1233.1300000000001</v>
      </c>
      <c r="C468" s="171">
        <v>166.07</v>
      </c>
      <c r="D468" s="171">
        <v>296.64999999999998</v>
      </c>
      <c r="I468" s="169"/>
      <c r="J468" s="170"/>
      <c r="U468" s="169" t="s">
        <v>787</v>
      </c>
      <c r="V468" s="171">
        <v>121.42</v>
      </c>
    </row>
    <row r="469" spans="1:22">
      <c r="A469" s="169" t="s">
        <v>786</v>
      </c>
      <c r="B469" s="170">
        <v>1216.1600000000001</v>
      </c>
      <c r="C469" s="171">
        <v>164.4</v>
      </c>
      <c r="D469" s="171">
        <v>292.42</v>
      </c>
      <c r="I469" s="169"/>
      <c r="J469" s="170"/>
      <c r="U469" s="169" t="s">
        <v>786</v>
      </c>
      <c r="V469" s="171">
        <v>117.71</v>
      </c>
    </row>
    <row r="470" spans="1:22">
      <c r="A470" s="169" t="s">
        <v>785</v>
      </c>
      <c r="B470" s="170">
        <v>1199.22</v>
      </c>
      <c r="C470" s="171">
        <v>162.56</v>
      </c>
      <c r="D470" s="171">
        <v>303.95999999999998</v>
      </c>
      <c r="I470" s="169"/>
      <c r="J470" s="170"/>
      <c r="U470" s="169" t="s">
        <v>785</v>
      </c>
      <c r="V470" s="171">
        <v>118.82</v>
      </c>
    </row>
    <row r="471" spans="1:22">
      <c r="A471" s="169" t="s">
        <v>784</v>
      </c>
      <c r="B471" s="170">
        <v>1221.96</v>
      </c>
      <c r="C471" s="171">
        <v>167.64</v>
      </c>
      <c r="D471" s="171">
        <v>318.7</v>
      </c>
      <c r="I471" s="169"/>
      <c r="J471" s="170"/>
      <c r="U471" s="169" t="s">
        <v>784</v>
      </c>
      <c r="V471" s="171">
        <v>125.04</v>
      </c>
    </row>
    <row r="472" spans="1:22">
      <c r="A472" s="169" t="s">
        <v>783</v>
      </c>
      <c r="B472" s="170">
        <v>1199.98</v>
      </c>
      <c r="C472" s="171">
        <v>162.38999999999999</v>
      </c>
      <c r="D472" s="171">
        <v>308.73</v>
      </c>
      <c r="I472" s="169"/>
      <c r="J472" s="170"/>
      <c r="U472" s="169" t="s">
        <v>783</v>
      </c>
      <c r="V472" s="171">
        <v>122.44</v>
      </c>
    </row>
    <row r="473" spans="1:22">
      <c r="A473" s="169" t="s">
        <v>782</v>
      </c>
      <c r="B473" s="170">
        <v>1226.2</v>
      </c>
      <c r="C473" s="171">
        <v>164.43</v>
      </c>
      <c r="D473" s="171">
        <v>293.06</v>
      </c>
      <c r="I473" s="169"/>
      <c r="J473" s="170"/>
      <c r="U473" s="169" t="s">
        <v>782</v>
      </c>
      <c r="V473" s="171">
        <v>125.76</v>
      </c>
    </row>
    <row r="474" spans="1:22">
      <c r="A474" s="169" t="s">
        <v>781</v>
      </c>
      <c r="B474" s="170">
        <v>1130.03</v>
      </c>
      <c r="C474" s="171">
        <v>152.96</v>
      </c>
      <c r="D474" s="171">
        <v>270.8</v>
      </c>
      <c r="I474" s="169"/>
      <c r="J474" s="170"/>
      <c r="U474" s="169" t="s">
        <v>781</v>
      </c>
      <c r="V474" s="171">
        <v>131.44</v>
      </c>
    </row>
    <row r="475" spans="1:22">
      <c r="A475" s="169" t="s">
        <v>780</v>
      </c>
      <c r="B475" s="170">
        <v>1112.6199999999999</v>
      </c>
      <c r="C475" s="171">
        <v>148.06</v>
      </c>
      <c r="D475" s="171">
        <v>260.67</v>
      </c>
      <c r="I475" s="169"/>
      <c r="J475" s="170"/>
      <c r="U475" s="169" t="s">
        <v>780</v>
      </c>
      <c r="V475" s="171">
        <v>119.8</v>
      </c>
    </row>
    <row r="476" spans="1:22">
      <c r="A476" s="169" t="s">
        <v>779</v>
      </c>
      <c r="B476" s="170">
        <v>1075.7</v>
      </c>
      <c r="C476" s="171">
        <v>145.30000000000001</v>
      </c>
      <c r="D476" s="171">
        <v>248.35</v>
      </c>
      <c r="I476" s="169"/>
      <c r="J476" s="170"/>
      <c r="U476" s="169" t="s">
        <v>779</v>
      </c>
      <c r="V476" s="171">
        <v>123.5</v>
      </c>
    </row>
    <row r="477" spans="1:22">
      <c r="A477" s="169" t="s">
        <v>1250</v>
      </c>
      <c r="B477" s="170">
        <v>1046.54</v>
      </c>
      <c r="C477" s="171">
        <v>140.63999999999999</v>
      </c>
      <c r="D477" s="171">
        <v>232.41</v>
      </c>
      <c r="I477" s="169"/>
      <c r="J477" s="170"/>
      <c r="U477" s="169" t="s">
        <v>1250</v>
      </c>
      <c r="V477" s="171">
        <v>118.27</v>
      </c>
    </row>
    <row r="478" spans="1:22">
      <c r="A478" s="169" t="s">
        <v>1251</v>
      </c>
      <c r="B478" s="170">
        <v>1039.28</v>
      </c>
      <c r="C478" s="171">
        <v>138.53</v>
      </c>
      <c r="D478" s="171">
        <v>232.31</v>
      </c>
      <c r="I478" s="169"/>
      <c r="J478" s="170"/>
      <c r="U478" s="169" t="s">
        <v>1251</v>
      </c>
      <c r="V478" s="171">
        <v>128.99</v>
      </c>
    </row>
    <row r="479" spans="1:22">
      <c r="A479" s="169" t="s">
        <v>1252</v>
      </c>
      <c r="B479" s="171">
        <v>991.72</v>
      </c>
      <c r="C479" s="171">
        <v>133.72</v>
      </c>
      <c r="D479" s="171">
        <v>212.63</v>
      </c>
      <c r="I479" s="169"/>
      <c r="J479" s="170"/>
      <c r="U479" s="169" t="s">
        <v>1252</v>
      </c>
      <c r="V479" s="171">
        <v>123.66</v>
      </c>
    </row>
    <row r="480" spans="1:22">
      <c r="A480" s="169" t="s">
        <v>775</v>
      </c>
      <c r="B480" s="171">
        <v>896.25</v>
      </c>
      <c r="C480" s="171">
        <v>120.42</v>
      </c>
      <c r="D480" s="171">
        <v>187.65</v>
      </c>
      <c r="I480" s="169"/>
      <c r="J480" s="170"/>
      <c r="U480" s="169" t="s">
        <v>775</v>
      </c>
      <c r="V480" s="171">
        <v>121.91</v>
      </c>
    </row>
    <row r="481" spans="1:22">
      <c r="A481" s="169" t="s">
        <v>774</v>
      </c>
      <c r="B481" s="171">
        <v>901.31</v>
      </c>
      <c r="C481" s="171">
        <v>119.51</v>
      </c>
      <c r="D481" s="171">
        <v>177.71</v>
      </c>
      <c r="I481" s="169"/>
      <c r="J481" s="170"/>
      <c r="U481" s="169" t="s">
        <v>774</v>
      </c>
      <c r="V481" s="171">
        <v>119.71</v>
      </c>
    </row>
    <row r="482" spans="1:22">
      <c r="A482" s="169" t="s">
        <v>773</v>
      </c>
      <c r="B482" s="171">
        <v>808.6</v>
      </c>
      <c r="C482" s="171">
        <v>107.09</v>
      </c>
      <c r="D482" s="171">
        <v>167.35</v>
      </c>
      <c r="I482" s="169"/>
      <c r="J482" s="170"/>
      <c r="U482" s="169" t="s">
        <v>773</v>
      </c>
      <c r="V482" s="171">
        <v>121.94</v>
      </c>
    </row>
    <row r="483" spans="1:22">
      <c r="A483" s="169" t="s">
        <v>772</v>
      </c>
      <c r="B483" s="171">
        <v>811.93</v>
      </c>
      <c r="C483" s="171">
        <v>109.61</v>
      </c>
      <c r="D483" s="171">
        <v>171.3</v>
      </c>
      <c r="I483" s="169"/>
      <c r="J483" s="170"/>
      <c r="U483" s="169" t="s">
        <v>772</v>
      </c>
      <c r="V483" s="171">
        <v>125.08</v>
      </c>
    </row>
    <row r="484" spans="1:22">
      <c r="A484" s="169" t="s">
        <v>771</v>
      </c>
      <c r="B484" s="171">
        <v>819.54</v>
      </c>
      <c r="C484" s="171">
        <v>111.88</v>
      </c>
      <c r="D484" s="171">
        <v>178.54</v>
      </c>
      <c r="I484" s="169"/>
      <c r="J484" s="170"/>
      <c r="U484" s="169" t="s">
        <v>771</v>
      </c>
      <c r="V484" s="171">
        <v>123.64</v>
      </c>
    </row>
    <row r="485" spans="1:22">
      <c r="A485" s="169" t="s">
        <v>1253</v>
      </c>
      <c r="B485" s="171">
        <v>848.36</v>
      </c>
      <c r="C485" s="171">
        <v>116.44</v>
      </c>
      <c r="D485" s="171">
        <v>184.7</v>
      </c>
      <c r="I485" s="169"/>
      <c r="J485" s="170"/>
      <c r="U485" s="169" t="s">
        <v>1253</v>
      </c>
      <c r="V485" s="171">
        <v>114.57</v>
      </c>
    </row>
    <row r="486" spans="1:22">
      <c r="A486" s="169" t="s">
        <v>1254</v>
      </c>
      <c r="B486" s="171">
        <v>822.77</v>
      </c>
      <c r="C486" s="171">
        <v>111.96</v>
      </c>
      <c r="D486" s="171">
        <v>175.65</v>
      </c>
      <c r="I486" s="169"/>
      <c r="J486" s="170"/>
      <c r="U486" s="169" t="s">
        <v>1254</v>
      </c>
      <c r="V486" s="171">
        <v>121.4</v>
      </c>
    </row>
    <row r="487" spans="1:22">
      <c r="A487" s="169" t="s">
        <v>1255</v>
      </c>
      <c r="B487" s="171">
        <v>824.39</v>
      </c>
      <c r="C487" s="171">
        <v>113.11</v>
      </c>
      <c r="D487" s="171">
        <v>179.43</v>
      </c>
      <c r="I487" s="169"/>
      <c r="J487" s="170"/>
      <c r="U487" s="169" t="s">
        <v>1255</v>
      </c>
      <c r="V487" s="171">
        <v>127.83</v>
      </c>
    </row>
    <row r="488" spans="1:22">
      <c r="A488" s="169" t="s">
        <v>1256</v>
      </c>
      <c r="B488" s="171">
        <v>871.1</v>
      </c>
      <c r="C488" s="171">
        <v>120.4</v>
      </c>
      <c r="D488" s="171">
        <v>188.39</v>
      </c>
      <c r="I488" s="169"/>
      <c r="J488" s="170"/>
      <c r="U488" s="169" t="s">
        <v>1256</v>
      </c>
      <c r="V488" s="171">
        <v>128.78</v>
      </c>
    </row>
    <row r="489" spans="1:22">
      <c r="A489" s="169" t="s">
        <v>1257</v>
      </c>
      <c r="B489" s="171">
        <v>875</v>
      </c>
      <c r="C489" s="171">
        <v>122.55</v>
      </c>
      <c r="D489" s="171">
        <v>195.84</v>
      </c>
      <c r="I489" s="169"/>
      <c r="J489" s="170"/>
      <c r="U489" s="169" t="s">
        <v>1257</v>
      </c>
      <c r="V489" s="171">
        <v>125.65</v>
      </c>
    </row>
    <row r="490" spans="1:22">
      <c r="A490" s="169" t="s">
        <v>1258</v>
      </c>
      <c r="B490" s="171">
        <v>888.98</v>
      </c>
      <c r="C490" s="171">
        <v>126.35</v>
      </c>
      <c r="D490" s="171">
        <v>201.37</v>
      </c>
      <c r="I490" s="169"/>
      <c r="J490" s="170"/>
      <c r="U490" s="169" t="s">
        <v>1258</v>
      </c>
      <c r="V490" s="171">
        <v>131.30000000000001</v>
      </c>
    </row>
    <row r="491" spans="1:22">
      <c r="A491" s="169" t="s">
        <v>1259</v>
      </c>
      <c r="B491" s="171">
        <v>852.55</v>
      </c>
      <c r="C491" s="171">
        <v>121.89</v>
      </c>
      <c r="D491" s="171">
        <v>195.24</v>
      </c>
      <c r="I491" s="169"/>
      <c r="J491" s="170"/>
      <c r="U491" s="169" t="s">
        <v>1259</v>
      </c>
      <c r="V491" s="171">
        <v>132.4</v>
      </c>
    </row>
    <row r="492" spans="1:22">
      <c r="A492" s="169" t="s">
        <v>1260</v>
      </c>
      <c r="B492" s="171">
        <v>849.98</v>
      </c>
      <c r="C492" s="171">
        <v>116.18</v>
      </c>
      <c r="D492" s="171">
        <v>180.03</v>
      </c>
      <c r="I492" s="169"/>
      <c r="J492" s="170"/>
      <c r="U492" s="169" t="s">
        <v>1260</v>
      </c>
      <c r="V492" s="171">
        <v>123</v>
      </c>
    </row>
    <row r="493" spans="1:22">
      <c r="A493" s="169" t="s">
        <v>1261</v>
      </c>
      <c r="B493" s="171">
        <v>881.47</v>
      </c>
      <c r="C493" s="171">
        <v>122.79</v>
      </c>
      <c r="D493" s="171">
        <v>195.75</v>
      </c>
      <c r="I493" s="169"/>
      <c r="J493" s="170"/>
      <c r="U493" s="169" t="s">
        <v>1261</v>
      </c>
      <c r="V493" s="171">
        <v>132.30000000000001</v>
      </c>
    </row>
    <row r="494" spans="1:22">
      <c r="A494" s="169" t="s">
        <v>1262</v>
      </c>
      <c r="B494" s="171">
        <v>952.34</v>
      </c>
      <c r="C494" s="171">
        <v>130.91999999999999</v>
      </c>
      <c r="D494" s="171">
        <v>211.63</v>
      </c>
      <c r="I494" s="169"/>
      <c r="J494" s="170"/>
      <c r="U494" s="169" t="s">
        <v>1262</v>
      </c>
      <c r="V494" s="171">
        <v>140.1</v>
      </c>
    </row>
    <row r="495" spans="1:22">
      <c r="A495" s="169" t="s">
        <v>1263</v>
      </c>
      <c r="B495" s="171">
        <v>976.88</v>
      </c>
      <c r="C495" s="171">
        <v>131.21</v>
      </c>
      <c r="D495" s="171">
        <v>215.75</v>
      </c>
      <c r="I495" s="169"/>
      <c r="J495" s="170"/>
      <c r="U495" s="169" t="s">
        <v>1263</v>
      </c>
      <c r="V495" s="171">
        <v>148.1</v>
      </c>
    </row>
    <row r="496" spans="1:22">
      <c r="A496" s="169" t="s">
        <v>1264</v>
      </c>
      <c r="B496" s="171">
        <v>991.75</v>
      </c>
      <c r="C496" s="171">
        <v>132.59</v>
      </c>
      <c r="D496" s="171">
        <v>223.47</v>
      </c>
      <c r="I496" s="169"/>
      <c r="J496" s="170"/>
      <c r="U496" s="169" t="s">
        <v>1264</v>
      </c>
      <c r="V496" s="171">
        <v>150.80000000000001</v>
      </c>
    </row>
    <row r="497" spans="1:22">
      <c r="A497" s="169" t="s">
        <v>1265</v>
      </c>
      <c r="B497" s="171">
        <v>997.75</v>
      </c>
      <c r="C497" s="171">
        <v>132.81</v>
      </c>
      <c r="D497" s="171">
        <v>216.74</v>
      </c>
      <c r="I497" s="169"/>
      <c r="J497" s="170"/>
      <c r="U497" s="169" t="s">
        <v>1471</v>
      </c>
      <c r="V497" s="171">
        <v>126.3</v>
      </c>
    </row>
    <row r="498" spans="1:22">
      <c r="A498" s="169" t="s">
        <v>1266</v>
      </c>
      <c r="B498" s="170">
        <v>1003.87</v>
      </c>
      <c r="C498" s="171">
        <v>136</v>
      </c>
      <c r="D498" s="171">
        <v>210.18</v>
      </c>
      <c r="I498" s="169"/>
      <c r="J498" s="170"/>
    </row>
    <row r="499" spans="1:22">
      <c r="A499" s="169" t="s">
        <v>1267</v>
      </c>
      <c r="B499" s="171">
        <v>974.58</v>
      </c>
      <c r="C499" s="171">
        <v>131.27000000000001</v>
      </c>
      <c r="D499" s="171">
        <v>198.01</v>
      </c>
      <c r="I499" s="169"/>
      <c r="J499" s="170"/>
    </row>
    <row r="500" spans="1:22">
      <c r="A500" s="169" t="s">
        <v>1268</v>
      </c>
      <c r="B500" s="171">
        <v>947.27</v>
      </c>
      <c r="C500" s="171">
        <v>129.55000000000001</v>
      </c>
      <c r="D500" s="171">
        <v>197.81</v>
      </c>
      <c r="I500" s="169"/>
      <c r="J500" s="170"/>
    </row>
    <row r="501" spans="1:22">
      <c r="A501" s="169" t="s">
        <v>1269</v>
      </c>
      <c r="B501" s="171">
        <v>963.99</v>
      </c>
      <c r="C501" s="171">
        <v>135.76</v>
      </c>
      <c r="D501" s="171">
        <v>202.34</v>
      </c>
      <c r="I501" s="169"/>
      <c r="J501" s="170"/>
    </row>
    <row r="502" spans="1:22">
      <c r="A502" s="169" t="s">
        <v>1270</v>
      </c>
      <c r="B502" s="171">
        <v>993.34</v>
      </c>
      <c r="C502" s="171">
        <v>140.52000000000001</v>
      </c>
      <c r="D502" s="171">
        <v>208.15</v>
      </c>
      <c r="I502" s="169"/>
      <c r="J502" s="170"/>
    </row>
    <row r="503" spans="1:22">
      <c r="A503" s="169" t="s">
        <v>1271</v>
      </c>
      <c r="B503" s="171">
        <v>924.49</v>
      </c>
      <c r="C503" s="171">
        <v>127.47</v>
      </c>
      <c r="D503" s="171">
        <v>192.78</v>
      </c>
      <c r="I503" s="169"/>
      <c r="J503" s="170"/>
    </row>
    <row r="504" spans="1:22">
      <c r="A504" s="169" t="s">
        <v>1272</v>
      </c>
      <c r="B504" s="171">
        <v>932.42</v>
      </c>
      <c r="C504" s="171">
        <v>125.46</v>
      </c>
      <c r="D504" s="171">
        <v>187.76</v>
      </c>
      <c r="I504" s="169"/>
      <c r="J504" s="170"/>
    </row>
    <row r="505" spans="1:22">
      <c r="A505" s="169" t="s">
        <v>1273</v>
      </c>
      <c r="B505" s="171">
        <v>932.59</v>
      </c>
      <c r="C505" s="171">
        <v>122.38</v>
      </c>
      <c r="D505" s="171">
        <v>181.52</v>
      </c>
      <c r="I505" s="169"/>
      <c r="J505" s="170"/>
    </row>
    <row r="506" spans="1:22">
      <c r="A506" s="169" t="s">
        <v>1274</v>
      </c>
      <c r="B506" s="171">
        <v>935.32</v>
      </c>
      <c r="C506" s="171">
        <v>121.67</v>
      </c>
      <c r="D506" s="171">
        <v>171.81</v>
      </c>
      <c r="I506" s="169"/>
      <c r="J506" s="170"/>
    </row>
    <row r="507" spans="1:22">
      <c r="A507" s="169" t="s">
        <v>1275</v>
      </c>
      <c r="B507" s="171">
        <v>867.92</v>
      </c>
      <c r="C507" s="171">
        <v>114.24</v>
      </c>
      <c r="D507" s="171">
        <v>157.78</v>
      </c>
      <c r="I507" s="169"/>
      <c r="J507" s="170"/>
    </row>
    <row r="508" spans="1:22">
      <c r="A508" s="169" t="s">
        <v>1276</v>
      </c>
      <c r="B508" s="171">
        <v>850.85</v>
      </c>
      <c r="C508" s="171">
        <v>111.24</v>
      </c>
      <c r="D508" s="171">
        <v>150.44999999999999</v>
      </c>
      <c r="I508" s="169"/>
      <c r="J508" s="170"/>
    </row>
    <row r="509" spans="1:22">
      <c r="A509" s="169" t="s">
        <v>1277</v>
      </c>
      <c r="B509" s="171">
        <v>817.06</v>
      </c>
      <c r="C509" s="171">
        <v>106.29</v>
      </c>
      <c r="D509" s="171">
        <v>139.99</v>
      </c>
      <c r="I509" s="169"/>
      <c r="J509" s="170"/>
    </row>
    <row r="510" spans="1:22">
      <c r="A510" s="169" t="s">
        <v>1278</v>
      </c>
      <c r="B510" s="171">
        <v>785.75</v>
      </c>
      <c r="C510" s="171">
        <v>102.09</v>
      </c>
      <c r="I510" s="169"/>
      <c r="J510" s="170"/>
    </row>
    <row r="511" spans="1:22">
      <c r="A511" s="169" t="s">
        <v>1279</v>
      </c>
      <c r="B511" s="171">
        <v>863.14</v>
      </c>
      <c r="C511" s="171">
        <v>113.66</v>
      </c>
      <c r="I511" s="169"/>
      <c r="J511" s="170"/>
    </row>
    <row r="512" spans="1:22">
      <c r="A512" s="169" t="s">
        <v>1280</v>
      </c>
      <c r="B512" s="171">
        <v>875.85</v>
      </c>
      <c r="C512" s="171">
        <v>114.16</v>
      </c>
      <c r="I512" s="169"/>
      <c r="J512" s="170"/>
    </row>
    <row r="513" spans="1:10">
      <c r="A513" s="169" t="s">
        <v>1281</v>
      </c>
      <c r="B513" s="171">
        <v>838.74</v>
      </c>
      <c r="C513" s="171">
        <v>107.94</v>
      </c>
      <c r="I513" s="169"/>
      <c r="J513" s="170"/>
    </row>
    <row r="514" spans="1:10">
      <c r="A514" s="169" t="s">
        <v>1282</v>
      </c>
      <c r="B514" s="171">
        <v>822.35</v>
      </c>
      <c r="C514" s="171">
        <v>106.16</v>
      </c>
      <c r="I514" s="169"/>
      <c r="J514" s="170"/>
    </row>
    <row r="515" spans="1:10">
      <c r="A515" s="169" t="s">
        <v>1283</v>
      </c>
      <c r="B515" s="171">
        <v>815.7</v>
      </c>
      <c r="C515" s="171">
        <v>101.82</v>
      </c>
      <c r="I515" s="169"/>
      <c r="J515" s="170"/>
    </row>
    <row r="516" spans="1:10">
      <c r="A516" s="169" t="s">
        <v>1284</v>
      </c>
      <c r="B516" s="171">
        <v>878.58</v>
      </c>
      <c r="C516" s="171">
        <v>109.32</v>
      </c>
      <c r="I516" s="169"/>
      <c r="J516" s="170"/>
    </row>
    <row r="517" spans="1:10">
      <c r="A517" s="169" t="s">
        <v>1285</v>
      </c>
      <c r="B517" s="171">
        <v>887.63</v>
      </c>
      <c r="C517" s="171">
        <v>109.32</v>
      </c>
      <c r="I517" s="169"/>
      <c r="J517" s="170"/>
    </row>
    <row r="518" spans="1:10">
      <c r="A518" s="169" t="s">
        <v>1286</v>
      </c>
      <c r="B518" s="171">
        <v>846.42</v>
      </c>
      <c r="C518" s="171">
        <v>103.81</v>
      </c>
      <c r="I518" s="169"/>
      <c r="J518" s="170"/>
    </row>
    <row r="519" spans="1:10">
      <c r="A519" s="169" t="s">
        <v>1287</v>
      </c>
      <c r="B519" s="171">
        <v>841.98</v>
      </c>
      <c r="C519" s="171">
        <v>102.91</v>
      </c>
      <c r="I519" s="169"/>
      <c r="J519" s="170"/>
    </row>
    <row r="520" spans="1:10">
      <c r="A520" s="169" t="s">
        <v>1288</v>
      </c>
      <c r="B520" s="171">
        <v>822.33</v>
      </c>
      <c r="C520" s="171">
        <v>99.08</v>
      </c>
      <c r="I520" s="169"/>
      <c r="J520" s="170"/>
    </row>
    <row r="521" spans="1:10">
      <c r="A521" s="169" t="s">
        <v>1289</v>
      </c>
      <c r="B521" s="171">
        <v>854.9</v>
      </c>
      <c r="C521" s="171">
        <v>101.76</v>
      </c>
      <c r="I521" s="169"/>
      <c r="J521" s="170"/>
    </row>
    <row r="522" spans="1:10">
      <c r="A522" s="169" t="s">
        <v>1290</v>
      </c>
      <c r="B522" s="171">
        <v>862.18</v>
      </c>
      <c r="C522" s="171">
        <v>101.59</v>
      </c>
      <c r="I522" s="169"/>
      <c r="J522" s="170"/>
    </row>
    <row r="523" spans="1:10">
      <c r="A523" s="169" t="s">
        <v>1291</v>
      </c>
      <c r="B523" s="171">
        <v>808.82</v>
      </c>
      <c r="C523" s="171">
        <v>96.28</v>
      </c>
      <c r="I523" s="169"/>
      <c r="J523" s="170"/>
    </row>
    <row r="524" spans="1:10">
      <c r="A524" s="169" t="s">
        <v>1292</v>
      </c>
      <c r="B524" s="171">
        <v>839.22</v>
      </c>
      <c r="C524" s="171">
        <v>99.93</v>
      </c>
      <c r="I524" s="169"/>
      <c r="J524" s="170"/>
    </row>
    <row r="525" spans="1:10">
      <c r="A525" s="169" t="s">
        <v>1293</v>
      </c>
      <c r="B525" s="171">
        <v>805.01</v>
      </c>
      <c r="C525" s="171">
        <v>96.11</v>
      </c>
      <c r="I525" s="169"/>
      <c r="J525" s="170"/>
    </row>
    <row r="526" spans="1:10">
      <c r="A526" s="169" t="s">
        <v>1294</v>
      </c>
      <c r="B526" s="171">
        <v>799.03</v>
      </c>
      <c r="C526" s="171">
        <v>94.7</v>
      </c>
      <c r="I526" s="169"/>
      <c r="J526" s="170"/>
    </row>
    <row r="527" spans="1:10">
      <c r="A527" s="169" t="s">
        <v>1295</v>
      </c>
      <c r="B527" s="171">
        <v>792.45</v>
      </c>
      <c r="C527" s="171">
        <v>93.15</v>
      </c>
      <c r="I527" s="169"/>
      <c r="J527" s="170"/>
    </row>
    <row r="528" spans="1:10">
      <c r="A528" s="169" t="s">
        <v>1296</v>
      </c>
      <c r="B528" s="171">
        <v>865.82</v>
      </c>
      <c r="C528" s="171">
        <v>102.54</v>
      </c>
      <c r="I528" s="169"/>
      <c r="J528" s="170"/>
    </row>
    <row r="529" spans="1:10">
      <c r="A529" s="169" t="s">
        <v>1297</v>
      </c>
      <c r="B529" s="171">
        <v>876.82</v>
      </c>
      <c r="C529" s="171">
        <v>103.29</v>
      </c>
      <c r="I529" s="169"/>
      <c r="J529" s="170"/>
    </row>
    <row r="530" spans="1:10">
      <c r="A530" s="169" t="s">
        <v>1298</v>
      </c>
      <c r="B530" s="171">
        <v>862.27</v>
      </c>
      <c r="C530" s="171">
        <v>100.68</v>
      </c>
      <c r="I530" s="169"/>
      <c r="J530" s="170"/>
    </row>
    <row r="531" spans="1:10">
      <c r="A531" s="169" t="s">
        <v>1299</v>
      </c>
      <c r="B531" s="171">
        <v>818.95</v>
      </c>
      <c r="C531" s="171">
        <v>95.53</v>
      </c>
      <c r="I531" s="169"/>
      <c r="J531" s="170"/>
    </row>
    <row r="532" spans="1:10">
      <c r="A532" s="169" t="s">
        <v>1300</v>
      </c>
      <c r="B532" s="171">
        <v>840.61</v>
      </c>
      <c r="C532" s="171">
        <v>97.24</v>
      </c>
      <c r="I532" s="169"/>
      <c r="J532" s="170"/>
    </row>
    <row r="533" spans="1:10">
      <c r="A533" s="169" t="s">
        <v>1301</v>
      </c>
      <c r="B533" s="171">
        <v>837.32</v>
      </c>
      <c r="C533" s="171">
        <v>96.83</v>
      </c>
      <c r="I533" s="169"/>
      <c r="J533" s="170"/>
    </row>
    <row r="534" spans="1:10">
      <c r="A534" s="169" t="s">
        <v>1302</v>
      </c>
      <c r="B534" s="171">
        <v>757.36</v>
      </c>
      <c r="C534" s="171">
        <v>89.21</v>
      </c>
      <c r="I534" s="169"/>
      <c r="J534" s="170"/>
    </row>
    <row r="535" spans="1:10">
      <c r="A535" s="169" t="s">
        <v>1303</v>
      </c>
      <c r="B535" s="171">
        <v>742.12</v>
      </c>
      <c r="C535" s="171">
        <v>87.04</v>
      </c>
      <c r="I535" s="169"/>
      <c r="J535" s="170"/>
    </row>
    <row r="536" spans="1:10">
      <c r="A536" s="169" t="s">
        <v>1304</v>
      </c>
      <c r="B536" s="171">
        <v>769.92</v>
      </c>
      <c r="C536" s="171">
        <v>89.25</v>
      </c>
      <c r="I536" s="169"/>
      <c r="J536" s="170"/>
    </row>
    <row r="537" spans="1:10">
      <c r="A537" s="169" t="s">
        <v>1305</v>
      </c>
      <c r="B537" s="171">
        <v>831.17</v>
      </c>
      <c r="C537" s="171">
        <v>95.1</v>
      </c>
      <c r="I537" s="169"/>
      <c r="J537" s="170"/>
    </row>
    <row r="538" spans="1:10">
      <c r="A538" s="169" t="s">
        <v>1306</v>
      </c>
      <c r="B538" s="171">
        <v>829.7</v>
      </c>
      <c r="C538" s="171">
        <v>94.83</v>
      </c>
      <c r="I538" s="169"/>
      <c r="J538" s="170"/>
    </row>
    <row r="539" spans="1:10">
      <c r="A539" s="169" t="s">
        <v>1307</v>
      </c>
      <c r="B539" s="171">
        <v>818.35</v>
      </c>
      <c r="C539" s="171">
        <v>92.34</v>
      </c>
      <c r="I539" s="169"/>
      <c r="J539" s="170"/>
    </row>
    <row r="540" spans="1:10">
      <c r="A540" s="169" t="s">
        <v>1308</v>
      </c>
      <c r="B540" s="171">
        <v>847.11</v>
      </c>
      <c r="C540" s="171">
        <v>96.53</v>
      </c>
      <c r="I540" s="169"/>
      <c r="J540" s="170"/>
    </row>
    <row r="541" spans="1:10">
      <c r="A541" s="169" t="s">
        <v>1309</v>
      </c>
      <c r="B541" s="171">
        <v>861.49</v>
      </c>
      <c r="C541" s="171">
        <v>96.77</v>
      </c>
      <c r="I541" s="169"/>
      <c r="J541" s="170"/>
    </row>
    <row r="542" spans="1:10">
      <c r="A542" s="169" t="s">
        <v>1310</v>
      </c>
      <c r="B542" s="171">
        <v>890.07</v>
      </c>
      <c r="C542" s="171">
        <v>98.85</v>
      </c>
      <c r="I542" s="169"/>
      <c r="J542" s="170"/>
    </row>
    <row r="543" spans="1:10">
      <c r="A543" s="169" t="s">
        <v>1311</v>
      </c>
      <c r="B543" s="171">
        <v>916.3</v>
      </c>
      <c r="C543" s="171">
        <v>100.48</v>
      </c>
      <c r="I543" s="169"/>
      <c r="J543" s="170"/>
    </row>
    <row r="544" spans="1:10">
      <c r="A544" s="169" t="s">
        <v>1312</v>
      </c>
      <c r="B544" s="171">
        <v>898.66</v>
      </c>
      <c r="C544" s="171">
        <v>96.12</v>
      </c>
      <c r="I544" s="169"/>
      <c r="J544" s="170"/>
    </row>
    <row r="545" spans="1:10">
      <c r="A545" s="169" t="s">
        <v>1313</v>
      </c>
      <c r="B545" s="171">
        <v>926.9</v>
      </c>
      <c r="C545" s="171">
        <v>98.44</v>
      </c>
      <c r="I545" s="169"/>
      <c r="J545" s="170"/>
    </row>
    <row r="546" spans="1:10">
      <c r="A546" s="169" t="s">
        <v>1314</v>
      </c>
      <c r="B546" s="171">
        <v>919.13</v>
      </c>
      <c r="C546" s="171">
        <v>98.42</v>
      </c>
      <c r="I546" s="169"/>
      <c r="J546" s="170"/>
    </row>
    <row r="547" spans="1:10">
      <c r="A547" s="169" t="s">
        <v>1315</v>
      </c>
      <c r="B547" s="171">
        <v>936.42</v>
      </c>
      <c r="C547" s="171">
        <v>99.82</v>
      </c>
      <c r="I547" s="169"/>
      <c r="J547" s="170"/>
    </row>
    <row r="548" spans="1:10">
      <c r="A548" s="169" t="s">
        <v>1316</v>
      </c>
      <c r="B548" s="171">
        <v>954.37</v>
      </c>
      <c r="C548" s="171">
        <v>102.03</v>
      </c>
      <c r="I548" s="169"/>
      <c r="J548" s="170"/>
    </row>
    <row r="549" spans="1:10">
      <c r="A549" s="169" t="s">
        <v>1317</v>
      </c>
      <c r="B549" s="170">
        <v>1004.65</v>
      </c>
      <c r="C549" s="171">
        <v>107.46</v>
      </c>
      <c r="I549" s="169"/>
      <c r="J549" s="170"/>
    </row>
    <row r="550" spans="1:10">
      <c r="A550" s="169" t="s">
        <v>1318</v>
      </c>
      <c r="B550" s="171">
        <v>947.22</v>
      </c>
      <c r="C550" s="171">
        <v>102.1</v>
      </c>
      <c r="I550" s="169"/>
      <c r="J550" s="170"/>
    </row>
    <row r="551" spans="1:10">
      <c r="A551" s="169" t="s">
        <v>1319</v>
      </c>
      <c r="B551" s="171">
        <v>964.93</v>
      </c>
      <c r="C551" s="171">
        <v>102.9</v>
      </c>
      <c r="I551" s="169"/>
      <c r="J551" s="170"/>
    </row>
    <row r="552" spans="1:10">
      <c r="A552" s="169" t="s">
        <v>1320</v>
      </c>
      <c r="B552" s="171">
        <v>990.19</v>
      </c>
      <c r="C552" s="171">
        <v>105.24</v>
      </c>
      <c r="I552" s="169"/>
      <c r="J552" s="170"/>
    </row>
    <row r="553" spans="1:10">
      <c r="A553" s="169" t="s">
        <v>1321</v>
      </c>
      <c r="B553" s="171">
        <v>973.74</v>
      </c>
      <c r="C553" s="171">
        <v>102.91</v>
      </c>
      <c r="I553" s="169"/>
      <c r="J553" s="170"/>
    </row>
    <row r="554" spans="1:10">
      <c r="A554" s="169" t="s">
        <v>1322</v>
      </c>
      <c r="B554" s="171">
        <v>984.64</v>
      </c>
      <c r="C554" s="171">
        <v>103.44</v>
      </c>
      <c r="I554" s="169"/>
      <c r="J554" s="170"/>
    </row>
    <row r="555" spans="1:10">
      <c r="A555" s="169" t="s">
        <v>1323</v>
      </c>
      <c r="B555" s="170">
        <v>1002.78</v>
      </c>
      <c r="C555" s="171">
        <v>104.28</v>
      </c>
      <c r="I555" s="169"/>
      <c r="J555" s="170"/>
    </row>
    <row r="556" spans="1:10">
      <c r="A556" s="169" t="s">
        <v>1324</v>
      </c>
      <c r="B556" s="171">
        <v>975.23</v>
      </c>
      <c r="C556" s="171">
        <v>100.18</v>
      </c>
      <c r="I556" s="169"/>
      <c r="J556" s="170"/>
    </row>
    <row r="557" spans="1:10">
      <c r="A557" s="169" t="s">
        <v>1325</v>
      </c>
      <c r="B557" s="171">
        <v>996.85</v>
      </c>
      <c r="C557" s="171">
        <v>101.64</v>
      </c>
      <c r="I557" s="169"/>
      <c r="J557" s="170"/>
    </row>
    <row r="558" spans="1:10">
      <c r="A558" s="169" t="s">
        <v>1326</v>
      </c>
      <c r="B558" s="171">
        <v>999.45</v>
      </c>
      <c r="C558" s="171">
        <v>102.77</v>
      </c>
      <c r="I558" s="169"/>
      <c r="J558" s="170"/>
    </row>
    <row r="559" spans="1:10">
      <c r="A559" s="169" t="s">
        <v>1327</v>
      </c>
      <c r="B559" s="171">
        <v>972.61</v>
      </c>
      <c r="C559" s="171">
        <v>99.71</v>
      </c>
      <c r="I559" s="169"/>
      <c r="J559" s="170"/>
    </row>
    <row r="560" spans="1:10">
      <c r="A560" s="169" t="s">
        <v>1328</v>
      </c>
      <c r="B560" s="171">
        <v>975.28</v>
      </c>
      <c r="C560" s="171">
        <v>100.86</v>
      </c>
      <c r="I560" s="169"/>
      <c r="J560" s="170"/>
    </row>
    <row r="561" spans="1:10">
      <c r="A561" s="169" t="s">
        <v>1329</v>
      </c>
      <c r="B561" s="171">
        <v>852.41</v>
      </c>
      <c r="C561" s="171">
        <v>90.19</v>
      </c>
      <c r="I561" s="169"/>
      <c r="J561" s="170"/>
    </row>
    <row r="562" spans="1:10">
      <c r="A562" s="169" t="s">
        <v>1330</v>
      </c>
      <c r="B562" s="171">
        <v>860.67</v>
      </c>
      <c r="C562" s="171">
        <v>91.24</v>
      </c>
      <c r="I562" s="169"/>
      <c r="J562" s="170"/>
    </row>
    <row r="563" spans="1:10">
      <c r="A563" s="169" t="s">
        <v>1331</v>
      </c>
      <c r="B563" s="171">
        <v>836.04</v>
      </c>
      <c r="C563" s="171">
        <v>89.04</v>
      </c>
      <c r="I563" s="169"/>
      <c r="J563" s="170"/>
    </row>
    <row r="564" spans="1:10">
      <c r="A564" s="169" t="s">
        <v>1332</v>
      </c>
      <c r="B564" s="171">
        <v>793.88</v>
      </c>
      <c r="C564" s="171">
        <v>83.87</v>
      </c>
      <c r="I564" s="169"/>
      <c r="J564" s="170"/>
    </row>
    <row r="565" spans="1:10">
      <c r="A565" s="169" t="s">
        <v>1333</v>
      </c>
      <c r="B565" s="171">
        <v>835.34</v>
      </c>
      <c r="C565" s="171">
        <v>86.88</v>
      </c>
      <c r="I565" s="169"/>
      <c r="J565" s="170"/>
    </row>
    <row r="566" spans="1:10">
      <c r="A566" s="169" t="s">
        <v>1334</v>
      </c>
      <c r="B566" s="171">
        <v>831.51</v>
      </c>
      <c r="C566" s="171">
        <v>88.75</v>
      </c>
      <c r="I566" s="169"/>
      <c r="J566" s="170"/>
    </row>
    <row r="567" spans="1:10">
      <c r="A567" s="169" t="s">
        <v>1335</v>
      </c>
      <c r="B567" s="171">
        <v>878.99</v>
      </c>
      <c r="C567" s="171">
        <v>95.19</v>
      </c>
      <c r="I567" s="169"/>
      <c r="J567" s="170"/>
    </row>
    <row r="568" spans="1:10">
      <c r="A568" s="169" t="s">
        <v>1336</v>
      </c>
      <c r="B568" s="171">
        <v>832.29</v>
      </c>
      <c r="C568" s="171">
        <v>91.15</v>
      </c>
      <c r="I568" s="169"/>
      <c r="J568" s="170"/>
    </row>
    <row r="569" spans="1:10">
      <c r="A569" s="169" t="s">
        <v>1337</v>
      </c>
      <c r="B569" s="171">
        <v>821.34</v>
      </c>
      <c r="C569" s="171">
        <v>87.3</v>
      </c>
      <c r="I569" s="169"/>
      <c r="J569" s="170"/>
    </row>
    <row r="570" spans="1:10">
      <c r="A570" s="169" t="s">
        <v>1338</v>
      </c>
      <c r="B570" s="171">
        <v>768.15</v>
      </c>
      <c r="C570" s="171">
        <v>83.36</v>
      </c>
      <c r="I570" s="169"/>
      <c r="J570" s="170"/>
    </row>
    <row r="571" spans="1:10">
      <c r="A571" s="169" t="s">
        <v>1339</v>
      </c>
      <c r="B571" s="171">
        <v>739.05</v>
      </c>
      <c r="C571" s="171">
        <v>81.59</v>
      </c>
      <c r="I571" s="169"/>
      <c r="J571" s="170"/>
    </row>
    <row r="572" spans="1:10">
      <c r="A572" s="169" t="s">
        <v>1340</v>
      </c>
      <c r="B572" s="171">
        <v>703.69</v>
      </c>
      <c r="C572" s="171">
        <v>76.98</v>
      </c>
      <c r="I572" s="169"/>
      <c r="J572" s="170"/>
    </row>
    <row r="573" spans="1:10">
      <c r="A573" s="169" t="s">
        <v>1341</v>
      </c>
      <c r="B573" s="171">
        <v>616.24</v>
      </c>
      <c r="C573" s="171">
        <v>68.56</v>
      </c>
      <c r="I573" s="169"/>
      <c r="J573" s="170"/>
    </row>
    <row r="574" spans="1:10">
      <c r="A574" s="169" t="s">
        <v>1342</v>
      </c>
      <c r="B574" s="171">
        <v>618.66</v>
      </c>
      <c r="C574" s="171">
        <v>69.97</v>
      </c>
      <c r="I574" s="169"/>
      <c r="J574" s="170"/>
    </row>
    <row r="575" spans="1:10">
      <c r="A575" s="169" t="s">
        <v>1343</v>
      </c>
      <c r="B575" s="171">
        <v>665.52</v>
      </c>
      <c r="C575" s="171">
        <v>73.900000000000006</v>
      </c>
      <c r="I575" s="169"/>
      <c r="J575" s="170"/>
    </row>
    <row r="576" spans="1:10">
      <c r="A576" s="169" t="s">
        <v>1344</v>
      </c>
      <c r="B576" s="171">
        <v>607.87</v>
      </c>
      <c r="C576" s="171">
        <v>63.54</v>
      </c>
      <c r="I576" s="169"/>
      <c r="J576" s="170"/>
    </row>
    <row r="577" spans="1:10">
      <c r="A577" s="169" t="s">
        <v>1345</v>
      </c>
      <c r="B577" s="171">
        <v>678.58</v>
      </c>
      <c r="C577" s="171">
        <v>72.150000000000006</v>
      </c>
      <c r="I577" s="169"/>
      <c r="J577" s="170"/>
    </row>
    <row r="578" spans="1:10">
      <c r="A578" s="169" t="s">
        <v>1346</v>
      </c>
      <c r="B578" s="171">
        <v>757.43</v>
      </c>
      <c r="C578" s="171">
        <v>79.31</v>
      </c>
      <c r="I578" s="169"/>
      <c r="J578" s="170"/>
    </row>
    <row r="579" spans="1:10">
      <c r="A579" s="169" t="s">
        <v>1347</v>
      </c>
      <c r="B579" s="171">
        <v>802.41</v>
      </c>
      <c r="C579" s="171">
        <v>86</v>
      </c>
      <c r="I579" s="169"/>
      <c r="J579" s="170"/>
    </row>
    <row r="580" spans="1:10">
      <c r="A580" s="169" t="s">
        <v>1348</v>
      </c>
      <c r="B580" s="171">
        <v>802.17</v>
      </c>
      <c r="C580" s="171">
        <v>87.28</v>
      </c>
      <c r="I580" s="169"/>
      <c r="J580" s="170"/>
    </row>
    <row r="581" spans="1:10">
      <c r="A581" s="169" t="s">
        <v>1349</v>
      </c>
      <c r="B581" s="171">
        <v>836.75</v>
      </c>
      <c r="C581" s="171">
        <v>90.31</v>
      </c>
      <c r="I581" s="169"/>
      <c r="J581" s="170"/>
    </row>
    <row r="582" spans="1:10">
      <c r="A582" s="169" t="s">
        <v>1350</v>
      </c>
      <c r="B582" s="171">
        <v>846.68</v>
      </c>
      <c r="C582" s="171">
        <v>93.98</v>
      </c>
      <c r="I582" s="169"/>
      <c r="J582" s="170"/>
    </row>
    <row r="583" spans="1:10">
      <c r="A583" s="169" t="s">
        <v>1351</v>
      </c>
      <c r="B583" s="171">
        <v>860.53</v>
      </c>
      <c r="C583" s="171">
        <v>96.22</v>
      </c>
      <c r="I583" s="169"/>
      <c r="J583" s="170"/>
    </row>
    <row r="584" spans="1:10">
      <c r="A584" s="169" t="s">
        <v>1352</v>
      </c>
      <c r="B584" s="171">
        <v>855.55</v>
      </c>
      <c r="C584" s="171">
        <v>96.57</v>
      </c>
      <c r="I584" s="169"/>
      <c r="J584" s="170"/>
    </row>
    <row r="585" spans="1:10">
      <c r="A585" s="169" t="s">
        <v>1353</v>
      </c>
      <c r="B585" s="171">
        <v>850.86</v>
      </c>
      <c r="C585" s="171">
        <v>97.55</v>
      </c>
      <c r="I585" s="169"/>
      <c r="J585" s="170"/>
    </row>
    <row r="586" spans="1:10">
      <c r="A586" s="169" t="s">
        <v>1354</v>
      </c>
      <c r="B586" s="171">
        <v>822.25</v>
      </c>
      <c r="C586" s="171">
        <v>95.96</v>
      </c>
      <c r="I586" s="169"/>
      <c r="J586" s="170"/>
    </row>
    <row r="587" spans="1:10">
      <c r="A587" s="169" t="s">
        <v>1355</v>
      </c>
      <c r="B587" s="171">
        <v>956.58</v>
      </c>
      <c r="C587" s="171">
        <v>108.29</v>
      </c>
      <c r="I587" s="169"/>
      <c r="J587" s="170"/>
    </row>
    <row r="588" spans="1:10">
      <c r="A588" s="169" t="s">
        <v>1356</v>
      </c>
      <c r="B588" s="171">
        <v>947.1</v>
      </c>
      <c r="C588" s="171">
        <v>108.43</v>
      </c>
      <c r="I588" s="169"/>
      <c r="J588" s="170"/>
    </row>
    <row r="589" spans="1:10">
      <c r="A589" s="169" t="s">
        <v>1357</v>
      </c>
      <c r="B589" s="171">
        <v>887.57</v>
      </c>
      <c r="C589" s="171">
        <v>104.25</v>
      </c>
      <c r="I589" s="169"/>
      <c r="J589" s="170"/>
    </row>
    <row r="590" spans="1:10">
      <c r="A590" s="169" t="s">
        <v>1358</v>
      </c>
      <c r="B590" s="171">
        <v>926.4</v>
      </c>
      <c r="C590" s="171">
        <v>108.22</v>
      </c>
      <c r="I590" s="169"/>
      <c r="J590" s="170"/>
    </row>
    <row r="591" spans="1:10">
      <c r="A591" s="169" t="s">
        <v>1359</v>
      </c>
      <c r="B591" s="171">
        <v>891.71</v>
      </c>
      <c r="C591" s="171">
        <v>104.26</v>
      </c>
      <c r="I591" s="169"/>
      <c r="J591" s="170"/>
    </row>
    <row r="592" spans="1:10">
      <c r="A592" s="169" t="s">
        <v>1360</v>
      </c>
      <c r="B592" s="171">
        <v>901.41</v>
      </c>
      <c r="C592" s="171">
        <v>104.95</v>
      </c>
      <c r="I592" s="169"/>
      <c r="J592" s="170"/>
    </row>
    <row r="593" spans="1:10">
      <c r="A593" s="169" t="s">
        <v>1361</v>
      </c>
      <c r="B593" s="171">
        <v>921.43</v>
      </c>
      <c r="C593" s="171">
        <v>106.97</v>
      </c>
      <c r="I593" s="169"/>
      <c r="J593" s="170"/>
    </row>
    <row r="594" spans="1:10">
      <c r="A594" s="169" t="s">
        <v>1362</v>
      </c>
      <c r="B594" s="171">
        <v>951.01</v>
      </c>
      <c r="C594" s="171">
        <v>111.52</v>
      </c>
      <c r="I594" s="169"/>
      <c r="J594" s="170"/>
    </row>
    <row r="595" spans="1:10">
      <c r="A595" s="169" t="s">
        <v>1363</v>
      </c>
      <c r="B595" s="171">
        <v>955.07</v>
      </c>
      <c r="C595" s="171">
        <v>111.68</v>
      </c>
      <c r="I595" s="169"/>
      <c r="J595" s="170"/>
    </row>
    <row r="596" spans="1:10">
      <c r="A596" s="169" t="s">
        <v>1364</v>
      </c>
      <c r="B596" s="171">
        <v>999.02</v>
      </c>
      <c r="C596" s="171">
        <v>116.03</v>
      </c>
      <c r="I596" s="169"/>
      <c r="J596" s="170"/>
    </row>
    <row r="597" spans="1:10">
      <c r="A597" s="169" t="s">
        <v>1365</v>
      </c>
      <c r="B597" s="170">
        <v>1020.02</v>
      </c>
      <c r="C597" s="171">
        <v>118.05</v>
      </c>
      <c r="I597" s="169"/>
      <c r="J597" s="170"/>
    </row>
    <row r="598" spans="1:10">
      <c r="A598" s="169" t="s">
        <v>1366</v>
      </c>
      <c r="B598" s="170">
        <v>1018.21</v>
      </c>
      <c r="C598" s="171">
        <v>116.67</v>
      </c>
      <c r="I598" s="169"/>
      <c r="J598" s="170"/>
    </row>
    <row r="599" spans="1:10">
      <c r="A599" s="169" t="s">
        <v>1367</v>
      </c>
      <c r="B599" s="171">
        <v>955.52</v>
      </c>
      <c r="C599" s="171">
        <v>111.58</v>
      </c>
      <c r="I599" s="169"/>
      <c r="J599" s="170"/>
    </row>
    <row r="600" spans="1:10">
      <c r="A600" s="169" t="s">
        <v>1368</v>
      </c>
      <c r="B600" s="171">
        <v>953.27</v>
      </c>
      <c r="C600" s="171">
        <v>110.55</v>
      </c>
      <c r="I600" s="169"/>
      <c r="J600" s="170"/>
    </row>
    <row r="601" spans="1:10">
      <c r="A601" s="169" t="s">
        <v>1369</v>
      </c>
      <c r="B601" s="171">
        <v>963.73</v>
      </c>
      <c r="C601" s="171">
        <v>111.09</v>
      </c>
      <c r="I601" s="169"/>
      <c r="J601" s="170"/>
    </row>
    <row r="602" spans="1:10">
      <c r="A602" s="169" t="s">
        <v>1370</v>
      </c>
      <c r="B602" s="171">
        <v>924.74</v>
      </c>
      <c r="C602" s="171">
        <v>107.39</v>
      </c>
      <c r="I602" s="169"/>
      <c r="J602" s="170"/>
    </row>
    <row r="603" spans="1:10">
      <c r="A603" s="169" t="s">
        <v>1371</v>
      </c>
      <c r="B603" s="171">
        <v>929.03</v>
      </c>
      <c r="C603" s="171">
        <v>107.14</v>
      </c>
      <c r="I603" s="169"/>
      <c r="J603" s="170"/>
    </row>
    <row r="604" spans="1:10">
      <c r="A604" s="169" t="s">
        <v>1372</v>
      </c>
      <c r="B604" s="171">
        <v>960.72</v>
      </c>
      <c r="C604" s="171">
        <v>109.53</v>
      </c>
      <c r="I604" s="169"/>
      <c r="J604" s="170"/>
    </row>
    <row r="605" spans="1:10">
      <c r="A605" s="169" t="s">
        <v>1373</v>
      </c>
      <c r="B605" s="171">
        <v>954.17</v>
      </c>
      <c r="C605" s="171">
        <v>107.67</v>
      </c>
      <c r="I605" s="169"/>
      <c r="J605" s="170"/>
    </row>
    <row r="606" spans="1:10">
      <c r="A606" s="169" t="s">
        <v>1374</v>
      </c>
      <c r="B606" s="171">
        <v>940.7</v>
      </c>
      <c r="C606" s="171">
        <v>107.2</v>
      </c>
      <c r="I606" s="169"/>
      <c r="J606" s="170"/>
    </row>
    <row r="607" spans="1:10">
      <c r="A607" s="169" t="s">
        <v>1375</v>
      </c>
      <c r="B607" s="171">
        <v>928.13</v>
      </c>
      <c r="C607" s="171">
        <v>106.57</v>
      </c>
      <c r="I607" s="169"/>
      <c r="J607" s="170"/>
    </row>
    <row r="608" spans="1:10">
      <c r="A608" s="169" t="s">
        <v>1376</v>
      </c>
      <c r="B608" s="171">
        <v>902.17</v>
      </c>
      <c r="C608" s="171">
        <v>103.94</v>
      </c>
      <c r="I608" s="169"/>
      <c r="J608" s="170"/>
    </row>
    <row r="609" spans="1:10">
      <c r="A609" s="169" t="s">
        <v>1377</v>
      </c>
      <c r="B609" s="171">
        <v>890.2</v>
      </c>
      <c r="C609" s="171">
        <v>102.09</v>
      </c>
      <c r="I609" s="169"/>
      <c r="J609" s="170"/>
    </row>
    <row r="610" spans="1:10">
      <c r="A610" s="169" t="s">
        <v>1378</v>
      </c>
      <c r="B610" s="171">
        <v>831.34</v>
      </c>
      <c r="C610" s="171">
        <v>93.99</v>
      </c>
      <c r="I610" s="169"/>
      <c r="J610" s="170"/>
    </row>
    <row r="611" spans="1:10">
      <c r="A611" s="169" t="s">
        <v>1379</v>
      </c>
      <c r="B611" s="171">
        <v>839</v>
      </c>
      <c r="C611" s="171">
        <v>94.23</v>
      </c>
      <c r="I611" s="169"/>
      <c r="J611" s="170"/>
    </row>
    <row r="612" spans="1:10">
      <c r="A612" s="169" t="s">
        <v>1380</v>
      </c>
      <c r="B612" s="171">
        <v>887.19</v>
      </c>
      <c r="C612" s="171">
        <v>98.34</v>
      </c>
      <c r="I612" s="169"/>
      <c r="J612" s="170"/>
    </row>
    <row r="613" spans="1:10">
      <c r="A613" s="169" t="s">
        <v>1381</v>
      </c>
      <c r="B613" s="171">
        <v>898.07</v>
      </c>
      <c r="C613" s="171">
        <v>99.03</v>
      </c>
      <c r="I613" s="169"/>
      <c r="J613" s="170"/>
    </row>
    <row r="614" spans="1:10">
      <c r="A614" s="169" t="s">
        <v>1382</v>
      </c>
      <c r="B614" s="171">
        <v>858.43</v>
      </c>
      <c r="C614" s="171">
        <v>95.58</v>
      </c>
      <c r="I614" s="169"/>
      <c r="J614" s="170"/>
    </row>
    <row r="615" spans="1:10">
      <c r="A615" s="169" t="s">
        <v>1383</v>
      </c>
      <c r="B615" s="171">
        <v>891.14</v>
      </c>
      <c r="C615" s="171">
        <v>98.7</v>
      </c>
      <c r="I615" s="169"/>
      <c r="J615" s="170"/>
    </row>
    <row r="616" spans="1:10">
      <c r="A616" s="169" t="s">
        <v>1384</v>
      </c>
      <c r="B616" s="171">
        <v>907.81</v>
      </c>
      <c r="C616" s="171">
        <v>99.63</v>
      </c>
      <c r="I616" s="169"/>
      <c r="J616" s="170"/>
    </row>
    <row r="617" spans="1:10">
      <c r="A617" s="169" t="s">
        <v>1385</v>
      </c>
      <c r="B617" s="171">
        <v>941.75</v>
      </c>
      <c r="C617" s="171">
        <v>103.95</v>
      </c>
      <c r="I617" s="169"/>
      <c r="J617" s="170"/>
    </row>
    <row r="618" spans="1:10">
      <c r="A618" s="169" t="s">
        <v>1386</v>
      </c>
      <c r="B618" s="171">
        <v>904.37</v>
      </c>
      <c r="C618" s="171">
        <v>100.31</v>
      </c>
      <c r="I618" s="169"/>
      <c r="J618" s="170"/>
    </row>
    <row r="619" spans="1:10">
      <c r="A619" s="169" t="s">
        <v>1387</v>
      </c>
      <c r="B619" s="171">
        <v>878.83</v>
      </c>
      <c r="C619" s="171">
        <v>96.75</v>
      </c>
      <c r="I619" s="169"/>
      <c r="J619" s="170"/>
    </row>
    <row r="620" spans="1:10">
      <c r="A620" s="169" t="s">
        <v>1388</v>
      </c>
      <c r="B620" s="171">
        <v>868.5</v>
      </c>
      <c r="C620" s="171">
        <v>95.88</v>
      </c>
      <c r="I620" s="169"/>
      <c r="J620" s="170"/>
    </row>
    <row r="621" spans="1:10">
      <c r="A621" s="169" t="s">
        <v>1389</v>
      </c>
      <c r="B621" s="171">
        <v>838.92</v>
      </c>
      <c r="C621" s="171">
        <v>92.15</v>
      </c>
      <c r="I621" s="169"/>
      <c r="J621" s="170"/>
    </row>
    <row r="622" spans="1:10">
      <c r="A622" s="169" t="s">
        <v>1390</v>
      </c>
      <c r="B622" s="171">
        <v>794.09</v>
      </c>
      <c r="C622" s="171">
        <v>87.2</v>
      </c>
      <c r="I622" s="169"/>
      <c r="J622" s="170"/>
    </row>
    <row r="623" spans="1:10">
      <c r="A623" s="169" t="s">
        <v>1391</v>
      </c>
      <c r="B623" s="171">
        <v>755.61</v>
      </c>
      <c r="C623" s="171">
        <v>83.25</v>
      </c>
      <c r="I623" s="169"/>
      <c r="J623" s="170"/>
    </row>
    <row r="624" spans="1:10">
      <c r="A624" s="169" t="s">
        <v>1392</v>
      </c>
      <c r="B624" s="171">
        <v>760.68</v>
      </c>
      <c r="C624" s="171">
        <v>84.3</v>
      </c>
      <c r="I624" s="169"/>
      <c r="J624" s="170"/>
    </row>
    <row r="625" spans="1:10">
      <c r="A625" s="169" t="s">
        <v>1393</v>
      </c>
      <c r="B625" s="171">
        <v>764.58</v>
      </c>
      <c r="C625" s="171">
        <v>81.52</v>
      </c>
      <c r="I625" s="169"/>
      <c r="J625" s="170"/>
    </row>
    <row r="626" spans="1:10">
      <c r="A626" s="169" t="s">
        <v>1394</v>
      </c>
      <c r="B626" s="171">
        <v>734.12</v>
      </c>
      <c r="C626" s="171">
        <v>78.05</v>
      </c>
      <c r="I626" s="169"/>
      <c r="J626" s="170"/>
    </row>
    <row r="627" spans="1:10">
      <c r="A627" s="169" t="s">
        <v>1395</v>
      </c>
      <c r="B627" s="171">
        <v>683.53</v>
      </c>
      <c r="C627" s="171">
        <v>72.72</v>
      </c>
      <c r="I627" s="169"/>
      <c r="J627" s="170"/>
    </row>
    <row r="628" spans="1:10">
      <c r="A628" s="169" t="s">
        <v>1396</v>
      </c>
      <c r="B628" s="171">
        <v>700.44</v>
      </c>
      <c r="C628" s="171">
        <v>76.55</v>
      </c>
      <c r="I628" s="169"/>
      <c r="J628" s="170"/>
    </row>
    <row r="629" spans="1:10">
      <c r="A629" s="169" t="s">
        <v>1397</v>
      </c>
      <c r="B629" s="171">
        <v>736.07</v>
      </c>
      <c r="C629" s="171">
        <v>81.52</v>
      </c>
      <c r="I629" s="169"/>
      <c r="J629" s="170"/>
    </row>
    <row r="630" spans="1:10">
      <c r="A630" s="169" t="s">
        <v>1398</v>
      </c>
      <c r="B630" s="171">
        <v>785.57</v>
      </c>
      <c r="C630" s="171">
        <v>89.63</v>
      </c>
      <c r="I630" s="169"/>
      <c r="J630" s="170"/>
    </row>
    <row r="631" spans="1:10">
      <c r="A631" s="169" t="s">
        <v>1399</v>
      </c>
      <c r="B631" s="171">
        <v>777.59</v>
      </c>
      <c r="C631" s="171">
        <v>89.5</v>
      </c>
      <c r="I631" s="169"/>
      <c r="J631" s="170"/>
    </row>
    <row r="632" spans="1:10">
      <c r="A632"/>
      <c r="B632"/>
      <c r="I632" s="169"/>
      <c r="J632" s="170"/>
    </row>
    <row r="633" spans="1:10">
      <c r="A633"/>
      <c r="B633"/>
      <c r="I633" s="169"/>
      <c r="J633" s="170"/>
    </row>
    <row r="634" spans="1:10">
      <c r="A634"/>
      <c r="B634"/>
      <c r="I634" s="169"/>
      <c r="J634" s="170"/>
    </row>
    <row r="635" spans="1:10">
      <c r="A635"/>
      <c r="B635"/>
      <c r="I635" s="169"/>
      <c r="J635" s="170"/>
    </row>
    <row r="636" spans="1:10">
      <c r="A636"/>
      <c r="B636"/>
      <c r="I636" s="169"/>
      <c r="J636" s="170"/>
    </row>
    <row r="637" spans="1:10">
      <c r="A637"/>
      <c r="B637"/>
      <c r="I637" s="169"/>
      <c r="J637" s="170"/>
    </row>
    <row r="638" spans="1:10">
      <c r="A638"/>
      <c r="B638"/>
      <c r="I638" s="169"/>
      <c r="J638" s="170"/>
    </row>
    <row r="639" spans="1:10">
      <c r="A639"/>
      <c r="B639"/>
      <c r="I639" s="169"/>
      <c r="J639" s="170"/>
    </row>
    <row r="640" spans="1:10">
      <c r="A640"/>
      <c r="B640"/>
      <c r="I640" s="169"/>
      <c r="J640" s="170"/>
    </row>
    <row r="641" spans="1:10">
      <c r="A641"/>
      <c r="B641"/>
      <c r="I641" s="169"/>
      <c r="J641" s="170"/>
    </row>
    <row r="642" spans="1:10">
      <c r="A642"/>
      <c r="B642"/>
      <c r="I642" s="169"/>
      <c r="J642" s="170"/>
    </row>
    <row r="643" spans="1:10">
      <c r="A643"/>
      <c r="B643"/>
      <c r="I643" s="169"/>
      <c r="J643" s="170"/>
    </row>
    <row r="644" spans="1:10">
      <c r="A644"/>
      <c r="B644"/>
      <c r="I644" s="169"/>
      <c r="J644" s="170"/>
    </row>
    <row r="645" spans="1:10">
      <c r="A645"/>
      <c r="B645"/>
      <c r="I645" s="169"/>
      <c r="J645" s="170"/>
    </row>
    <row r="646" spans="1:10">
      <c r="A646"/>
      <c r="B646"/>
      <c r="I646" s="169"/>
      <c r="J646" s="170"/>
    </row>
    <row r="647" spans="1:10">
      <c r="A647"/>
      <c r="B647"/>
      <c r="I647" s="169"/>
      <c r="J647" s="170"/>
    </row>
    <row r="648" spans="1:10">
      <c r="A648"/>
      <c r="B648"/>
      <c r="I648" s="169"/>
      <c r="J648" s="170"/>
    </row>
    <row r="649" spans="1:10">
      <c r="A649"/>
      <c r="B649"/>
      <c r="I649" s="169"/>
      <c r="J649" s="170"/>
    </row>
    <row r="650" spans="1:10">
      <c r="A650"/>
      <c r="B650"/>
      <c r="I650" s="169"/>
      <c r="J650" s="170"/>
    </row>
    <row r="651" spans="1:10">
      <c r="A651"/>
      <c r="B651"/>
      <c r="I651" s="169"/>
      <c r="J651" s="170"/>
    </row>
    <row r="652" spans="1:10">
      <c r="A652"/>
      <c r="B652"/>
      <c r="I652" s="169"/>
      <c r="J652" s="170"/>
    </row>
    <row r="653" spans="1:10">
      <c r="A653"/>
      <c r="B653"/>
      <c r="I653" s="169"/>
      <c r="J653" s="170"/>
    </row>
    <row r="654" spans="1:10">
      <c r="A654"/>
      <c r="B654"/>
      <c r="I654" s="169"/>
      <c r="J654" s="170"/>
    </row>
    <row r="655" spans="1:10">
      <c r="A655"/>
      <c r="B655"/>
      <c r="I655" s="169"/>
      <c r="J655" s="170"/>
    </row>
    <row r="656" spans="1:10">
      <c r="A656"/>
      <c r="B656"/>
      <c r="I656" s="169"/>
      <c r="J656" s="170"/>
    </row>
    <row r="657" spans="1:10">
      <c r="A657"/>
      <c r="B657"/>
      <c r="I657" s="169"/>
      <c r="J657" s="170"/>
    </row>
    <row r="658" spans="1:10">
      <c r="A658"/>
      <c r="B658"/>
      <c r="I658" s="169"/>
      <c r="J658" s="170"/>
    </row>
    <row r="659" spans="1:10">
      <c r="A659"/>
      <c r="B659"/>
      <c r="I659" s="169"/>
      <c r="J659" s="170"/>
    </row>
    <row r="660" spans="1:10">
      <c r="A660"/>
      <c r="B660"/>
      <c r="I660" s="169"/>
      <c r="J660" s="170"/>
    </row>
    <row r="661" spans="1:10">
      <c r="A661"/>
      <c r="B661"/>
      <c r="I661" s="169"/>
      <c r="J661" s="170"/>
    </row>
    <row r="662" spans="1:10">
      <c r="A662"/>
      <c r="B662"/>
      <c r="I662" s="169"/>
      <c r="J662" s="170"/>
    </row>
    <row r="663" spans="1:10">
      <c r="A663"/>
      <c r="B663"/>
      <c r="I663" s="169"/>
      <c r="J663" s="170"/>
    </row>
    <row r="664" spans="1:10">
      <c r="A664"/>
      <c r="B664"/>
      <c r="I664" s="169"/>
      <c r="J664" s="170"/>
    </row>
    <row r="665" spans="1:10">
      <c r="A665"/>
      <c r="B665"/>
      <c r="I665" s="169"/>
      <c r="J665" s="170"/>
    </row>
    <row r="666" spans="1:10">
      <c r="A666"/>
      <c r="B666"/>
      <c r="I666" s="169"/>
      <c r="J666" s="170"/>
    </row>
    <row r="667" spans="1:10">
      <c r="A667"/>
      <c r="B667"/>
      <c r="I667" s="169"/>
      <c r="J667" s="170"/>
    </row>
    <row r="668" spans="1:10">
      <c r="A668"/>
      <c r="B668"/>
      <c r="I668" s="169"/>
      <c r="J668" s="170"/>
    </row>
    <row r="669" spans="1:10">
      <c r="A669"/>
      <c r="B669"/>
      <c r="I669" s="169"/>
      <c r="J669" s="170"/>
    </row>
    <row r="670" spans="1:10">
      <c r="A670"/>
      <c r="B670"/>
      <c r="I670" s="169"/>
      <c r="J670" s="170"/>
    </row>
    <row r="671" spans="1:10">
      <c r="A671"/>
      <c r="B671"/>
      <c r="I671" s="169"/>
      <c r="J671" s="170"/>
    </row>
    <row r="672" spans="1:10">
      <c r="A672"/>
      <c r="B672"/>
      <c r="I672" s="169"/>
      <c r="J672" s="170"/>
    </row>
    <row r="673" spans="1:10">
      <c r="A673"/>
      <c r="B673"/>
      <c r="I673" s="169"/>
      <c r="J673" s="170"/>
    </row>
    <row r="674" spans="1:10">
      <c r="A674"/>
      <c r="B674"/>
      <c r="I674" s="169"/>
      <c r="J674" s="170"/>
    </row>
    <row r="675" spans="1:10">
      <c r="A675"/>
      <c r="B675"/>
      <c r="I675" s="169"/>
      <c r="J675" s="170"/>
    </row>
    <row r="676" spans="1:10">
      <c r="A676"/>
      <c r="B676"/>
      <c r="I676" s="169"/>
      <c r="J676" s="170"/>
    </row>
    <row r="677" spans="1:10">
      <c r="A677"/>
      <c r="B677"/>
      <c r="I677" s="169"/>
      <c r="J677" s="170"/>
    </row>
    <row r="678" spans="1:10">
      <c r="A678"/>
      <c r="B678"/>
      <c r="I678" s="169"/>
      <c r="J678" s="170"/>
    </row>
    <row r="679" spans="1:10">
      <c r="A679"/>
      <c r="B679"/>
      <c r="I679" s="169"/>
      <c r="J679" s="170"/>
    </row>
    <row r="680" spans="1:10">
      <c r="A680"/>
      <c r="B680"/>
      <c r="I680" s="169"/>
      <c r="J680" s="170"/>
    </row>
    <row r="681" spans="1:10">
      <c r="A681"/>
      <c r="B681"/>
      <c r="I681" s="169"/>
      <c r="J681" s="170"/>
    </row>
    <row r="682" spans="1:10">
      <c r="A682"/>
      <c r="B682"/>
      <c r="I682" s="169"/>
      <c r="J682" s="170"/>
    </row>
    <row r="683" spans="1:10">
      <c r="A683"/>
      <c r="B683"/>
      <c r="I683" s="169"/>
      <c r="J683" s="170"/>
    </row>
    <row r="684" spans="1:10">
      <c r="A684"/>
      <c r="B684"/>
      <c r="I684" s="169"/>
      <c r="J684" s="170"/>
    </row>
    <row r="685" spans="1:10">
      <c r="A685"/>
      <c r="B685"/>
      <c r="I685" s="169"/>
      <c r="J685" s="170"/>
    </row>
    <row r="686" spans="1:10">
      <c r="A686"/>
      <c r="B686"/>
      <c r="I686" s="169"/>
      <c r="J686" s="170"/>
    </row>
    <row r="687" spans="1:10">
      <c r="A687"/>
      <c r="B687"/>
      <c r="I687" s="169"/>
      <c r="J687" s="170"/>
    </row>
    <row r="688" spans="1:10">
      <c r="A688"/>
      <c r="B688"/>
      <c r="I688" s="169"/>
      <c r="J688" s="170"/>
    </row>
    <row r="689" spans="1:10">
      <c r="A689"/>
      <c r="B689"/>
      <c r="I689" s="169"/>
      <c r="J689" s="170"/>
    </row>
    <row r="690" spans="1:10">
      <c r="A690"/>
      <c r="B690"/>
      <c r="I690" s="169"/>
      <c r="J690" s="170"/>
    </row>
    <row r="691" spans="1:10">
      <c r="A691"/>
      <c r="B691"/>
      <c r="I691" s="169"/>
      <c r="J691" s="170"/>
    </row>
    <row r="692" spans="1:10">
      <c r="A692"/>
      <c r="B692"/>
      <c r="I692" s="169"/>
      <c r="J692" s="170"/>
    </row>
    <row r="693" spans="1:10">
      <c r="A693"/>
      <c r="B693"/>
      <c r="I693" s="169"/>
      <c r="J693" s="170"/>
    </row>
    <row r="694" spans="1:10">
      <c r="A694"/>
      <c r="B694"/>
      <c r="I694" s="169"/>
      <c r="J694" s="170"/>
    </row>
    <row r="695" spans="1:10">
      <c r="A695"/>
      <c r="B695"/>
      <c r="I695" s="169"/>
      <c r="J695" s="170"/>
    </row>
    <row r="696" spans="1:10">
      <c r="A696"/>
      <c r="B696"/>
      <c r="I696" s="169"/>
      <c r="J696" s="170"/>
    </row>
    <row r="697" spans="1:10">
      <c r="A697"/>
      <c r="B697"/>
      <c r="I697" s="169"/>
      <c r="J697" s="170"/>
    </row>
    <row r="698" spans="1:10">
      <c r="A698"/>
      <c r="B698"/>
      <c r="I698" s="169"/>
      <c r="J698" s="170"/>
    </row>
    <row r="699" spans="1:10">
      <c r="A699"/>
      <c r="B699"/>
      <c r="I699" s="169"/>
      <c r="J699" s="170"/>
    </row>
    <row r="700" spans="1:10">
      <c r="A700"/>
      <c r="B700"/>
      <c r="I700" s="169"/>
      <c r="J700" s="170"/>
    </row>
    <row r="701" spans="1:10">
      <c r="A701"/>
      <c r="B701"/>
      <c r="I701" s="169"/>
      <c r="J701" s="170"/>
    </row>
    <row r="702" spans="1:10">
      <c r="A702"/>
      <c r="B702"/>
      <c r="I702" s="169"/>
      <c r="J702" s="170"/>
    </row>
    <row r="703" spans="1:10">
      <c r="A703"/>
      <c r="B703"/>
      <c r="I703" s="169"/>
      <c r="J703" s="170"/>
    </row>
    <row r="704" spans="1:10">
      <c r="A704"/>
      <c r="B704"/>
      <c r="I704" s="169"/>
      <c r="J704" s="170"/>
    </row>
    <row r="705" spans="1:10">
      <c r="A705"/>
      <c r="B705"/>
      <c r="I705" s="169"/>
      <c r="J705" s="170"/>
    </row>
    <row r="706" spans="1:10">
      <c r="A706"/>
      <c r="B706"/>
      <c r="I706" s="169"/>
      <c r="J706" s="170"/>
    </row>
    <row r="707" spans="1:10">
      <c r="A707"/>
      <c r="B707"/>
      <c r="I707" s="169"/>
      <c r="J707" s="170"/>
    </row>
    <row r="708" spans="1:10">
      <c r="A708"/>
      <c r="B708"/>
      <c r="I708" s="169"/>
      <c r="J708" s="170"/>
    </row>
    <row r="709" spans="1:10">
      <c r="A709"/>
      <c r="B709"/>
      <c r="I709" s="169"/>
      <c r="J709" s="170"/>
    </row>
    <row r="710" spans="1:10">
      <c r="A710"/>
      <c r="B710"/>
      <c r="I710" s="169"/>
      <c r="J710" s="170"/>
    </row>
    <row r="711" spans="1:10">
      <c r="A711"/>
      <c r="B711"/>
      <c r="I711" s="169"/>
      <c r="J711" s="170"/>
    </row>
    <row r="712" spans="1:10">
      <c r="A712"/>
      <c r="B712"/>
      <c r="I712" s="169"/>
      <c r="J712" s="170"/>
    </row>
    <row r="713" spans="1:10">
      <c r="A713"/>
      <c r="B713"/>
      <c r="I713" s="169"/>
      <c r="J713" s="170"/>
    </row>
    <row r="714" spans="1:10">
      <c r="A714"/>
      <c r="B714"/>
      <c r="I714" s="169"/>
      <c r="J714" s="170"/>
    </row>
    <row r="715" spans="1:10">
      <c r="I715" s="169"/>
      <c r="J715" s="170"/>
    </row>
    <row r="716" spans="1:10">
      <c r="I716" s="169"/>
      <c r="J716" s="170"/>
    </row>
    <row r="717" spans="1:10">
      <c r="I717" s="169"/>
      <c r="J717" s="170"/>
    </row>
    <row r="718" spans="1:10">
      <c r="I718" s="169"/>
      <c r="J718" s="170"/>
    </row>
    <row r="719" spans="1:10">
      <c r="I719" s="169"/>
      <c r="J719" s="170"/>
    </row>
    <row r="720" spans="1:10">
      <c r="I720" s="169"/>
      <c r="J720" s="170"/>
    </row>
    <row r="721" spans="9:10">
      <c r="I721" s="169"/>
      <c r="J721" s="170"/>
    </row>
    <row r="722" spans="9:10">
      <c r="I722" s="169"/>
      <c r="J722" s="170"/>
    </row>
    <row r="723" spans="9:10">
      <c r="I723" s="169"/>
      <c r="J723" s="170"/>
    </row>
    <row r="724" spans="9:10">
      <c r="I724" s="169"/>
      <c r="J724" s="170"/>
    </row>
    <row r="725" spans="9:10">
      <c r="I725" s="169"/>
      <c r="J725" s="170"/>
    </row>
    <row r="726" spans="9:10">
      <c r="I726" s="169"/>
      <c r="J726" s="170"/>
    </row>
    <row r="727" spans="9:10">
      <c r="I727" s="169"/>
      <c r="J727" s="170"/>
    </row>
    <row r="728" spans="9:10">
      <c r="I728" s="169"/>
      <c r="J728" s="170"/>
    </row>
    <row r="729" spans="9:10">
      <c r="I729" s="169"/>
      <c r="J729" s="170"/>
    </row>
    <row r="730" spans="9:10">
      <c r="I730" s="169"/>
      <c r="J730" s="170"/>
    </row>
    <row r="731" spans="9:10">
      <c r="I731" s="169"/>
      <c r="J731" s="170"/>
    </row>
    <row r="732" spans="9:10">
      <c r="I732" s="169"/>
      <c r="J732" s="170"/>
    </row>
    <row r="733" spans="9:10">
      <c r="I733" s="169"/>
      <c r="J733" s="170"/>
    </row>
    <row r="734" spans="9:10">
      <c r="I734" s="169"/>
      <c r="J734" s="170"/>
    </row>
    <row r="735" spans="9:10">
      <c r="I735" s="169"/>
      <c r="J735" s="170"/>
    </row>
    <row r="736" spans="9:10">
      <c r="I736" s="169"/>
      <c r="J736" s="170"/>
    </row>
    <row r="737" spans="9:10">
      <c r="I737" s="169"/>
      <c r="J737" s="170"/>
    </row>
    <row r="738" spans="9:10">
      <c r="I738" s="169"/>
      <c r="J738" s="170"/>
    </row>
    <row r="739" spans="9:10">
      <c r="I739" s="169"/>
      <c r="J739" s="170"/>
    </row>
    <row r="740" spans="9:10">
      <c r="I740" s="169"/>
      <c r="J740" s="170"/>
    </row>
    <row r="741" spans="9:10">
      <c r="I741" s="169"/>
      <c r="J741" s="170"/>
    </row>
    <row r="742" spans="9:10">
      <c r="I742" s="169"/>
      <c r="J742" s="170"/>
    </row>
    <row r="743" spans="9:10">
      <c r="I743" s="169"/>
      <c r="J743" s="170"/>
    </row>
    <row r="744" spans="9:10">
      <c r="I744" s="169"/>
      <c r="J744" s="170"/>
    </row>
    <row r="745" spans="9:10">
      <c r="I745" s="169"/>
      <c r="J745" s="170"/>
    </row>
    <row r="746" spans="9:10">
      <c r="I746" s="169"/>
      <c r="J746" s="170"/>
    </row>
    <row r="747" spans="9:10">
      <c r="I747" s="169"/>
      <c r="J747" s="170"/>
    </row>
    <row r="748" spans="9:10">
      <c r="I748" s="169"/>
      <c r="J748" s="170"/>
    </row>
    <row r="749" spans="9:10">
      <c r="I749" s="169"/>
      <c r="J749" s="170"/>
    </row>
    <row r="750" spans="9:10">
      <c r="I750" s="169"/>
      <c r="J750" s="170"/>
    </row>
    <row r="751" spans="9:10">
      <c r="I751" s="169"/>
      <c r="J751" s="170"/>
    </row>
    <row r="752" spans="9:10">
      <c r="I752" s="169"/>
      <c r="J752" s="170"/>
    </row>
    <row r="753" spans="9:10">
      <c r="I753" s="169"/>
      <c r="J753" s="170"/>
    </row>
    <row r="754" spans="9:10">
      <c r="I754" s="169"/>
      <c r="J754" s="170"/>
    </row>
    <row r="755" spans="9:10">
      <c r="I755" s="169"/>
      <c r="J755" s="170"/>
    </row>
    <row r="756" spans="9:10">
      <c r="I756" s="169"/>
      <c r="J756" s="170"/>
    </row>
    <row r="757" spans="9:10">
      <c r="I757" s="169"/>
      <c r="J757" s="170"/>
    </row>
    <row r="758" spans="9:10">
      <c r="I758" s="169"/>
      <c r="J758" s="170"/>
    </row>
    <row r="759" spans="9:10">
      <c r="I759" s="169"/>
      <c r="J759" s="170"/>
    </row>
    <row r="760" spans="9:10">
      <c r="I760" s="169"/>
      <c r="J760" s="170"/>
    </row>
    <row r="761" spans="9:10">
      <c r="I761" s="169"/>
      <c r="J761" s="170"/>
    </row>
    <row r="762" spans="9:10">
      <c r="I762" s="169"/>
      <c r="J762" s="170"/>
    </row>
    <row r="763" spans="9:10">
      <c r="I763" s="169"/>
      <c r="J763" s="170"/>
    </row>
    <row r="764" spans="9:10">
      <c r="I764" s="169"/>
      <c r="J764" s="170"/>
    </row>
    <row r="765" spans="9:10">
      <c r="I765" s="169"/>
      <c r="J765" s="170"/>
    </row>
    <row r="766" spans="9:10">
      <c r="I766" s="169"/>
      <c r="J766" s="170"/>
    </row>
    <row r="767" spans="9:10">
      <c r="I767" s="169"/>
      <c r="J767" s="170"/>
    </row>
    <row r="768" spans="9:10">
      <c r="I768" s="169"/>
      <c r="J768" s="170"/>
    </row>
    <row r="769" spans="9:10">
      <c r="I769" s="169"/>
      <c r="J769" s="170"/>
    </row>
    <row r="770" spans="9:10">
      <c r="I770" s="169"/>
      <c r="J770" s="170"/>
    </row>
    <row r="771" spans="9:10">
      <c r="I771" s="169"/>
      <c r="J771" s="170"/>
    </row>
    <row r="772" spans="9:10">
      <c r="I772" s="169"/>
      <c r="J772" s="170"/>
    </row>
    <row r="773" spans="9:10">
      <c r="I773" s="169"/>
      <c r="J773" s="170"/>
    </row>
    <row r="774" spans="9:10">
      <c r="I774" s="169"/>
      <c r="J774" s="170"/>
    </row>
    <row r="775" spans="9:10">
      <c r="I775" s="169"/>
      <c r="J775" s="170"/>
    </row>
    <row r="776" spans="9:10">
      <c r="I776" s="169"/>
      <c r="J776" s="170"/>
    </row>
    <row r="777" spans="9:10">
      <c r="I777" s="169"/>
      <c r="J777" s="170"/>
    </row>
    <row r="778" spans="9:10">
      <c r="I778" s="169"/>
      <c r="J778" s="170"/>
    </row>
    <row r="779" spans="9:10">
      <c r="I779" s="169"/>
      <c r="J779" s="170"/>
    </row>
    <row r="780" spans="9:10">
      <c r="I780" s="169"/>
      <c r="J780" s="170"/>
    </row>
    <row r="781" spans="9:10">
      <c r="I781" s="169"/>
      <c r="J781" s="170"/>
    </row>
    <row r="782" spans="9:10">
      <c r="I782" s="169"/>
      <c r="J782" s="170"/>
    </row>
    <row r="783" spans="9:10">
      <c r="I783" s="169"/>
      <c r="J783" s="170"/>
    </row>
    <row r="784" spans="9:10">
      <c r="I784" s="169"/>
      <c r="J784" s="170"/>
    </row>
    <row r="785" spans="9:10">
      <c r="I785" s="169"/>
      <c r="J785" s="170"/>
    </row>
    <row r="786" spans="9:10">
      <c r="I786" s="169"/>
      <c r="J786" s="170"/>
    </row>
    <row r="787" spans="9:10">
      <c r="I787" s="169"/>
      <c r="J787" s="170"/>
    </row>
    <row r="788" spans="9:10">
      <c r="I788" s="169"/>
      <c r="J788" s="170"/>
    </row>
    <row r="789" spans="9:10">
      <c r="I789" s="169"/>
      <c r="J789" s="170"/>
    </row>
    <row r="790" spans="9:10">
      <c r="I790" s="169"/>
      <c r="J790" s="170"/>
    </row>
    <row r="791" spans="9:10">
      <c r="I791" s="169"/>
      <c r="J791" s="170"/>
    </row>
    <row r="792" spans="9:10">
      <c r="I792" s="169"/>
      <c r="J792" s="170"/>
    </row>
    <row r="793" spans="9:10">
      <c r="I793" s="169"/>
      <c r="J793" s="170"/>
    </row>
    <row r="794" spans="9:10">
      <c r="I794" s="169"/>
      <c r="J794" s="170"/>
    </row>
    <row r="795" spans="9:10">
      <c r="I795" s="169"/>
      <c r="J795" s="170"/>
    </row>
    <row r="796" spans="9:10">
      <c r="I796" s="169"/>
      <c r="J796" s="170"/>
    </row>
    <row r="797" spans="9:10">
      <c r="I797" s="169"/>
      <c r="J797" s="170"/>
    </row>
    <row r="798" spans="9:10">
      <c r="I798" s="169"/>
      <c r="J798" s="170"/>
    </row>
    <row r="799" spans="9:10">
      <c r="I799" s="169"/>
      <c r="J799" s="170"/>
    </row>
    <row r="800" spans="9:10">
      <c r="I800" s="169"/>
      <c r="J800" s="170"/>
    </row>
    <row r="801" spans="9:10">
      <c r="I801" s="169"/>
      <c r="J801" s="170"/>
    </row>
    <row r="802" spans="9:10">
      <c r="I802" s="169"/>
      <c r="J802" s="170"/>
    </row>
    <row r="803" spans="9:10">
      <c r="I803" s="169"/>
      <c r="J803" s="170"/>
    </row>
    <row r="804" spans="9:10">
      <c r="I804" s="169"/>
      <c r="J804" s="170"/>
    </row>
    <row r="805" spans="9:10">
      <c r="I805" s="169"/>
      <c r="J805" s="170"/>
    </row>
    <row r="806" spans="9:10">
      <c r="I806" s="169"/>
      <c r="J806" s="170"/>
    </row>
    <row r="807" spans="9:10">
      <c r="I807" s="169"/>
      <c r="J807" s="170"/>
    </row>
    <row r="808" spans="9:10">
      <c r="I808" s="169"/>
      <c r="J808" s="170"/>
    </row>
    <row r="809" spans="9:10">
      <c r="I809" s="169"/>
      <c r="J809" s="170"/>
    </row>
    <row r="810" spans="9:10">
      <c r="I810" s="169"/>
      <c r="J810" s="170"/>
    </row>
    <row r="811" spans="9:10">
      <c r="I811" s="169"/>
      <c r="J811" s="170"/>
    </row>
    <row r="812" spans="9:10">
      <c r="I812" s="169"/>
      <c r="J812" s="170"/>
    </row>
    <row r="813" spans="9:10">
      <c r="I813" s="169"/>
      <c r="J813" s="170"/>
    </row>
    <row r="814" spans="9:10">
      <c r="I814" s="169"/>
      <c r="J814" s="170"/>
    </row>
    <row r="815" spans="9:10">
      <c r="I815" s="169"/>
      <c r="J815" s="170"/>
    </row>
    <row r="816" spans="9:10">
      <c r="I816" s="169"/>
      <c r="J816" s="170"/>
    </row>
    <row r="817" spans="9:10">
      <c r="I817" s="169"/>
      <c r="J817" s="170"/>
    </row>
    <row r="818" spans="9:10">
      <c r="I818" s="169"/>
      <c r="J818" s="170"/>
    </row>
    <row r="819" spans="9:10">
      <c r="I819" s="169"/>
      <c r="J819" s="170"/>
    </row>
    <row r="820" spans="9:10">
      <c r="I820" s="169"/>
      <c r="J820" s="170"/>
    </row>
    <row r="821" spans="9:10">
      <c r="I821" s="169"/>
      <c r="J821" s="170"/>
    </row>
    <row r="822" spans="9:10">
      <c r="I822" s="169"/>
      <c r="J822" s="170"/>
    </row>
    <row r="823" spans="9:10">
      <c r="I823" s="169"/>
      <c r="J823" s="170"/>
    </row>
    <row r="824" spans="9:10">
      <c r="I824" s="169"/>
      <c r="J824" s="170"/>
    </row>
    <row r="825" spans="9:10">
      <c r="I825" s="169"/>
      <c r="J825" s="170"/>
    </row>
    <row r="826" spans="9:10">
      <c r="I826" s="169"/>
      <c r="J826" s="170"/>
    </row>
    <row r="827" spans="9:10">
      <c r="I827" s="169"/>
      <c r="J827" s="170"/>
    </row>
    <row r="828" spans="9:10">
      <c r="I828" s="169"/>
      <c r="J828" s="170"/>
    </row>
    <row r="829" spans="9:10">
      <c r="I829" s="169"/>
      <c r="J829" s="170"/>
    </row>
    <row r="830" spans="9:10">
      <c r="I830" s="169"/>
      <c r="J830" s="170"/>
    </row>
    <row r="831" spans="9:10">
      <c r="I831" s="169"/>
      <c r="J831" s="170"/>
    </row>
    <row r="832" spans="9:10">
      <c r="I832" s="169"/>
      <c r="J832" s="170"/>
    </row>
    <row r="833" spans="9:10">
      <c r="I833" s="169"/>
      <c r="J833" s="170"/>
    </row>
    <row r="834" spans="9:10">
      <c r="I834" s="169"/>
      <c r="J834" s="170"/>
    </row>
    <row r="835" spans="9:10">
      <c r="I835" s="169"/>
      <c r="J835" s="170"/>
    </row>
    <row r="836" spans="9:10">
      <c r="I836" s="169"/>
      <c r="J836" s="170"/>
    </row>
    <row r="837" spans="9:10">
      <c r="I837" s="169"/>
      <c r="J837" s="170"/>
    </row>
    <row r="838" spans="9:10">
      <c r="I838" s="169"/>
      <c r="J838" s="170"/>
    </row>
    <row r="839" spans="9:10">
      <c r="I839" s="169"/>
      <c r="J839" s="170"/>
    </row>
    <row r="840" spans="9:10">
      <c r="I840" s="169"/>
      <c r="J840" s="170"/>
    </row>
    <row r="841" spans="9:10">
      <c r="I841" s="169"/>
      <c r="J841" s="170"/>
    </row>
    <row r="842" spans="9:10">
      <c r="I842" s="169"/>
      <c r="J842" s="170"/>
    </row>
    <row r="843" spans="9:10">
      <c r="I843" s="169"/>
      <c r="J843" s="170"/>
    </row>
    <row r="844" spans="9:10">
      <c r="I844" s="169"/>
      <c r="J844" s="170"/>
    </row>
    <row r="845" spans="9:10">
      <c r="I845" s="169"/>
      <c r="J845" s="170"/>
    </row>
    <row r="846" spans="9:10">
      <c r="I846" s="169"/>
      <c r="J846" s="170"/>
    </row>
    <row r="847" spans="9:10">
      <c r="I847" s="169"/>
      <c r="J847" s="170"/>
    </row>
    <row r="848" spans="9:10">
      <c r="I848" s="169"/>
      <c r="J848" s="170"/>
    </row>
    <row r="849" spans="9:10">
      <c r="I849" s="169"/>
      <c r="J849" s="170"/>
    </row>
    <row r="850" spans="9:10">
      <c r="I850" s="169"/>
      <c r="J850" s="170"/>
    </row>
    <row r="851" spans="9:10">
      <c r="I851" s="169"/>
      <c r="J851" s="170"/>
    </row>
    <row r="852" spans="9:10">
      <c r="I852" s="169"/>
      <c r="J852" s="170"/>
    </row>
    <row r="853" spans="9:10">
      <c r="I853" s="169"/>
      <c r="J853" s="170"/>
    </row>
    <row r="854" spans="9:10">
      <c r="I854" s="169"/>
      <c r="J854" s="170"/>
    </row>
    <row r="855" spans="9:10">
      <c r="I855" s="169"/>
      <c r="J855" s="170"/>
    </row>
    <row r="856" spans="9:10">
      <c r="I856" s="169"/>
      <c r="J856" s="170"/>
    </row>
    <row r="857" spans="9:10">
      <c r="I857" s="169"/>
      <c r="J857" s="170"/>
    </row>
    <row r="858" spans="9:10">
      <c r="I858" s="169"/>
      <c r="J858" s="170"/>
    </row>
    <row r="859" spans="9:10">
      <c r="I859" s="169"/>
      <c r="J859" s="170"/>
    </row>
    <row r="860" spans="9:10">
      <c r="I860" s="169"/>
      <c r="J860" s="170"/>
    </row>
    <row r="861" spans="9:10">
      <c r="I861" s="169"/>
      <c r="J861" s="170"/>
    </row>
    <row r="862" spans="9:10">
      <c r="I862" s="169"/>
      <c r="J862" s="170"/>
    </row>
    <row r="863" spans="9:10">
      <c r="I863" s="169"/>
      <c r="J863" s="170"/>
    </row>
    <row r="864" spans="9:10">
      <c r="I864" s="169"/>
      <c r="J864" s="170"/>
    </row>
    <row r="865" spans="9:10">
      <c r="I865" s="169"/>
      <c r="J865" s="170"/>
    </row>
    <row r="866" spans="9:10">
      <c r="I866" s="169"/>
      <c r="J866" s="170"/>
    </row>
    <row r="867" spans="9:10">
      <c r="I867" s="169"/>
      <c r="J867" s="170"/>
    </row>
    <row r="868" spans="9:10">
      <c r="I868" s="169"/>
      <c r="J868" s="170"/>
    </row>
    <row r="869" spans="9:10">
      <c r="I869" s="169"/>
      <c r="J869" s="170"/>
    </row>
    <row r="870" spans="9:10">
      <c r="I870" s="169"/>
      <c r="J870" s="170"/>
    </row>
    <row r="871" spans="9:10">
      <c r="I871" s="169"/>
      <c r="J871" s="170"/>
    </row>
    <row r="872" spans="9:10">
      <c r="I872" s="169"/>
      <c r="J872" s="170"/>
    </row>
    <row r="873" spans="9:10">
      <c r="I873" s="169"/>
      <c r="J873" s="170"/>
    </row>
    <row r="874" spans="9:10">
      <c r="I874" s="169"/>
      <c r="J874" s="170"/>
    </row>
    <row r="875" spans="9:10">
      <c r="I875" s="169"/>
      <c r="J875" s="170"/>
    </row>
    <row r="876" spans="9:10">
      <c r="I876" s="169"/>
      <c r="J876" s="170"/>
    </row>
    <row r="877" spans="9:10">
      <c r="I877" s="169"/>
      <c r="J877" s="170"/>
    </row>
    <row r="878" spans="9:10">
      <c r="I878" s="169"/>
      <c r="J878" s="170"/>
    </row>
    <row r="879" spans="9:10">
      <c r="I879" s="169"/>
      <c r="J879" s="170"/>
    </row>
    <row r="880" spans="9:10">
      <c r="I880" s="169"/>
      <c r="J880" s="170"/>
    </row>
    <row r="881" spans="9:10">
      <c r="I881" s="169"/>
      <c r="J881" s="170"/>
    </row>
    <row r="882" spans="9:10">
      <c r="I882" s="169"/>
      <c r="J882" s="170"/>
    </row>
    <row r="883" spans="9:10">
      <c r="I883" s="169"/>
      <c r="J883" s="170"/>
    </row>
    <row r="884" spans="9:10">
      <c r="I884" s="169"/>
      <c r="J884" s="170"/>
    </row>
    <row r="885" spans="9:10">
      <c r="I885" s="169"/>
      <c r="J885" s="170"/>
    </row>
    <row r="886" spans="9:10">
      <c r="I886" s="169"/>
      <c r="J886" s="170"/>
    </row>
    <row r="887" spans="9:10">
      <c r="I887" s="169"/>
      <c r="J887" s="170"/>
    </row>
    <row r="888" spans="9:10">
      <c r="I888" s="169"/>
      <c r="J888" s="170"/>
    </row>
    <row r="889" spans="9:10">
      <c r="I889" s="169"/>
      <c r="J889" s="170"/>
    </row>
    <row r="890" spans="9:10">
      <c r="I890" s="169"/>
      <c r="J890" s="170"/>
    </row>
    <row r="891" spans="9:10">
      <c r="I891" s="169"/>
      <c r="J891" s="170"/>
    </row>
    <row r="892" spans="9:10">
      <c r="I892" s="169"/>
      <c r="J892" s="170"/>
    </row>
    <row r="893" spans="9:10">
      <c r="I893" s="169"/>
      <c r="J893" s="170"/>
    </row>
    <row r="894" spans="9:10">
      <c r="I894" s="169"/>
      <c r="J894" s="170"/>
    </row>
    <row r="895" spans="9:10">
      <c r="I895" s="169"/>
      <c r="J895" s="170"/>
    </row>
    <row r="896" spans="9:10">
      <c r="I896" s="169"/>
      <c r="J896" s="170"/>
    </row>
    <row r="897" spans="9:10">
      <c r="I897" s="169"/>
      <c r="J897" s="170"/>
    </row>
    <row r="898" spans="9:10">
      <c r="I898" s="169"/>
      <c r="J898" s="170"/>
    </row>
    <row r="899" spans="9:10">
      <c r="I899" s="169"/>
      <c r="J899" s="170"/>
    </row>
    <row r="900" spans="9:10">
      <c r="I900" s="169"/>
      <c r="J900" s="170"/>
    </row>
    <row r="901" spans="9:10">
      <c r="I901" s="169"/>
      <c r="J901" s="170"/>
    </row>
    <row r="902" spans="9:10">
      <c r="I902" s="169"/>
      <c r="J902" s="170"/>
    </row>
    <row r="903" spans="9:10">
      <c r="I903" s="169"/>
      <c r="J903" s="170"/>
    </row>
    <row r="904" spans="9:10">
      <c r="I904" s="169"/>
      <c r="J904" s="170"/>
    </row>
    <row r="905" spans="9:10">
      <c r="I905" s="169"/>
      <c r="J905" s="170"/>
    </row>
    <row r="906" spans="9:10">
      <c r="I906" s="169"/>
      <c r="J906" s="170"/>
    </row>
    <row r="907" spans="9:10">
      <c r="I907" s="169"/>
      <c r="J907" s="170"/>
    </row>
    <row r="908" spans="9:10">
      <c r="I908" s="169"/>
      <c r="J908" s="170"/>
    </row>
    <row r="909" spans="9:10">
      <c r="I909" s="169"/>
      <c r="J909" s="170"/>
    </row>
    <row r="910" spans="9:10">
      <c r="I910" s="169"/>
      <c r="J910" s="170"/>
    </row>
    <row r="911" spans="9:10">
      <c r="I911" s="169"/>
      <c r="J911" s="170"/>
    </row>
    <row r="912" spans="9:10">
      <c r="I912" s="169"/>
      <c r="J912" s="171"/>
    </row>
    <row r="913" spans="9:10">
      <c r="I913" s="169"/>
      <c r="J913" s="171"/>
    </row>
    <row r="914" spans="9:10">
      <c r="I914" s="169"/>
      <c r="J914" s="171"/>
    </row>
    <row r="915" spans="9:10">
      <c r="I915" s="169"/>
      <c r="J915" s="171"/>
    </row>
    <row r="916" spans="9:10">
      <c r="I916" s="169"/>
      <c r="J916" s="171"/>
    </row>
    <row r="917" spans="9:10">
      <c r="I917" s="169"/>
      <c r="J917" s="171"/>
    </row>
    <row r="918" spans="9:10">
      <c r="I918" s="169"/>
      <c r="J918" s="171"/>
    </row>
    <row r="919" spans="9:10">
      <c r="I919" s="169"/>
      <c r="J919" s="171"/>
    </row>
    <row r="920" spans="9:10">
      <c r="I920" s="169"/>
      <c r="J920" s="171"/>
    </row>
    <row r="921" spans="9:10">
      <c r="I921" s="169"/>
      <c r="J921" s="171"/>
    </row>
    <row r="922" spans="9:10">
      <c r="I922" s="169"/>
      <c r="J922" s="171"/>
    </row>
    <row r="923" spans="9:10">
      <c r="I923" s="169"/>
      <c r="J923" s="171"/>
    </row>
    <row r="924" spans="9:10">
      <c r="I924" s="169"/>
      <c r="J924" s="171"/>
    </row>
    <row r="925" spans="9:10">
      <c r="I925" s="169"/>
      <c r="J925" s="171"/>
    </row>
    <row r="926" spans="9:10">
      <c r="I926" s="169"/>
      <c r="J926" s="171"/>
    </row>
    <row r="927" spans="9:10">
      <c r="I927" s="169"/>
      <c r="J927" s="171"/>
    </row>
    <row r="928" spans="9:10">
      <c r="I928" s="169"/>
      <c r="J928" s="171"/>
    </row>
    <row r="929" spans="9:10">
      <c r="I929" s="169"/>
      <c r="J929" s="171"/>
    </row>
    <row r="930" spans="9:10">
      <c r="I930" s="169"/>
      <c r="J930" s="171"/>
    </row>
    <row r="931" spans="9:10">
      <c r="I931" s="169"/>
      <c r="J931" s="170"/>
    </row>
    <row r="932" spans="9:10">
      <c r="I932" s="169"/>
      <c r="J932" s="171"/>
    </row>
    <row r="933" spans="9:10">
      <c r="I933" s="169"/>
      <c r="J933" s="171"/>
    </row>
    <row r="934" spans="9:10">
      <c r="I934" s="169"/>
      <c r="J934" s="171"/>
    </row>
    <row r="935" spans="9:10">
      <c r="I935" s="169"/>
      <c r="J935" s="171"/>
    </row>
    <row r="936" spans="9:10">
      <c r="I936" s="169"/>
      <c r="J936" s="171"/>
    </row>
    <row r="937" spans="9:10">
      <c r="I937" s="169"/>
      <c r="J937" s="171"/>
    </row>
    <row r="938" spans="9:10">
      <c r="I938" s="169"/>
      <c r="J938" s="171"/>
    </row>
    <row r="939" spans="9:10">
      <c r="I939" s="169"/>
      <c r="J939" s="171"/>
    </row>
    <row r="940" spans="9:10">
      <c r="I940" s="169"/>
      <c r="J940" s="171"/>
    </row>
    <row r="941" spans="9:10">
      <c r="I941" s="169"/>
      <c r="J941" s="171"/>
    </row>
    <row r="942" spans="9:10">
      <c r="I942" s="169"/>
      <c r="J942" s="171"/>
    </row>
    <row r="943" spans="9:10">
      <c r="I943" s="169"/>
      <c r="J943" s="171"/>
    </row>
    <row r="944" spans="9:10">
      <c r="I944" s="169"/>
      <c r="J944" s="171"/>
    </row>
    <row r="945" spans="9:10">
      <c r="I945" s="169"/>
      <c r="J945" s="171"/>
    </row>
    <row r="946" spans="9:10">
      <c r="I946" s="169"/>
      <c r="J946" s="171"/>
    </row>
    <row r="947" spans="9:10">
      <c r="I947" s="169"/>
      <c r="J947" s="171"/>
    </row>
    <row r="948" spans="9:10">
      <c r="I948" s="169"/>
      <c r="J948" s="171"/>
    </row>
    <row r="949" spans="9:10">
      <c r="I949" s="169"/>
      <c r="J949" s="171"/>
    </row>
    <row r="950" spans="9:10">
      <c r="I950" s="169"/>
      <c r="J950" s="171"/>
    </row>
    <row r="951" spans="9:10">
      <c r="I951" s="169"/>
      <c r="J951" s="171"/>
    </row>
    <row r="952" spans="9:10">
      <c r="I952" s="169"/>
      <c r="J952" s="171"/>
    </row>
    <row r="953" spans="9:10">
      <c r="I953" s="169"/>
      <c r="J953" s="171"/>
    </row>
    <row r="954" spans="9:10">
      <c r="I954" s="169"/>
      <c r="J954" s="171"/>
    </row>
    <row r="955" spans="9:10">
      <c r="I955" s="169"/>
      <c r="J955" s="171"/>
    </row>
    <row r="956" spans="9:10">
      <c r="I956" s="169"/>
      <c r="J956" s="171"/>
    </row>
    <row r="957" spans="9:10">
      <c r="I957" s="169"/>
      <c r="J957" s="171"/>
    </row>
    <row r="958" spans="9:10">
      <c r="I958" s="169"/>
      <c r="J958" s="171"/>
    </row>
    <row r="959" spans="9:10">
      <c r="I959" s="169"/>
      <c r="J959" s="171"/>
    </row>
    <row r="960" spans="9:10">
      <c r="I960" s="169"/>
      <c r="J960" s="171"/>
    </row>
    <row r="961" spans="9:10">
      <c r="I961" s="169"/>
      <c r="J961" s="171"/>
    </row>
    <row r="962" spans="9:10">
      <c r="I962" s="169"/>
      <c r="J962" s="171"/>
    </row>
    <row r="963" spans="9:10">
      <c r="I963" s="169"/>
      <c r="J963" s="171"/>
    </row>
    <row r="964" spans="9:10">
      <c r="I964" s="169"/>
      <c r="J964" s="171"/>
    </row>
    <row r="965" spans="9:10">
      <c r="I965" s="169"/>
      <c r="J965" s="171"/>
    </row>
    <row r="966" spans="9:10">
      <c r="I966" s="169"/>
      <c r="J966" s="171"/>
    </row>
    <row r="967" spans="9:10">
      <c r="I967" s="169"/>
      <c r="J967" s="171"/>
    </row>
    <row r="968" spans="9:10">
      <c r="I968" s="169"/>
      <c r="J968" s="171"/>
    </row>
    <row r="969" spans="9:10">
      <c r="I969" s="169"/>
      <c r="J969" s="171"/>
    </row>
    <row r="970" spans="9:10">
      <c r="I970" s="169"/>
      <c r="J970" s="171"/>
    </row>
    <row r="971" spans="9:10">
      <c r="I971" s="169"/>
      <c r="J971" s="171"/>
    </row>
    <row r="972" spans="9:10">
      <c r="I972" s="169"/>
      <c r="J972" s="171"/>
    </row>
    <row r="973" spans="9:10">
      <c r="I973" s="169"/>
      <c r="J973" s="171"/>
    </row>
    <row r="974" spans="9:10">
      <c r="I974" s="169"/>
      <c r="J974" s="171"/>
    </row>
    <row r="975" spans="9:10">
      <c r="I975" s="169"/>
      <c r="J975" s="171"/>
    </row>
    <row r="976" spans="9:10">
      <c r="I976" s="169"/>
      <c r="J976" s="171"/>
    </row>
    <row r="977" spans="9:10">
      <c r="I977" s="169"/>
      <c r="J977" s="171"/>
    </row>
    <row r="978" spans="9:10">
      <c r="I978" s="169"/>
      <c r="J978" s="171"/>
    </row>
    <row r="979" spans="9:10">
      <c r="I979" s="169"/>
      <c r="J979" s="171"/>
    </row>
    <row r="980" spans="9:10">
      <c r="I980" s="169"/>
      <c r="J980" s="171"/>
    </row>
    <row r="981" spans="9:10">
      <c r="I981" s="169"/>
      <c r="J981" s="171"/>
    </row>
    <row r="982" spans="9:10">
      <c r="I982" s="169"/>
      <c r="J982" s="170"/>
    </row>
    <row r="983" spans="9:10">
      <c r="I983" s="169"/>
      <c r="J983" s="171"/>
    </row>
    <row r="984" spans="9:10">
      <c r="I984" s="169"/>
      <c r="J984" s="171"/>
    </row>
    <row r="985" spans="9:10">
      <c r="I985" s="169"/>
      <c r="J985" s="171"/>
    </row>
    <row r="986" spans="9:10">
      <c r="I986" s="169"/>
      <c r="J986" s="171"/>
    </row>
    <row r="987" spans="9:10">
      <c r="I987" s="169"/>
      <c r="J987" s="171"/>
    </row>
    <row r="988" spans="9:10">
      <c r="I988" s="169"/>
      <c r="J988" s="170"/>
    </row>
    <row r="989" spans="9:10">
      <c r="I989" s="169"/>
      <c r="J989" s="171"/>
    </row>
    <row r="990" spans="9:10">
      <c r="I990" s="169"/>
      <c r="J990" s="171"/>
    </row>
    <row r="991" spans="9:10">
      <c r="I991" s="169"/>
      <c r="J991" s="171"/>
    </row>
    <row r="992" spans="9:10">
      <c r="I992" s="169"/>
      <c r="J992" s="171"/>
    </row>
    <row r="993" spans="9:10">
      <c r="I993" s="169"/>
      <c r="J993" s="171"/>
    </row>
    <row r="994" spans="9:10">
      <c r="I994" s="169"/>
      <c r="J994" s="171"/>
    </row>
    <row r="995" spans="9:10">
      <c r="I995" s="169"/>
      <c r="J995" s="171"/>
    </row>
    <row r="996" spans="9:10">
      <c r="I996" s="169"/>
      <c r="J996" s="171"/>
    </row>
    <row r="997" spans="9:10">
      <c r="I997" s="169"/>
      <c r="J997" s="171"/>
    </row>
    <row r="998" spans="9:10">
      <c r="I998" s="169"/>
      <c r="J998" s="171"/>
    </row>
    <row r="999" spans="9:10">
      <c r="I999" s="169"/>
      <c r="J999" s="171"/>
    </row>
    <row r="1000" spans="9:10">
      <c r="I1000" s="169"/>
      <c r="J1000" s="171"/>
    </row>
    <row r="1001" spans="9:10">
      <c r="I1001" s="169"/>
      <c r="J1001" s="171"/>
    </row>
    <row r="1002" spans="9:10">
      <c r="I1002" s="169"/>
      <c r="J1002" s="171"/>
    </row>
    <row r="1003" spans="9:10">
      <c r="I1003" s="169"/>
      <c r="J1003" s="171"/>
    </row>
    <row r="1004" spans="9:10">
      <c r="I1004" s="169"/>
      <c r="J1004" s="171"/>
    </row>
    <row r="1005" spans="9:10">
      <c r="I1005" s="169"/>
      <c r="J1005" s="171"/>
    </row>
    <row r="1006" spans="9:10">
      <c r="I1006" s="169"/>
      <c r="J1006" s="171"/>
    </row>
    <row r="1007" spans="9:10">
      <c r="I1007" s="169"/>
      <c r="J1007" s="171"/>
    </row>
    <row r="1008" spans="9:10">
      <c r="I1008" s="169"/>
      <c r="J1008" s="171"/>
    </row>
    <row r="1009" spans="9:10">
      <c r="I1009" s="169"/>
      <c r="J1009" s="171"/>
    </row>
    <row r="1010" spans="9:10">
      <c r="I1010" s="169"/>
      <c r="J1010" s="171"/>
    </row>
    <row r="1011" spans="9:10">
      <c r="I1011" s="169"/>
      <c r="J1011" s="171"/>
    </row>
    <row r="1012" spans="9:10">
      <c r="I1012" s="169"/>
      <c r="J1012" s="171"/>
    </row>
    <row r="1013" spans="9:10">
      <c r="I1013" s="169"/>
      <c r="J1013" s="171"/>
    </row>
    <row r="1014" spans="9:10">
      <c r="I1014" s="169"/>
      <c r="J1014" s="171"/>
    </row>
    <row r="1015" spans="9:10">
      <c r="I1015" s="169"/>
      <c r="J1015" s="171"/>
    </row>
    <row r="1016" spans="9:10">
      <c r="I1016" s="169"/>
      <c r="J1016" s="171"/>
    </row>
    <row r="1017" spans="9:10">
      <c r="I1017" s="169"/>
      <c r="J1017" s="171"/>
    </row>
    <row r="1018" spans="9:10">
      <c r="I1018" s="169"/>
      <c r="J1018" s="171"/>
    </row>
    <row r="1019" spans="9:10">
      <c r="I1019" s="169"/>
      <c r="J1019" s="171"/>
    </row>
    <row r="1020" spans="9:10">
      <c r="I1020" s="169"/>
      <c r="J1020" s="171"/>
    </row>
    <row r="1021" spans="9:10">
      <c r="I1021" s="169"/>
      <c r="J1021" s="171"/>
    </row>
    <row r="1022" spans="9:10">
      <c r="I1022" s="169"/>
      <c r="J1022" s="171"/>
    </row>
    <row r="1023" spans="9:10">
      <c r="I1023" s="169"/>
      <c r="J1023" s="171"/>
    </row>
    <row r="1024" spans="9:10">
      <c r="I1024" s="169"/>
      <c r="J1024" s="171"/>
    </row>
    <row r="1025" spans="9:10">
      <c r="I1025" s="169"/>
      <c r="J1025" s="171"/>
    </row>
    <row r="1026" spans="9:10">
      <c r="I1026" s="169"/>
      <c r="J1026" s="171"/>
    </row>
    <row r="1027" spans="9:10">
      <c r="I1027" s="169"/>
      <c r="J1027" s="171"/>
    </row>
    <row r="1028" spans="9:10">
      <c r="I1028" s="169"/>
      <c r="J1028" s="171"/>
    </row>
    <row r="1029" spans="9:10">
      <c r="I1029" s="169"/>
      <c r="J1029" s="171"/>
    </row>
    <row r="1030" spans="9:10">
      <c r="I1030" s="169"/>
      <c r="J1030" s="170"/>
    </row>
    <row r="1031" spans="9:10">
      <c r="I1031" s="169"/>
      <c r="J1031" s="170"/>
    </row>
    <row r="1032" spans="9:10">
      <c r="I1032" s="169"/>
      <c r="J1032" s="171"/>
    </row>
    <row r="1033" spans="9:10">
      <c r="I1033" s="169"/>
      <c r="J1033" s="171"/>
    </row>
    <row r="1034" spans="9:10">
      <c r="I1034" s="169"/>
      <c r="J1034" s="171"/>
    </row>
    <row r="1035" spans="9:10">
      <c r="I1035" s="169"/>
      <c r="J1035" s="171"/>
    </row>
    <row r="1036" spans="9:10">
      <c r="I1036" s="169"/>
      <c r="J1036" s="171"/>
    </row>
    <row r="1037" spans="9:10">
      <c r="I1037" s="169"/>
      <c r="J1037" s="171"/>
    </row>
    <row r="1038" spans="9:10">
      <c r="I1038" s="169"/>
      <c r="J1038" s="171"/>
    </row>
    <row r="1039" spans="9:10">
      <c r="I1039" s="169"/>
      <c r="J1039" s="171"/>
    </row>
    <row r="1040" spans="9:10">
      <c r="I1040" s="169"/>
      <c r="J1040" s="171"/>
    </row>
    <row r="1041" spans="9:10">
      <c r="I1041" s="169"/>
      <c r="J1041" s="171"/>
    </row>
    <row r="1042" spans="9:10">
      <c r="I1042" s="169"/>
      <c r="J1042" s="171"/>
    </row>
    <row r="1043" spans="9:10">
      <c r="I1043" s="169"/>
      <c r="J1043" s="171"/>
    </row>
    <row r="1044" spans="9:10">
      <c r="I1044" s="169"/>
      <c r="J1044" s="171"/>
    </row>
    <row r="1045" spans="9:10">
      <c r="I1045" s="169"/>
      <c r="J1045" s="171"/>
    </row>
    <row r="1046" spans="9:10">
      <c r="I1046" s="169"/>
      <c r="J1046" s="171"/>
    </row>
    <row r="1047" spans="9:10">
      <c r="I1047" s="169"/>
      <c r="J1047" s="171"/>
    </row>
    <row r="1048" spans="9:10">
      <c r="I1048" s="169"/>
      <c r="J1048" s="171"/>
    </row>
    <row r="1049" spans="9:10">
      <c r="I1049" s="169"/>
      <c r="J1049" s="171"/>
    </row>
    <row r="1050" spans="9:10">
      <c r="I1050" s="169"/>
      <c r="J1050" s="171"/>
    </row>
    <row r="1051" spans="9:10">
      <c r="I1051" s="169"/>
      <c r="J1051" s="171"/>
    </row>
    <row r="1052" spans="9:10">
      <c r="I1052" s="169"/>
      <c r="J1052" s="171"/>
    </row>
    <row r="1053" spans="9:10">
      <c r="I1053" s="169"/>
      <c r="J1053" s="171"/>
    </row>
    <row r="1054" spans="9:10">
      <c r="I1054" s="169"/>
      <c r="J1054" s="171"/>
    </row>
    <row r="1055" spans="9:10">
      <c r="I1055" s="169"/>
      <c r="J1055" s="171"/>
    </row>
    <row r="1056" spans="9:10">
      <c r="I1056" s="169"/>
      <c r="J1056" s="171"/>
    </row>
    <row r="1057" spans="9:10">
      <c r="I1057" s="169"/>
      <c r="J1057" s="171"/>
    </row>
    <row r="1058" spans="9:10">
      <c r="I1058" s="169"/>
      <c r="J1058" s="171"/>
    </row>
    <row r="1059" spans="9:10">
      <c r="I1059" s="169"/>
      <c r="J1059" s="171"/>
    </row>
    <row r="1060" spans="9:10">
      <c r="I1060" s="169"/>
      <c r="J1060" s="171"/>
    </row>
    <row r="1061" spans="9:10">
      <c r="I1061" s="169"/>
      <c r="J1061" s="171"/>
    </row>
    <row r="1062" spans="9:10">
      <c r="I1062" s="169"/>
      <c r="J1062" s="171"/>
    </row>
    <row r="1063" spans="9:10">
      <c r="I1063" s="169"/>
      <c r="J1063" s="171"/>
    </row>
    <row r="1064" spans="9:10">
      <c r="I1064" s="169"/>
      <c r="J1064" s="171"/>
    </row>
    <row r="1065" spans="9:10">
      <c r="I1065"/>
      <c r="J1065"/>
    </row>
    <row r="1066" spans="9:10">
      <c r="I1066"/>
      <c r="J1066"/>
    </row>
    <row r="1067" spans="9:10">
      <c r="I1067"/>
      <c r="J1067"/>
    </row>
    <row r="1068" spans="9:10">
      <c r="I1068"/>
      <c r="J1068"/>
    </row>
    <row r="1069" spans="9:10">
      <c r="I1069"/>
      <c r="J1069"/>
    </row>
    <row r="1070" spans="9:10">
      <c r="I1070"/>
      <c r="J1070"/>
    </row>
    <row r="1071" spans="9:10">
      <c r="I1071"/>
      <c r="J1071"/>
    </row>
    <row r="1072" spans="9:10">
      <c r="I1072"/>
      <c r="J1072"/>
    </row>
    <row r="1073" spans="9:10">
      <c r="I1073"/>
      <c r="J1073"/>
    </row>
    <row r="1074" spans="9:10">
      <c r="I1074"/>
      <c r="J1074"/>
    </row>
    <row r="1075" spans="9:10">
      <c r="I1075"/>
      <c r="J1075"/>
    </row>
    <row r="1076" spans="9:10">
      <c r="I1076"/>
      <c r="J1076"/>
    </row>
    <row r="1077" spans="9:10">
      <c r="I1077"/>
      <c r="J1077"/>
    </row>
    <row r="1078" spans="9:10">
      <c r="I1078"/>
      <c r="J1078"/>
    </row>
    <row r="1079" spans="9:10">
      <c r="I1079"/>
      <c r="J1079"/>
    </row>
    <row r="1080" spans="9:10">
      <c r="I1080"/>
      <c r="J1080"/>
    </row>
    <row r="1081" spans="9:10">
      <c r="I1081"/>
      <c r="J1081"/>
    </row>
    <row r="1082" spans="9:10">
      <c r="I1082"/>
      <c r="J1082"/>
    </row>
    <row r="1083" spans="9:10">
      <c r="I1083"/>
      <c r="J1083"/>
    </row>
    <row r="1084" spans="9:10">
      <c r="I1084"/>
      <c r="J1084"/>
    </row>
    <row r="1085" spans="9:10">
      <c r="I1085"/>
      <c r="J1085"/>
    </row>
    <row r="1086" spans="9:10">
      <c r="I1086"/>
      <c r="J1086"/>
    </row>
    <row r="1087" spans="9:10">
      <c r="I1087"/>
      <c r="J1087"/>
    </row>
    <row r="1088" spans="9:10">
      <c r="I1088"/>
      <c r="J1088"/>
    </row>
    <row r="1089" spans="9:10">
      <c r="I1089"/>
      <c r="J1089"/>
    </row>
    <row r="1090" spans="9:10">
      <c r="I1090"/>
      <c r="J1090"/>
    </row>
    <row r="1091" spans="9:10">
      <c r="I1091"/>
      <c r="J1091"/>
    </row>
    <row r="1092" spans="9:10">
      <c r="I1092"/>
      <c r="J1092"/>
    </row>
    <row r="1093" spans="9:10">
      <c r="I1093"/>
      <c r="J1093"/>
    </row>
    <row r="1094" spans="9:10">
      <c r="I1094"/>
      <c r="J1094"/>
    </row>
    <row r="1095" spans="9:10">
      <c r="I1095"/>
      <c r="J1095"/>
    </row>
    <row r="1096" spans="9:10">
      <c r="I1096"/>
      <c r="J1096"/>
    </row>
    <row r="1097" spans="9:10">
      <c r="I1097"/>
      <c r="J1097"/>
    </row>
    <row r="1098" spans="9:10">
      <c r="I1098"/>
      <c r="J1098"/>
    </row>
    <row r="1099" spans="9:10">
      <c r="I1099"/>
      <c r="J1099"/>
    </row>
    <row r="1100" spans="9:10">
      <c r="I1100"/>
      <c r="J1100"/>
    </row>
    <row r="1101" spans="9:10">
      <c r="I1101"/>
      <c r="J1101"/>
    </row>
    <row r="1102" spans="9:10">
      <c r="I1102"/>
      <c r="J1102"/>
    </row>
    <row r="1103" spans="9:10">
      <c r="I1103"/>
      <c r="J1103"/>
    </row>
    <row r="1104" spans="9:10">
      <c r="I1104"/>
      <c r="J1104"/>
    </row>
    <row r="1105" spans="9:10">
      <c r="I1105"/>
      <c r="J1105"/>
    </row>
    <row r="1106" spans="9:10">
      <c r="I1106"/>
      <c r="J1106"/>
    </row>
    <row r="1107" spans="9:10">
      <c r="I1107"/>
      <c r="J1107"/>
    </row>
    <row r="1108" spans="9:10">
      <c r="I1108"/>
      <c r="J1108"/>
    </row>
    <row r="1109" spans="9:10">
      <c r="I1109"/>
      <c r="J1109"/>
    </row>
    <row r="1110" spans="9:10">
      <c r="I1110"/>
      <c r="J1110"/>
    </row>
    <row r="1111" spans="9:10">
      <c r="I1111"/>
      <c r="J1111"/>
    </row>
    <row r="1112" spans="9:10">
      <c r="I1112"/>
      <c r="J1112"/>
    </row>
    <row r="1113" spans="9:10">
      <c r="I1113"/>
      <c r="J1113"/>
    </row>
    <row r="1114" spans="9:10">
      <c r="I1114"/>
      <c r="J1114"/>
    </row>
    <row r="1115" spans="9:10">
      <c r="I1115"/>
      <c r="J1115"/>
    </row>
    <row r="1116" spans="9:10">
      <c r="I1116"/>
      <c r="J1116"/>
    </row>
    <row r="1117" spans="9:10">
      <c r="I1117"/>
      <c r="J1117"/>
    </row>
    <row r="1118" spans="9:10">
      <c r="I1118"/>
      <c r="J1118"/>
    </row>
    <row r="1119" spans="9:10">
      <c r="I1119"/>
      <c r="J1119"/>
    </row>
    <row r="1120" spans="9:10">
      <c r="I1120"/>
      <c r="J1120"/>
    </row>
    <row r="1121" spans="9:10">
      <c r="I1121"/>
      <c r="J1121"/>
    </row>
    <row r="1122" spans="9:10">
      <c r="I1122"/>
      <c r="J1122"/>
    </row>
    <row r="1123" spans="9:10">
      <c r="I1123"/>
      <c r="J1123"/>
    </row>
    <row r="1124" spans="9:10">
      <c r="I1124"/>
      <c r="J1124"/>
    </row>
    <row r="1125" spans="9:10">
      <c r="I1125"/>
      <c r="J1125"/>
    </row>
    <row r="1126" spans="9:10">
      <c r="I1126"/>
      <c r="J1126"/>
    </row>
    <row r="1127" spans="9:10">
      <c r="I1127"/>
      <c r="J1127"/>
    </row>
    <row r="1128" spans="9:10">
      <c r="I1128"/>
      <c r="J1128"/>
    </row>
    <row r="1129" spans="9:10">
      <c r="I1129"/>
      <c r="J1129"/>
    </row>
    <row r="1130" spans="9:10">
      <c r="I1130"/>
      <c r="J1130"/>
    </row>
    <row r="1131" spans="9:10">
      <c r="I1131"/>
      <c r="J1131"/>
    </row>
    <row r="1132" spans="9:10">
      <c r="I1132"/>
      <c r="J1132"/>
    </row>
    <row r="1133" spans="9:10">
      <c r="I1133"/>
      <c r="J1133"/>
    </row>
    <row r="1134" spans="9:10">
      <c r="I1134"/>
      <c r="J1134"/>
    </row>
    <row r="1135" spans="9:10">
      <c r="I1135"/>
      <c r="J1135"/>
    </row>
    <row r="1136" spans="9:10">
      <c r="I1136"/>
      <c r="J1136"/>
    </row>
    <row r="1137" spans="9:10">
      <c r="I1137"/>
      <c r="J1137"/>
    </row>
    <row r="1138" spans="9:10">
      <c r="I1138"/>
      <c r="J1138"/>
    </row>
    <row r="1139" spans="9:10">
      <c r="I1139"/>
      <c r="J1139"/>
    </row>
    <row r="1140" spans="9:10">
      <c r="I1140"/>
      <c r="J1140"/>
    </row>
    <row r="1141" spans="9:10">
      <c r="I1141"/>
      <c r="J1141"/>
    </row>
    <row r="1142" spans="9:10">
      <c r="I1142"/>
      <c r="J1142"/>
    </row>
    <row r="1143" spans="9:10">
      <c r="I1143"/>
      <c r="J1143"/>
    </row>
    <row r="1144" spans="9:10">
      <c r="I1144"/>
      <c r="J1144"/>
    </row>
    <row r="1145" spans="9:10">
      <c r="I1145"/>
      <c r="J1145"/>
    </row>
    <row r="1146" spans="9:10">
      <c r="I1146"/>
      <c r="J1146"/>
    </row>
    <row r="1147" spans="9:10">
      <c r="I1147"/>
      <c r="J1147"/>
    </row>
  </sheetData>
  <sortState xmlns:xlrd2="http://schemas.microsoft.com/office/spreadsheetml/2017/richdata2" ref="A3:B714">
    <sortCondition ref="A3:A714"/>
  </sortState>
  <phoneticPr fontId="27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6" t="s">
        <v>273</v>
      </c>
      <c r="B1" s="16" t="s">
        <v>262</v>
      </c>
      <c r="C1" s="16" t="s">
        <v>223</v>
      </c>
      <c r="D1" s="16" t="s">
        <v>259</v>
      </c>
      <c r="E1" s="16" t="s">
        <v>258</v>
      </c>
      <c r="F1" s="16" t="s">
        <v>27</v>
      </c>
      <c r="G1" s="16" t="s">
        <v>77</v>
      </c>
      <c r="H1" s="16" t="s">
        <v>278</v>
      </c>
      <c r="I1" s="16" t="s">
        <v>128</v>
      </c>
      <c r="J1" s="16" t="s">
        <v>308</v>
      </c>
    </row>
    <row r="2" spans="1:11" ht="17">
      <c r="A2" s="16" t="s">
        <v>32</v>
      </c>
      <c r="B2" s="16">
        <v>20.18</v>
      </c>
      <c r="C2" s="16">
        <v>0.18</v>
      </c>
      <c r="D2" s="16">
        <v>12847</v>
      </c>
      <c r="E2" s="16">
        <v>4158</v>
      </c>
      <c r="F2" s="16">
        <v>3160</v>
      </c>
      <c r="G2" s="16">
        <v>32.369999999999997</v>
      </c>
      <c r="H2" s="16">
        <v>24.6</v>
      </c>
      <c r="I2" s="16">
        <v>30.55</v>
      </c>
      <c r="J2" s="16">
        <v>4013</v>
      </c>
      <c r="K2">
        <f t="shared" ref="K2:K39" si="0">(C3-C2)/C2</f>
        <v>0</v>
      </c>
    </row>
    <row r="3" spans="1:11" ht="17">
      <c r="A3" s="16" t="s">
        <v>79</v>
      </c>
      <c r="B3" s="16">
        <v>22.16</v>
      </c>
      <c r="C3" s="16">
        <v>0.18</v>
      </c>
      <c r="D3" s="16">
        <v>13032</v>
      </c>
      <c r="E3" s="16">
        <v>3935</v>
      </c>
      <c r="F3" s="16">
        <v>2954</v>
      </c>
      <c r="G3" s="16">
        <v>30.19</v>
      </c>
      <c r="H3" s="16">
        <v>22.67</v>
      </c>
      <c r="I3" s="16">
        <v>31.07</v>
      </c>
      <c r="J3" s="16">
        <v>3971</v>
      </c>
      <c r="K3">
        <f t="shared" si="0"/>
        <v>0.16666666666666666</v>
      </c>
    </row>
    <row r="4" spans="1:11" ht="17">
      <c r="A4" s="16" t="s">
        <v>181</v>
      </c>
      <c r="B4" s="16">
        <v>21.335000000000001</v>
      </c>
      <c r="C4" s="16">
        <v>0.21</v>
      </c>
      <c r="D4" s="16">
        <v>14233</v>
      </c>
      <c r="E4" s="16">
        <v>4785</v>
      </c>
      <c r="F4" s="16">
        <v>3468</v>
      </c>
      <c r="G4" s="16">
        <v>33.619999999999997</v>
      </c>
      <c r="H4" s="16">
        <v>24.37</v>
      </c>
      <c r="I4" s="16">
        <v>31.6</v>
      </c>
      <c r="J4" s="16">
        <v>6349</v>
      </c>
      <c r="K4">
        <f t="shared" si="0"/>
        <v>0</v>
      </c>
    </row>
    <row r="5" spans="1:11" ht="17">
      <c r="A5" s="16" t="s">
        <v>217</v>
      </c>
      <c r="B5" s="16">
        <v>24.25</v>
      </c>
      <c r="C5" s="16">
        <v>0.21</v>
      </c>
      <c r="D5" s="16">
        <v>13887</v>
      </c>
      <c r="E5" s="16">
        <v>4599</v>
      </c>
      <c r="F5" s="16">
        <v>3360</v>
      </c>
      <c r="G5" s="16">
        <v>33.119999999999997</v>
      </c>
      <c r="H5" s="16">
        <v>24.2</v>
      </c>
      <c r="I5" s="16">
        <v>31.6</v>
      </c>
      <c r="J5" s="16">
        <v>6630</v>
      </c>
      <c r="K5">
        <f t="shared" si="0"/>
        <v>0</v>
      </c>
    </row>
    <row r="6" spans="1:11" ht="17">
      <c r="A6" s="16" t="s">
        <v>162</v>
      </c>
      <c r="B6" s="16">
        <v>28.114999999999998</v>
      </c>
      <c r="C6" s="16">
        <v>0.21</v>
      </c>
      <c r="D6" s="16">
        <v>12906</v>
      </c>
      <c r="E6" s="16">
        <v>3810</v>
      </c>
      <c r="F6" s="16">
        <v>2738</v>
      </c>
      <c r="G6" s="16">
        <v>29.52</v>
      </c>
      <c r="H6" s="16">
        <v>21.21</v>
      </c>
      <c r="I6" s="16">
        <v>32.74</v>
      </c>
      <c r="J6" s="16">
        <v>2972</v>
      </c>
      <c r="K6">
        <f t="shared" si="0"/>
        <v>0</v>
      </c>
    </row>
    <row r="7" spans="1:11" ht="17">
      <c r="A7" s="16" t="s">
        <v>64</v>
      </c>
      <c r="B7" s="16">
        <v>26.65</v>
      </c>
      <c r="C7" s="16">
        <v>0.21</v>
      </c>
      <c r="D7" s="16">
        <v>13501</v>
      </c>
      <c r="E7" s="16">
        <v>3832</v>
      </c>
      <c r="F7" s="16">
        <v>2827</v>
      </c>
      <c r="G7" s="16">
        <v>28.38</v>
      </c>
      <c r="H7" s="16">
        <v>20.94</v>
      </c>
      <c r="I7" s="16">
        <v>34.369999999999997</v>
      </c>
      <c r="J7" s="16">
        <v>4739</v>
      </c>
      <c r="K7">
        <f t="shared" si="0"/>
        <v>9.523809523809533E-2</v>
      </c>
    </row>
    <row r="8" spans="1:11" ht="17">
      <c r="A8" s="16" t="s">
        <v>226</v>
      </c>
      <c r="B8" s="16">
        <v>22.655000000000001</v>
      </c>
      <c r="C8" s="16">
        <v>0.23</v>
      </c>
      <c r="D8" s="16">
        <v>13457</v>
      </c>
      <c r="E8" s="16">
        <v>3841</v>
      </c>
      <c r="F8" s="16">
        <v>2972</v>
      </c>
      <c r="G8" s="16">
        <v>28.54</v>
      </c>
      <c r="H8" s="16">
        <v>22.09</v>
      </c>
      <c r="I8" s="16">
        <v>35.74</v>
      </c>
      <c r="J8" s="16">
        <v>5147</v>
      </c>
      <c r="K8">
        <f t="shared" si="0"/>
        <v>0</v>
      </c>
    </row>
    <row r="9" spans="1:11" ht="17">
      <c r="A9" s="16" t="s">
        <v>247</v>
      </c>
      <c r="B9" s="16">
        <v>20.62</v>
      </c>
      <c r="C9" s="16">
        <v>0.23</v>
      </c>
      <c r="D9" s="16">
        <v>13477</v>
      </c>
      <c r="E9" s="16">
        <v>3155</v>
      </c>
      <c r="F9" s="16">
        <v>2468</v>
      </c>
      <c r="G9" s="16">
        <v>23.41</v>
      </c>
      <c r="H9" s="16">
        <v>18.309999999999999</v>
      </c>
      <c r="I9" s="16">
        <v>40.85</v>
      </c>
      <c r="J9" s="16">
        <v>6026</v>
      </c>
      <c r="K9">
        <f t="shared" si="0"/>
        <v>0</v>
      </c>
    </row>
    <row r="10" spans="1:11" ht="17">
      <c r="A10" s="16" t="s">
        <v>19</v>
      </c>
      <c r="B10" s="16">
        <v>21.835000000000001</v>
      </c>
      <c r="C10" s="16">
        <v>0.23</v>
      </c>
      <c r="D10" s="16">
        <v>12580</v>
      </c>
      <c r="E10" s="16">
        <v>2519</v>
      </c>
      <c r="F10" s="16">
        <v>2045</v>
      </c>
      <c r="G10" s="16">
        <v>20.02</v>
      </c>
      <c r="H10" s="16">
        <v>16.260000000000002</v>
      </c>
      <c r="I10" s="16">
        <v>40.85</v>
      </c>
      <c r="J10" s="16">
        <v>4285</v>
      </c>
      <c r="K10">
        <f t="shared" si="0"/>
        <v>0</v>
      </c>
    </row>
    <row r="11" spans="1:11" ht="17">
      <c r="A11" s="16" t="s">
        <v>192</v>
      </c>
      <c r="B11" s="16">
        <v>24.23</v>
      </c>
      <c r="C11" s="16">
        <v>0.23</v>
      </c>
      <c r="D11" s="16">
        <v>12811</v>
      </c>
      <c r="E11" s="16">
        <v>2719</v>
      </c>
      <c r="F11" s="16">
        <v>2000</v>
      </c>
      <c r="G11" s="16">
        <v>21.22</v>
      </c>
      <c r="H11" s="16">
        <v>15.61</v>
      </c>
      <c r="I11" s="16">
        <v>44.25</v>
      </c>
      <c r="J11" s="16">
        <v>4722</v>
      </c>
      <c r="K11">
        <f t="shared" si="0"/>
        <v>0</v>
      </c>
    </row>
    <row r="12" spans="1:11" ht="17">
      <c r="A12" s="16" t="s">
        <v>160</v>
      </c>
      <c r="B12" s="16">
        <v>22.920999999999999</v>
      </c>
      <c r="C12" s="16">
        <v>0.23</v>
      </c>
      <c r="D12" s="16">
        <v>13483</v>
      </c>
      <c r="E12" s="16">
        <v>3628</v>
      </c>
      <c r="F12" s="16">
        <v>2950</v>
      </c>
      <c r="G12" s="16">
        <v>26.91</v>
      </c>
      <c r="H12" s="16">
        <v>21.88</v>
      </c>
      <c r="I12" s="16">
        <v>48.65</v>
      </c>
      <c r="J12" s="16">
        <v>5731</v>
      </c>
      <c r="K12">
        <f t="shared" si="0"/>
        <v>0</v>
      </c>
    </row>
    <row r="13" spans="1:11" ht="17">
      <c r="A13" s="16" t="s">
        <v>168</v>
      </c>
      <c r="B13" s="16">
        <v>25.954999999999998</v>
      </c>
      <c r="C13" s="16">
        <v>0.23</v>
      </c>
      <c r="D13" s="16">
        <v>13834</v>
      </c>
      <c r="E13" s="16">
        <v>3665</v>
      </c>
      <c r="F13" s="16">
        <v>2625</v>
      </c>
      <c r="G13" s="16">
        <v>26.49</v>
      </c>
      <c r="H13" s="16">
        <v>18.98</v>
      </c>
      <c r="I13" s="16">
        <v>48.65</v>
      </c>
      <c r="J13" s="16">
        <v>6038</v>
      </c>
      <c r="K13">
        <f t="shared" si="0"/>
        <v>0</v>
      </c>
    </row>
    <row r="14" spans="1:11" ht="17">
      <c r="A14" s="16" t="s">
        <v>63</v>
      </c>
      <c r="B14" s="16">
        <v>25.814</v>
      </c>
      <c r="C14" s="16">
        <v>0.23</v>
      </c>
      <c r="D14" s="16">
        <v>12764</v>
      </c>
      <c r="E14" s="16">
        <v>2647</v>
      </c>
      <c r="F14" s="16">
        <v>1930</v>
      </c>
      <c r="G14" s="16">
        <v>20.74</v>
      </c>
      <c r="H14" s="16">
        <v>15.12</v>
      </c>
      <c r="I14" s="16">
        <v>47.62</v>
      </c>
      <c r="J14" s="16">
        <v>3501</v>
      </c>
      <c r="K14">
        <f t="shared" si="0"/>
        <v>0</v>
      </c>
    </row>
    <row r="15" spans="1:11" ht="17">
      <c r="A15" s="16" t="s">
        <v>14</v>
      </c>
      <c r="B15" s="16">
        <v>30.9</v>
      </c>
      <c r="C15" s="16">
        <v>0.23</v>
      </c>
      <c r="D15" s="16">
        <v>13831</v>
      </c>
      <c r="E15" s="16">
        <v>3925</v>
      </c>
      <c r="F15" s="16">
        <v>2796</v>
      </c>
      <c r="G15" s="16">
        <v>28.38</v>
      </c>
      <c r="H15" s="16">
        <v>20.22</v>
      </c>
      <c r="I15" s="16">
        <v>48.13</v>
      </c>
      <c r="J15" s="16">
        <v>5453</v>
      </c>
      <c r="K15">
        <f t="shared" si="0"/>
        <v>0</v>
      </c>
    </row>
    <row r="16" spans="1:11" ht="17">
      <c r="A16" s="16" t="s">
        <v>288</v>
      </c>
      <c r="B16" s="16">
        <v>34.82</v>
      </c>
      <c r="C16" s="16">
        <v>0.23</v>
      </c>
      <c r="D16" s="16">
        <v>14554</v>
      </c>
      <c r="E16" s="16">
        <v>4560</v>
      </c>
      <c r="F16" s="16">
        <v>3317</v>
      </c>
      <c r="G16" s="16">
        <v>31.33</v>
      </c>
      <c r="H16" s="16">
        <v>22.79</v>
      </c>
      <c r="I16" s="16">
        <v>44.55</v>
      </c>
      <c r="J16" s="16">
        <v>5693</v>
      </c>
      <c r="K16">
        <f t="shared" si="0"/>
        <v>0</v>
      </c>
    </row>
    <row r="17" spans="1:11" ht="17">
      <c r="A17" s="16" t="s">
        <v>133</v>
      </c>
      <c r="B17" s="16">
        <v>36.29</v>
      </c>
      <c r="C17" s="16">
        <v>0.23</v>
      </c>
      <c r="D17" s="16">
        <v>14721</v>
      </c>
      <c r="E17" s="16">
        <v>4510</v>
      </c>
      <c r="F17" s="16">
        <v>3661</v>
      </c>
      <c r="G17" s="16">
        <v>30.64</v>
      </c>
      <c r="H17" s="16">
        <v>24.87</v>
      </c>
      <c r="I17" s="16">
        <v>42.86</v>
      </c>
      <c r="J17" s="16">
        <v>5771</v>
      </c>
      <c r="K17">
        <f t="shared" si="0"/>
        <v>4.3478260869565133E-2</v>
      </c>
    </row>
    <row r="18" spans="1:11" ht="17">
      <c r="A18" s="16" t="s">
        <v>36</v>
      </c>
      <c r="B18" s="16">
        <v>31.27</v>
      </c>
      <c r="C18" s="16">
        <v>0.24</v>
      </c>
      <c r="D18" s="16">
        <v>12781</v>
      </c>
      <c r="E18" s="16">
        <v>2720</v>
      </c>
      <c r="F18" s="16">
        <v>1992</v>
      </c>
      <c r="G18" s="16">
        <v>21.28</v>
      </c>
      <c r="H18" s="16">
        <v>15.59</v>
      </c>
      <c r="I18" s="16">
        <v>38.96</v>
      </c>
      <c r="J18" s="16">
        <v>4415</v>
      </c>
      <c r="K18">
        <f t="shared" si="0"/>
        <v>0</v>
      </c>
    </row>
    <row r="19" spans="1:11" ht="17">
      <c r="A19" s="16" t="s">
        <v>190</v>
      </c>
      <c r="B19" s="16">
        <v>30.414999999999999</v>
      </c>
      <c r="C19" s="16">
        <v>0.24</v>
      </c>
      <c r="D19" s="16">
        <v>13195</v>
      </c>
      <c r="E19" s="16">
        <v>3144</v>
      </c>
      <c r="F19" s="16">
        <v>2706</v>
      </c>
      <c r="G19" s="16">
        <v>23.83</v>
      </c>
      <c r="H19" s="16">
        <v>20.51</v>
      </c>
      <c r="I19" s="16">
        <v>39.1</v>
      </c>
      <c r="J19" s="16">
        <v>3440</v>
      </c>
      <c r="K19">
        <f t="shared" si="0"/>
        <v>0</v>
      </c>
    </row>
    <row r="20" spans="1:11" ht="17">
      <c r="A20" s="16" t="s">
        <v>256</v>
      </c>
      <c r="B20" s="16">
        <v>30.14</v>
      </c>
      <c r="C20" s="16">
        <v>0.24</v>
      </c>
      <c r="D20" s="16">
        <v>14465</v>
      </c>
      <c r="E20" s="16">
        <v>4206</v>
      </c>
      <c r="F20" s="16">
        <v>3109</v>
      </c>
      <c r="G20" s="16">
        <v>29.08</v>
      </c>
      <c r="H20" s="16">
        <v>21.49</v>
      </c>
      <c r="I20" s="16">
        <v>39.57</v>
      </c>
      <c r="J20" s="16">
        <v>5735</v>
      </c>
      <c r="K20">
        <f t="shared" si="0"/>
        <v>0</v>
      </c>
    </row>
    <row r="21" spans="1:11" ht="17">
      <c r="A21" s="16" t="s">
        <v>203</v>
      </c>
      <c r="B21" s="16">
        <v>34.450000000000003</v>
      </c>
      <c r="C21" s="16">
        <v>0.24</v>
      </c>
      <c r="D21" s="16">
        <v>14914</v>
      </c>
      <c r="E21" s="16">
        <v>4286</v>
      </c>
      <c r="F21" s="16">
        <v>3613</v>
      </c>
      <c r="G21" s="16">
        <v>28.74</v>
      </c>
      <c r="H21" s="16">
        <v>24.23</v>
      </c>
      <c r="I21" s="16">
        <v>40.729999999999997</v>
      </c>
      <c r="J21" s="16">
        <v>5427</v>
      </c>
      <c r="K21">
        <f t="shared" si="0"/>
        <v>8.3333333333333412E-2</v>
      </c>
    </row>
    <row r="22" spans="1:11" ht="17">
      <c r="A22" s="16" t="s">
        <v>89</v>
      </c>
      <c r="B22" s="16">
        <v>32.35</v>
      </c>
      <c r="C22" s="16">
        <v>0.26</v>
      </c>
      <c r="D22" s="16">
        <v>13702</v>
      </c>
      <c r="E22" s="16">
        <v>2568</v>
      </c>
      <c r="F22" s="16">
        <v>2046</v>
      </c>
      <c r="G22" s="16">
        <v>18.739999999999998</v>
      </c>
      <c r="H22" s="16">
        <v>14.93</v>
      </c>
      <c r="I22" s="16">
        <v>41.2</v>
      </c>
      <c r="J22" s="16">
        <v>4055</v>
      </c>
      <c r="K22">
        <f t="shared" si="0"/>
        <v>0</v>
      </c>
    </row>
    <row r="23" spans="1:11" ht="17">
      <c r="A23" s="16" t="s">
        <v>127</v>
      </c>
      <c r="B23" s="16">
        <v>32.799999999999997</v>
      </c>
      <c r="C23" s="16">
        <v>0.26</v>
      </c>
      <c r="D23" s="16">
        <v>13533</v>
      </c>
      <c r="E23" s="16">
        <v>2732</v>
      </c>
      <c r="F23" s="16">
        <v>1330</v>
      </c>
      <c r="G23" s="16">
        <v>20.190000000000001</v>
      </c>
      <c r="H23" s="16">
        <v>9.83</v>
      </c>
      <c r="I23" s="16">
        <v>41.88</v>
      </c>
      <c r="J23" s="16">
        <v>3845</v>
      </c>
      <c r="K23">
        <f t="shared" si="0"/>
        <v>0</v>
      </c>
    </row>
    <row r="24" spans="1:11" ht="17">
      <c r="A24" s="16" t="s">
        <v>88</v>
      </c>
      <c r="B24" s="16">
        <v>37.75</v>
      </c>
      <c r="C24" s="16">
        <v>0.26</v>
      </c>
      <c r="D24" s="16">
        <v>15778</v>
      </c>
      <c r="E24" s="16">
        <v>4834</v>
      </c>
      <c r="F24" s="16">
        <v>3378</v>
      </c>
      <c r="G24" s="16">
        <v>30.64</v>
      </c>
      <c r="H24" s="16">
        <v>21.41</v>
      </c>
      <c r="I24" s="16">
        <v>48.54</v>
      </c>
      <c r="J24" s="16">
        <v>5758</v>
      </c>
      <c r="K24">
        <f t="shared" si="0"/>
        <v>0</v>
      </c>
    </row>
    <row r="25" spans="1:11" ht="17">
      <c r="A25" s="16" t="s">
        <v>24</v>
      </c>
      <c r="B25" s="16">
        <v>36.270000000000003</v>
      </c>
      <c r="C25" s="16">
        <v>0.26</v>
      </c>
      <c r="D25" s="16">
        <v>16374</v>
      </c>
      <c r="E25" s="16">
        <v>4626</v>
      </c>
      <c r="F25" s="16">
        <v>3562</v>
      </c>
      <c r="G25" s="16">
        <v>28.25</v>
      </c>
      <c r="H25" s="16">
        <v>21.75</v>
      </c>
      <c r="I25" s="16">
        <v>47.89</v>
      </c>
      <c r="J25" s="16">
        <v>8150</v>
      </c>
      <c r="K25">
        <f t="shared" si="0"/>
        <v>0</v>
      </c>
    </row>
    <row r="26" spans="1:11" ht="17">
      <c r="A26" s="16" t="s">
        <v>55</v>
      </c>
      <c r="B26" s="16">
        <v>36.07</v>
      </c>
      <c r="C26" s="16">
        <v>0.26</v>
      </c>
      <c r="D26" s="16">
        <v>14796</v>
      </c>
      <c r="E26" s="16">
        <v>3679</v>
      </c>
      <c r="F26" s="16">
        <v>2964</v>
      </c>
      <c r="G26" s="16">
        <v>24.86</v>
      </c>
      <c r="H26" s="16">
        <v>20.03</v>
      </c>
      <c r="I26" s="16">
        <v>49.06</v>
      </c>
      <c r="J26" s="16">
        <v>3898</v>
      </c>
      <c r="K26">
        <f t="shared" si="0"/>
        <v>3.8461538461538491E-2</v>
      </c>
    </row>
    <row r="27" spans="1:11" ht="17">
      <c r="A27" s="16" t="s">
        <v>183</v>
      </c>
      <c r="B27" s="16">
        <v>33.74</v>
      </c>
      <c r="C27" s="16">
        <v>0.27</v>
      </c>
      <c r="D27" s="16">
        <v>14763</v>
      </c>
      <c r="E27" s="16">
        <v>3932</v>
      </c>
      <c r="F27" s="16">
        <v>2808</v>
      </c>
      <c r="G27" s="16">
        <v>26.63</v>
      </c>
      <c r="H27" s="16">
        <v>19.02</v>
      </c>
      <c r="I27" s="16">
        <v>45.02</v>
      </c>
      <c r="J27" s="16">
        <v>4707</v>
      </c>
      <c r="K27">
        <f t="shared" si="0"/>
        <v>0</v>
      </c>
    </row>
    <row r="28" spans="1:11" ht="17">
      <c r="A28" s="16" t="s">
        <v>34</v>
      </c>
      <c r="B28" s="16">
        <v>38.08</v>
      </c>
      <c r="C28" s="16">
        <v>0.27</v>
      </c>
      <c r="D28" s="16">
        <v>16149</v>
      </c>
      <c r="E28" s="16">
        <v>5119</v>
      </c>
      <c r="F28" s="16">
        <v>4516</v>
      </c>
      <c r="G28" s="16">
        <v>31.7</v>
      </c>
      <c r="H28" s="16">
        <v>27.96</v>
      </c>
      <c r="I28" s="16">
        <v>40.17</v>
      </c>
      <c r="J28" s="16">
        <v>6264</v>
      </c>
      <c r="K28">
        <f t="shared" si="0"/>
        <v>0</v>
      </c>
    </row>
    <row r="29" spans="1:11" ht="17">
      <c r="A29" s="16" t="s">
        <v>173</v>
      </c>
      <c r="B29" s="16">
        <v>46.16</v>
      </c>
      <c r="C29" s="16">
        <v>0.27</v>
      </c>
      <c r="D29" s="16">
        <v>17053</v>
      </c>
      <c r="E29" s="16">
        <v>5590</v>
      </c>
      <c r="F29" s="16">
        <v>-687</v>
      </c>
      <c r="G29" s="16">
        <v>32.78</v>
      </c>
      <c r="H29" s="16">
        <v>-4.03</v>
      </c>
      <c r="I29" s="16">
        <v>37.369999999999997</v>
      </c>
      <c r="J29" s="16">
        <v>7241</v>
      </c>
      <c r="K29">
        <f t="shared" si="0"/>
        <v>0.11111111111111099</v>
      </c>
    </row>
    <row r="30" spans="1:11" ht="17">
      <c r="A30" s="16" t="s">
        <v>282</v>
      </c>
      <c r="B30" s="16">
        <v>52.08</v>
      </c>
      <c r="C30" s="16">
        <v>0.3</v>
      </c>
      <c r="D30" s="16">
        <v>16066</v>
      </c>
      <c r="E30" s="16">
        <v>4470</v>
      </c>
      <c r="F30" s="16">
        <v>4454</v>
      </c>
      <c r="G30" s="16">
        <v>27.82</v>
      </c>
      <c r="H30" s="16">
        <v>27.72</v>
      </c>
      <c r="I30" s="16">
        <v>54.15</v>
      </c>
      <c r="J30" s="16">
        <v>6284</v>
      </c>
      <c r="K30">
        <f t="shared" si="0"/>
        <v>0</v>
      </c>
    </row>
    <row r="31" spans="1:11" ht="17">
      <c r="A31" s="16" t="s">
        <v>110</v>
      </c>
      <c r="B31" s="16">
        <v>49.71</v>
      </c>
      <c r="C31" s="16">
        <v>0.3</v>
      </c>
      <c r="D31" s="16">
        <v>16962</v>
      </c>
      <c r="E31" s="16">
        <v>5273</v>
      </c>
      <c r="F31" s="16">
        <v>5006</v>
      </c>
      <c r="G31" s="16">
        <v>31.09</v>
      </c>
      <c r="H31" s="16">
        <v>29.51</v>
      </c>
      <c r="I31" s="16">
        <v>48.38</v>
      </c>
      <c r="J31" s="16">
        <v>7413</v>
      </c>
      <c r="K31">
        <f t="shared" si="0"/>
        <v>0</v>
      </c>
    </row>
    <row r="32" spans="1:11" ht="17">
      <c r="A32" s="16" t="s">
        <v>52</v>
      </c>
      <c r="B32" s="16">
        <v>47.29</v>
      </c>
      <c r="C32" s="16">
        <v>0.3</v>
      </c>
      <c r="D32" s="16">
        <v>19163</v>
      </c>
      <c r="E32" s="16">
        <v>7277</v>
      </c>
      <c r="F32" s="16">
        <v>6398</v>
      </c>
      <c r="G32" s="16">
        <v>37.97</v>
      </c>
      <c r="H32" s="16">
        <v>33.39</v>
      </c>
      <c r="I32" s="16">
        <v>41.19</v>
      </c>
      <c r="J32" s="16">
        <v>8835</v>
      </c>
      <c r="K32">
        <f t="shared" si="0"/>
        <v>0</v>
      </c>
    </row>
    <row r="33" spans="1:11" ht="17">
      <c r="A33" s="16" t="s">
        <v>107</v>
      </c>
      <c r="B33" s="16">
        <v>46.93</v>
      </c>
      <c r="C33" s="16">
        <v>0.3</v>
      </c>
      <c r="D33" s="16">
        <v>18657</v>
      </c>
      <c r="E33" s="16">
        <v>6224</v>
      </c>
      <c r="F33" s="16">
        <v>5195</v>
      </c>
      <c r="G33" s="16">
        <v>33.36</v>
      </c>
      <c r="H33" s="16">
        <v>27.84</v>
      </c>
      <c r="I33" s="16">
        <v>36.409999999999997</v>
      </c>
      <c r="J33" s="16">
        <v>6900</v>
      </c>
      <c r="K33">
        <f t="shared" si="0"/>
        <v>6.6666666666666735E-2</v>
      </c>
    </row>
    <row r="34" spans="1:11" ht="17">
      <c r="A34" s="16" t="s">
        <v>18</v>
      </c>
      <c r="B34" s="16">
        <v>53.7</v>
      </c>
      <c r="C34" s="16">
        <v>0.32</v>
      </c>
      <c r="D34" s="16">
        <v>16061</v>
      </c>
      <c r="E34" s="16">
        <v>4174</v>
      </c>
      <c r="F34" s="16">
        <v>3974</v>
      </c>
      <c r="G34" s="16">
        <v>25.99</v>
      </c>
      <c r="H34" s="16">
        <v>24.74</v>
      </c>
      <c r="I34" s="16">
        <v>26.79</v>
      </c>
      <c r="J34" s="16">
        <v>4959</v>
      </c>
      <c r="K34">
        <f t="shared" si="0"/>
        <v>0</v>
      </c>
    </row>
    <row r="35" spans="1:11" ht="17">
      <c r="A35" s="16" t="s">
        <v>222</v>
      </c>
      <c r="B35" s="16">
        <v>47.87</v>
      </c>
      <c r="C35" s="16">
        <v>0.32</v>
      </c>
      <c r="D35" s="16">
        <v>16505</v>
      </c>
      <c r="E35" s="16">
        <v>4801</v>
      </c>
      <c r="F35" s="16">
        <v>4179</v>
      </c>
      <c r="G35" s="16">
        <v>29.09</v>
      </c>
      <c r="H35" s="16">
        <v>25.32</v>
      </c>
      <c r="I35" s="16">
        <v>27.49</v>
      </c>
      <c r="J35" s="16">
        <v>7587</v>
      </c>
      <c r="K35">
        <f t="shared" si="0"/>
        <v>0</v>
      </c>
    </row>
    <row r="36" spans="1:11" ht="17">
      <c r="A36" s="16" t="s">
        <v>170</v>
      </c>
      <c r="B36" s="16">
        <v>51.53</v>
      </c>
      <c r="C36" s="16">
        <v>0.32</v>
      </c>
      <c r="D36" s="16">
        <v>19190</v>
      </c>
      <c r="E36" s="16">
        <v>6551</v>
      </c>
      <c r="F36" s="16">
        <v>5990</v>
      </c>
      <c r="G36" s="16">
        <v>34.14</v>
      </c>
      <c r="H36" s="16">
        <v>31.21</v>
      </c>
      <c r="I36" s="16">
        <v>28.67</v>
      </c>
      <c r="J36" s="16">
        <v>10711</v>
      </c>
      <c r="K36">
        <f t="shared" si="0"/>
        <v>0</v>
      </c>
    </row>
    <row r="37" spans="1:11" ht="17">
      <c r="A37" s="16" t="s">
        <v>250</v>
      </c>
      <c r="B37" s="16">
        <v>59.85</v>
      </c>
      <c r="C37" s="16">
        <v>0.32</v>
      </c>
      <c r="D37" s="16">
        <v>20209</v>
      </c>
      <c r="E37" s="16">
        <v>6902</v>
      </c>
      <c r="F37" s="16">
        <v>6905</v>
      </c>
      <c r="G37" s="16">
        <v>34.15</v>
      </c>
      <c r="H37" s="16">
        <v>34.17</v>
      </c>
      <c r="I37" s="16">
        <v>29.16</v>
      </c>
      <c r="J37" s="16">
        <v>9888</v>
      </c>
      <c r="K37">
        <f t="shared" si="0"/>
        <v>3.1250000000000028E-2</v>
      </c>
    </row>
    <row r="38" spans="1:11" ht="17">
      <c r="A38" s="16" t="s">
        <v>126</v>
      </c>
      <c r="B38" s="16">
        <v>54.12</v>
      </c>
      <c r="C38" s="16">
        <v>0.33</v>
      </c>
      <c r="D38" s="16">
        <v>19828</v>
      </c>
      <c r="E38" s="16">
        <v>7200</v>
      </c>
      <c r="F38" s="16">
        <v>5661</v>
      </c>
      <c r="G38" s="16">
        <v>36.31</v>
      </c>
      <c r="H38" s="16">
        <v>28.55</v>
      </c>
      <c r="I38" s="16">
        <v>26.75</v>
      </c>
      <c r="J38" s="16">
        <v>6158</v>
      </c>
      <c r="K38">
        <f t="shared" si="0"/>
        <v>0</v>
      </c>
    </row>
    <row r="39" spans="1:11" ht="17">
      <c r="A39" s="16" t="s">
        <v>161</v>
      </c>
      <c r="B39" s="16">
        <v>59.83</v>
      </c>
      <c r="C39" s="16">
        <v>0.33</v>
      </c>
      <c r="D39" s="16">
        <v>19728</v>
      </c>
      <c r="E39" s="16">
        <v>5706</v>
      </c>
      <c r="F39" s="16">
        <v>5105</v>
      </c>
      <c r="G39" s="16">
        <v>28.92</v>
      </c>
      <c r="H39" s="16">
        <v>25.88</v>
      </c>
      <c r="I39" s="16">
        <v>24.76</v>
      </c>
      <c r="J39" s="16">
        <v>11157</v>
      </c>
      <c r="K39">
        <f t="shared" si="0"/>
        <v>0</v>
      </c>
    </row>
    <row r="40" spans="1:11" ht="17">
      <c r="A40" s="16" t="s">
        <v>28</v>
      </c>
      <c r="B40" s="16">
        <v>51.78</v>
      </c>
      <c r="C40" s="16">
        <v>0.33</v>
      </c>
      <c r="D40" s="16">
        <v>18333</v>
      </c>
      <c r="E40" s="16">
        <v>5034</v>
      </c>
      <c r="F40" s="16">
        <v>4276</v>
      </c>
      <c r="G40" s="16">
        <v>27.46</v>
      </c>
      <c r="H40" s="16">
        <v>23.32</v>
      </c>
      <c r="I40" s="16">
        <v>23.8</v>
      </c>
      <c r="J40" s="16">
        <v>8179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7" t="s">
        <v>273</v>
      </c>
      <c r="B1" s="17" t="s">
        <v>262</v>
      </c>
      <c r="C1" s="17" t="s">
        <v>223</v>
      </c>
      <c r="D1" s="17" t="s">
        <v>259</v>
      </c>
      <c r="E1" s="17" t="s">
        <v>258</v>
      </c>
      <c r="F1" s="17" t="s">
        <v>27</v>
      </c>
      <c r="G1" s="17" t="s">
        <v>77</v>
      </c>
      <c r="H1" s="17" t="s">
        <v>278</v>
      </c>
      <c r="I1" s="17" t="s">
        <v>128</v>
      </c>
      <c r="J1" s="17" t="s">
        <v>308</v>
      </c>
    </row>
    <row r="2" spans="1:11" ht="17">
      <c r="A2" s="17" t="s">
        <v>32</v>
      </c>
      <c r="B2" s="17">
        <v>59.25</v>
      </c>
      <c r="C2" s="17">
        <v>0.54</v>
      </c>
      <c r="D2" s="17">
        <v>16173</v>
      </c>
      <c r="E2" s="17">
        <v>4601</v>
      </c>
      <c r="F2" s="17">
        <v>3476</v>
      </c>
      <c r="G2" s="17">
        <v>28.45</v>
      </c>
      <c r="H2" s="17">
        <v>21.49</v>
      </c>
      <c r="I2" s="17">
        <v>48.98</v>
      </c>
      <c r="J2" s="17">
        <v>2316</v>
      </c>
      <c r="K2">
        <f t="shared" ref="K2:K39" si="0">(C3-C2)/C2</f>
        <v>5.5555555555555393E-2</v>
      </c>
    </row>
    <row r="3" spans="1:11" ht="17">
      <c r="A3" s="17" t="s">
        <v>79</v>
      </c>
      <c r="B3" s="17">
        <v>66.52</v>
      </c>
      <c r="C3" s="17">
        <v>0.56999999999999995</v>
      </c>
      <c r="D3" s="17">
        <v>16597</v>
      </c>
      <c r="E3" s="17">
        <v>4328</v>
      </c>
      <c r="F3" s="17">
        <v>2776</v>
      </c>
      <c r="G3" s="17">
        <v>26.08</v>
      </c>
      <c r="H3" s="17">
        <v>16.73</v>
      </c>
      <c r="I3" s="17">
        <v>52.39</v>
      </c>
      <c r="J3" s="17">
        <v>3909</v>
      </c>
      <c r="K3">
        <f t="shared" si="0"/>
        <v>0</v>
      </c>
    </row>
    <row r="4" spans="1:11" ht="17">
      <c r="A4" s="17" t="s">
        <v>181</v>
      </c>
      <c r="B4" s="17">
        <v>63.69</v>
      </c>
      <c r="C4" s="17">
        <v>0.56999999999999995</v>
      </c>
      <c r="D4" s="17">
        <v>16005</v>
      </c>
      <c r="E4" s="17">
        <v>3920</v>
      </c>
      <c r="F4" s="17">
        <v>3202</v>
      </c>
      <c r="G4" s="17">
        <v>24.49</v>
      </c>
      <c r="H4" s="17">
        <v>20.010000000000002</v>
      </c>
      <c r="I4" s="17">
        <v>54.15</v>
      </c>
      <c r="J4" s="17">
        <v>4622</v>
      </c>
      <c r="K4">
        <f t="shared" si="0"/>
        <v>0</v>
      </c>
    </row>
    <row r="5" spans="1:11" ht="17">
      <c r="A5" s="17" t="s">
        <v>217</v>
      </c>
      <c r="B5" s="17">
        <v>65.58</v>
      </c>
      <c r="C5" s="17">
        <v>0.56999999999999995</v>
      </c>
      <c r="D5" s="17">
        <v>16255</v>
      </c>
      <c r="E5" s="17">
        <v>3304</v>
      </c>
      <c r="F5" s="17">
        <v>218</v>
      </c>
      <c r="G5" s="17">
        <v>20.329999999999998</v>
      </c>
      <c r="H5" s="17">
        <v>1.34</v>
      </c>
      <c r="I5" s="17">
        <v>54.15</v>
      </c>
      <c r="J5" s="17">
        <v>3451</v>
      </c>
      <c r="K5">
        <f t="shared" si="0"/>
        <v>0</v>
      </c>
    </row>
    <row r="6" spans="1:11" ht="17">
      <c r="A6" s="17" t="s">
        <v>162</v>
      </c>
      <c r="B6" s="17">
        <v>65.959999999999994</v>
      </c>
      <c r="C6" s="17">
        <v>0.56999999999999995</v>
      </c>
      <c r="D6" s="17">
        <v>16139</v>
      </c>
      <c r="E6" s="17">
        <v>4564</v>
      </c>
      <c r="F6" s="17">
        <v>3910</v>
      </c>
      <c r="G6" s="17">
        <v>28.28</v>
      </c>
      <c r="H6" s="17">
        <v>24.23</v>
      </c>
      <c r="I6" s="17">
        <v>64.47</v>
      </c>
      <c r="J6" s="17">
        <v>2795</v>
      </c>
      <c r="K6">
        <f t="shared" si="0"/>
        <v>7.0175438596491294E-2</v>
      </c>
    </row>
    <row r="7" spans="1:11" ht="17">
      <c r="A7" s="17" t="s">
        <v>64</v>
      </c>
      <c r="B7" s="17">
        <v>67.56</v>
      </c>
      <c r="C7" s="17">
        <v>0.61</v>
      </c>
      <c r="D7" s="17">
        <v>16475</v>
      </c>
      <c r="E7" s="17">
        <v>4172</v>
      </c>
      <c r="F7" s="17">
        <v>1408</v>
      </c>
      <c r="G7" s="17">
        <v>25.32</v>
      </c>
      <c r="H7" s="17">
        <v>8.5500000000000007</v>
      </c>
      <c r="I7" s="17">
        <v>62.47</v>
      </c>
      <c r="J7" s="17">
        <v>4728</v>
      </c>
      <c r="K7">
        <f t="shared" si="0"/>
        <v>0</v>
      </c>
    </row>
    <row r="8" spans="1:11" ht="17">
      <c r="A8" s="17" t="s">
        <v>226</v>
      </c>
      <c r="B8" s="17">
        <v>68.91</v>
      </c>
      <c r="C8" s="17">
        <v>0.61</v>
      </c>
      <c r="D8" s="17">
        <v>17052</v>
      </c>
      <c r="E8" s="17">
        <v>4304</v>
      </c>
      <c r="F8" s="17">
        <v>2968</v>
      </c>
      <c r="G8" s="17">
        <v>25.24</v>
      </c>
      <c r="H8" s="17">
        <v>17.41</v>
      </c>
      <c r="I8" s="17">
        <v>73.650000000000006</v>
      </c>
      <c r="J8" s="17">
        <v>4497</v>
      </c>
      <c r="K8">
        <f t="shared" si="0"/>
        <v>0</v>
      </c>
    </row>
    <row r="9" spans="1:11" ht="17">
      <c r="A9" s="17" t="s">
        <v>247</v>
      </c>
      <c r="B9" s="17">
        <v>70.099999999999994</v>
      </c>
      <c r="C9" s="17">
        <v>0.61</v>
      </c>
      <c r="D9" s="17">
        <v>17558</v>
      </c>
      <c r="E9" s="17">
        <v>2400</v>
      </c>
      <c r="F9" s="17">
        <v>2567</v>
      </c>
      <c r="G9" s="17">
        <v>13.67</v>
      </c>
      <c r="H9" s="17">
        <v>14.62</v>
      </c>
      <c r="I9" s="17">
        <v>62.18</v>
      </c>
      <c r="J9" s="17">
        <v>3376</v>
      </c>
      <c r="K9">
        <f t="shared" si="0"/>
        <v>0</v>
      </c>
    </row>
    <row r="10" spans="1:11" ht="17">
      <c r="A10" s="17" t="s">
        <v>19</v>
      </c>
      <c r="B10" s="17">
        <v>81.53</v>
      </c>
      <c r="C10" s="17">
        <v>0.61</v>
      </c>
      <c r="D10" s="17">
        <v>17505</v>
      </c>
      <c r="E10" s="17">
        <v>4880</v>
      </c>
      <c r="F10" s="17">
        <v>3497</v>
      </c>
      <c r="G10" s="17">
        <v>27.88</v>
      </c>
      <c r="H10" s="17">
        <v>19.98</v>
      </c>
      <c r="I10" s="17">
        <v>62.18</v>
      </c>
      <c r="J10" s="17">
        <v>2277</v>
      </c>
      <c r="K10">
        <f t="shared" si="0"/>
        <v>8.1967213114754175E-2</v>
      </c>
    </row>
    <row r="11" spans="1:11" ht="17">
      <c r="A11" s="17" t="s">
        <v>192</v>
      </c>
      <c r="B11" s="17">
        <v>85.86</v>
      </c>
      <c r="C11" s="17">
        <v>0.66</v>
      </c>
      <c r="D11" s="17">
        <v>17877</v>
      </c>
      <c r="E11" s="17">
        <v>5066</v>
      </c>
      <c r="F11" s="17">
        <v>3833</v>
      </c>
      <c r="G11" s="17">
        <v>28.34</v>
      </c>
      <c r="H11" s="17">
        <v>21.44</v>
      </c>
      <c r="I11" s="17">
        <v>66.489999999999995</v>
      </c>
      <c r="J11" s="17">
        <v>5051</v>
      </c>
      <c r="K11">
        <f t="shared" si="0"/>
        <v>0</v>
      </c>
    </row>
    <row r="12" spans="1:11" ht="17">
      <c r="A12" s="17" t="s">
        <v>160</v>
      </c>
      <c r="B12" s="17">
        <v>86.69</v>
      </c>
      <c r="C12" s="17">
        <v>0.66</v>
      </c>
      <c r="D12" s="17">
        <v>17575</v>
      </c>
      <c r="E12" s="17">
        <v>4697</v>
      </c>
      <c r="F12" s="17">
        <v>2982</v>
      </c>
      <c r="G12" s="17">
        <v>26.73</v>
      </c>
      <c r="H12" s="17">
        <v>16.97</v>
      </c>
      <c r="I12" s="17">
        <v>55.33</v>
      </c>
      <c r="J12" s="17">
        <v>5947</v>
      </c>
      <c r="K12">
        <f t="shared" si="0"/>
        <v>0</v>
      </c>
    </row>
    <row r="13" spans="1:11" ht="17">
      <c r="A13" s="17" t="s">
        <v>168</v>
      </c>
      <c r="B13" s="17">
        <v>91.59</v>
      </c>
      <c r="C13" s="17">
        <v>0.66</v>
      </c>
      <c r="D13" s="17">
        <v>18355</v>
      </c>
      <c r="E13" s="17">
        <v>3734</v>
      </c>
      <c r="F13" s="17">
        <v>3519</v>
      </c>
      <c r="G13" s="17">
        <v>20.34</v>
      </c>
      <c r="H13" s="17">
        <v>19.170000000000002</v>
      </c>
      <c r="I13" s="17">
        <v>56.7</v>
      </c>
      <c r="J13" s="17">
        <v>4139</v>
      </c>
      <c r="K13">
        <f t="shared" si="0"/>
        <v>0</v>
      </c>
    </row>
    <row r="14" spans="1:11" ht="17">
      <c r="A14" s="17" t="s">
        <v>63</v>
      </c>
      <c r="B14" s="17">
        <v>98.23</v>
      </c>
      <c r="C14" s="17">
        <v>0.66</v>
      </c>
      <c r="D14" s="17">
        <v>18115</v>
      </c>
      <c r="E14" s="17">
        <v>5628</v>
      </c>
      <c r="F14" s="17">
        <v>4727</v>
      </c>
      <c r="G14" s="17">
        <v>31.07</v>
      </c>
      <c r="H14" s="17">
        <v>26.09</v>
      </c>
      <c r="I14" s="17">
        <v>53.85</v>
      </c>
      <c r="J14" s="17">
        <v>3923</v>
      </c>
      <c r="K14">
        <f t="shared" si="0"/>
        <v>6.060606060606049E-2</v>
      </c>
    </row>
    <row r="15" spans="1:11" ht="17">
      <c r="A15" s="17" t="s">
        <v>14</v>
      </c>
      <c r="B15" s="17">
        <v>104.62</v>
      </c>
      <c r="C15" s="17">
        <v>0.7</v>
      </c>
      <c r="D15" s="17">
        <v>19495</v>
      </c>
      <c r="E15" s="17">
        <v>5966</v>
      </c>
      <c r="F15" s="17">
        <v>4326</v>
      </c>
      <c r="G15" s="17">
        <v>30.6</v>
      </c>
      <c r="H15" s="17">
        <v>22.19</v>
      </c>
      <c r="I15" s="17">
        <v>50.48</v>
      </c>
      <c r="J15" s="17">
        <v>5529</v>
      </c>
      <c r="K15">
        <f t="shared" si="0"/>
        <v>0</v>
      </c>
    </row>
    <row r="16" spans="1:11" ht="17">
      <c r="A16" s="17" t="s">
        <v>288</v>
      </c>
      <c r="B16" s="17">
        <v>106.59</v>
      </c>
      <c r="C16" s="17">
        <v>0.7</v>
      </c>
      <c r="D16" s="17">
        <v>18467</v>
      </c>
      <c r="E16" s="17">
        <v>5577</v>
      </c>
      <c r="F16" s="17">
        <v>4749</v>
      </c>
      <c r="G16" s="17">
        <v>30.2</v>
      </c>
      <c r="H16" s="17">
        <v>25.72</v>
      </c>
      <c r="I16" s="17">
        <v>49.54</v>
      </c>
      <c r="J16" s="17">
        <v>4654</v>
      </c>
      <c r="K16">
        <f t="shared" si="0"/>
        <v>0</v>
      </c>
    </row>
    <row r="17" spans="1:11" ht="17">
      <c r="A17" s="17" t="s">
        <v>133</v>
      </c>
      <c r="B17" s="17">
        <v>104.57</v>
      </c>
      <c r="C17" s="17">
        <v>0.7</v>
      </c>
      <c r="D17" s="17">
        <v>18254</v>
      </c>
      <c r="E17" s="17">
        <v>3788</v>
      </c>
      <c r="F17" s="17">
        <v>2521</v>
      </c>
      <c r="G17" s="17">
        <v>20.75</v>
      </c>
      <c r="H17" s="17">
        <v>13.81</v>
      </c>
      <c r="I17" s="17">
        <v>45.03</v>
      </c>
      <c r="J17" s="17">
        <v>4365</v>
      </c>
      <c r="K17">
        <f t="shared" si="0"/>
        <v>0</v>
      </c>
    </row>
    <row r="18" spans="1:11" ht="17">
      <c r="A18" s="17" t="s">
        <v>36</v>
      </c>
      <c r="B18" s="17">
        <v>100.6</v>
      </c>
      <c r="C18" s="17">
        <v>0.7</v>
      </c>
      <c r="D18" s="17">
        <v>17374</v>
      </c>
      <c r="E18" s="17">
        <v>5346</v>
      </c>
      <c r="F18" s="17">
        <v>4320</v>
      </c>
      <c r="G18" s="17">
        <v>30.77</v>
      </c>
      <c r="H18" s="17">
        <v>24.86</v>
      </c>
      <c r="I18" s="17">
        <v>48.42</v>
      </c>
      <c r="J18" s="17">
        <v>2872</v>
      </c>
      <c r="K18">
        <f t="shared" si="0"/>
        <v>7.1428571428571494E-2</v>
      </c>
    </row>
    <row r="19" spans="1:11" ht="17">
      <c r="A19" s="17" t="s">
        <v>190</v>
      </c>
      <c r="B19" s="17">
        <v>97.46</v>
      </c>
      <c r="C19" s="17">
        <v>0.75</v>
      </c>
      <c r="D19" s="17">
        <v>17787</v>
      </c>
      <c r="E19" s="17">
        <v>4917</v>
      </c>
      <c r="F19" s="17">
        <v>4516</v>
      </c>
      <c r="G19" s="17">
        <v>27.64</v>
      </c>
      <c r="H19" s="17">
        <v>25.39</v>
      </c>
      <c r="I19" s="17">
        <v>50.09</v>
      </c>
      <c r="J19" s="17">
        <v>5200</v>
      </c>
      <c r="K19">
        <f t="shared" si="0"/>
        <v>0</v>
      </c>
    </row>
    <row r="20" spans="1:11" ht="17">
      <c r="A20" s="17" t="s">
        <v>256</v>
      </c>
      <c r="B20" s="17">
        <v>93.35</v>
      </c>
      <c r="C20" s="17">
        <v>0.75</v>
      </c>
      <c r="D20" s="17">
        <v>17102</v>
      </c>
      <c r="E20" s="17">
        <v>4633</v>
      </c>
      <c r="F20" s="17">
        <v>3358</v>
      </c>
      <c r="G20" s="17">
        <v>27.09</v>
      </c>
      <c r="H20" s="17">
        <v>19.64</v>
      </c>
      <c r="I20" s="17">
        <v>50.18</v>
      </c>
      <c r="J20" s="17">
        <v>6125</v>
      </c>
      <c r="K20">
        <f t="shared" si="0"/>
        <v>0</v>
      </c>
    </row>
    <row r="21" spans="1:11" ht="17">
      <c r="A21" s="17" t="s">
        <v>203</v>
      </c>
      <c r="B21" s="17">
        <v>102.72</v>
      </c>
      <c r="C21" s="17">
        <v>0.75</v>
      </c>
      <c r="D21" s="17">
        <v>17811</v>
      </c>
      <c r="E21" s="17">
        <v>3169</v>
      </c>
      <c r="F21" s="17">
        <v>3215</v>
      </c>
      <c r="G21" s="17">
        <v>17.79</v>
      </c>
      <c r="H21" s="17">
        <v>18.05</v>
      </c>
      <c r="I21" s="17">
        <v>55.56</v>
      </c>
      <c r="J21" s="17">
        <v>5082</v>
      </c>
      <c r="K21">
        <f t="shared" si="0"/>
        <v>0</v>
      </c>
    </row>
    <row r="22" spans="1:11" ht="17">
      <c r="A22" s="17" t="s">
        <v>89</v>
      </c>
      <c r="B22" s="17">
        <v>108.2</v>
      </c>
      <c r="C22" s="17">
        <v>0.75</v>
      </c>
      <c r="D22" s="17">
        <v>17482</v>
      </c>
      <c r="E22" s="17">
        <v>5452</v>
      </c>
      <c r="F22" s="17">
        <v>4292</v>
      </c>
      <c r="G22" s="17">
        <v>31.19</v>
      </c>
      <c r="H22" s="17">
        <v>24.55</v>
      </c>
      <c r="I22" s="17">
        <v>53.83</v>
      </c>
      <c r="J22" s="17">
        <v>1763</v>
      </c>
      <c r="K22">
        <f t="shared" si="0"/>
        <v>6.6666666666666721E-2</v>
      </c>
    </row>
    <row r="23" spans="1:11" ht="17">
      <c r="A23" s="17" t="s">
        <v>127</v>
      </c>
      <c r="B23" s="17">
        <v>121.3</v>
      </c>
      <c r="C23" s="17">
        <v>0.8</v>
      </c>
      <c r="D23" s="17">
        <v>18482</v>
      </c>
      <c r="E23" s="17">
        <v>5677</v>
      </c>
      <c r="F23" s="17">
        <v>3997</v>
      </c>
      <c r="G23" s="17">
        <v>30.72</v>
      </c>
      <c r="H23" s="17">
        <v>21.63</v>
      </c>
      <c r="I23" s="17">
        <v>54.64</v>
      </c>
      <c r="J23" s="17">
        <v>4990</v>
      </c>
      <c r="K23">
        <f t="shared" si="0"/>
        <v>0</v>
      </c>
    </row>
    <row r="24" spans="1:11" ht="17">
      <c r="A24" s="17" t="s">
        <v>88</v>
      </c>
      <c r="B24" s="17">
        <v>118.13</v>
      </c>
      <c r="C24" s="17">
        <v>0.8</v>
      </c>
      <c r="D24" s="17">
        <v>17820</v>
      </c>
      <c r="E24" s="17">
        <v>5384</v>
      </c>
      <c r="F24" s="17">
        <v>4272</v>
      </c>
      <c r="G24" s="17">
        <v>30.21</v>
      </c>
      <c r="H24" s="17">
        <v>23.97</v>
      </c>
      <c r="I24" s="17">
        <v>56.8</v>
      </c>
      <c r="J24" s="17">
        <v>5361</v>
      </c>
      <c r="K24">
        <f t="shared" si="0"/>
        <v>0</v>
      </c>
    </row>
    <row r="25" spans="1:11" ht="17">
      <c r="A25" s="17" t="s">
        <v>24</v>
      </c>
      <c r="B25" s="17">
        <v>115.21</v>
      </c>
      <c r="C25" s="17">
        <v>0.8</v>
      </c>
      <c r="D25" s="17">
        <v>18106</v>
      </c>
      <c r="E25" s="17">
        <v>4623</v>
      </c>
      <c r="F25" s="17">
        <v>3814</v>
      </c>
      <c r="G25" s="17">
        <v>25.53</v>
      </c>
      <c r="H25" s="17">
        <v>21.06</v>
      </c>
      <c r="I25" s="17">
        <v>54.39</v>
      </c>
      <c r="J25" s="17">
        <v>6653</v>
      </c>
      <c r="K25">
        <f t="shared" si="0"/>
        <v>0</v>
      </c>
    </row>
    <row r="26" spans="1:11" ht="17">
      <c r="A26" s="17" t="s">
        <v>55</v>
      </c>
      <c r="B26" s="17">
        <v>124.55</v>
      </c>
      <c r="C26" s="17">
        <v>0.8</v>
      </c>
      <c r="D26" s="17">
        <v>17766</v>
      </c>
      <c r="E26" s="17">
        <v>5583</v>
      </c>
      <c r="F26" s="17">
        <v>4422</v>
      </c>
      <c r="G26" s="17">
        <v>31.43</v>
      </c>
      <c r="H26" s="17">
        <v>24.89</v>
      </c>
      <c r="I26" s="17">
        <v>53.12</v>
      </c>
      <c r="J26" s="17">
        <v>2913</v>
      </c>
      <c r="K26">
        <f t="shared" si="0"/>
        <v>4.9999999999999906E-2</v>
      </c>
    </row>
    <row r="27" spans="1:11" ht="17">
      <c r="A27" s="17" t="s">
        <v>183</v>
      </c>
      <c r="B27" s="17">
        <v>132.29</v>
      </c>
      <c r="C27" s="17">
        <v>0.84</v>
      </c>
      <c r="D27" s="17">
        <v>18839</v>
      </c>
      <c r="E27" s="17">
        <v>5469</v>
      </c>
      <c r="F27" s="17">
        <v>3827</v>
      </c>
      <c r="G27" s="17">
        <v>29.03</v>
      </c>
      <c r="H27" s="17">
        <v>20.309999999999999</v>
      </c>
      <c r="I27" s="17">
        <v>53.78</v>
      </c>
      <c r="J27" s="17">
        <v>5772</v>
      </c>
      <c r="K27">
        <f t="shared" si="0"/>
        <v>0</v>
      </c>
    </row>
    <row r="28" spans="1:11" ht="17">
      <c r="A28" s="17" t="s">
        <v>34</v>
      </c>
      <c r="B28" s="17">
        <v>130.01</v>
      </c>
      <c r="C28" s="17">
        <v>0.84</v>
      </c>
      <c r="D28" s="17">
        <v>19650</v>
      </c>
      <c r="E28" s="17">
        <v>4778</v>
      </c>
      <c r="F28" s="17">
        <v>3764</v>
      </c>
      <c r="G28" s="17">
        <v>24.32</v>
      </c>
      <c r="H28" s="17">
        <v>19.16</v>
      </c>
      <c r="I28" s="17">
        <v>54.82</v>
      </c>
      <c r="J28" s="17">
        <v>6266</v>
      </c>
      <c r="K28">
        <f t="shared" si="0"/>
        <v>0</v>
      </c>
    </row>
    <row r="29" spans="1:11" ht="17">
      <c r="A29" s="17" t="s">
        <v>173</v>
      </c>
      <c r="B29" s="17">
        <v>139.72</v>
      </c>
      <c r="C29" s="17">
        <v>0.84</v>
      </c>
      <c r="D29" s="17">
        <v>20195</v>
      </c>
      <c r="E29" s="17">
        <v>2884</v>
      </c>
      <c r="F29" s="17">
        <v>-10713</v>
      </c>
      <c r="G29" s="17">
        <v>14.28</v>
      </c>
      <c r="H29" s="17">
        <v>-53.05</v>
      </c>
      <c r="I29" s="17">
        <v>57.04</v>
      </c>
      <c r="J29" s="17">
        <v>6105</v>
      </c>
      <c r="K29">
        <f t="shared" si="0"/>
        <v>0</v>
      </c>
    </row>
    <row r="30" spans="1:11" ht="17">
      <c r="A30" s="17" t="s">
        <v>282</v>
      </c>
      <c r="B30" s="17">
        <v>128.15</v>
      </c>
      <c r="C30" s="17">
        <v>0.84</v>
      </c>
      <c r="D30" s="17">
        <v>20009</v>
      </c>
      <c r="E30" s="17">
        <v>5728</v>
      </c>
      <c r="F30" s="17">
        <v>4367</v>
      </c>
      <c r="G30" s="17">
        <v>28.63</v>
      </c>
      <c r="H30" s="17">
        <v>21.83</v>
      </c>
      <c r="I30" s="17">
        <v>706.38</v>
      </c>
      <c r="J30" s="17">
        <v>3606</v>
      </c>
      <c r="K30">
        <f t="shared" si="0"/>
        <v>7.1428571428571494E-2</v>
      </c>
    </row>
    <row r="31" spans="1:11" ht="17">
      <c r="A31" s="17" t="s">
        <v>110</v>
      </c>
      <c r="B31" s="17">
        <v>121.34</v>
      </c>
      <c r="C31" s="17">
        <v>0.9</v>
      </c>
      <c r="D31" s="17">
        <v>20830</v>
      </c>
      <c r="E31" s="17">
        <v>5521</v>
      </c>
      <c r="F31" s="17">
        <v>3954</v>
      </c>
      <c r="G31" s="17">
        <v>26.51</v>
      </c>
      <c r="H31" s="17">
        <v>18.98</v>
      </c>
      <c r="I31" s="17">
        <v>730.43</v>
      </c>
      <c r="J31" s="17">
        <v>6079</v>
      </c>
      <c r="K31">
        <f t="shared" si="0"/>
        <v>0</v>
      </c>
    </row>
    <row r="32" spans="1:11" ht="17">
      <c r="A32" s="17" t="s">
        <v>52</v>
      </c>
      <c r="B32" s="17">
        <v>138.16999999999999</v>
      </c>
      <c r="C32" s="17">
        <v>0.9</v>
      </c>
      <c r="D32" s="17">
        <v>20348</v>
      </c>
      <c r="E32" s="17">
        <v>4582</v>
      </c>
      <c r="F32" s="17">
        <v>3934</v>
      </c>
      <c r="G32" s="17">
        <v>22.52</v>
      </c>
      <c r="H32" s="17">
        <v>19.329999999999998</v>
      </c>
      <c r="I32" s="17">
        <v>657.69</v>
      </c>
      <c r="J32" s="17">
        <v>6272</v>
      </c>
      <c r="K32">
        <f t="shared" si="0"/>
        <v>0</v>
      </c>
    </row>
    <row r="33" spans="1:11" ht="17">
      <c r="A33" s="17" t="s">
        <v>107</v>
      </c>
      <c r="B33" s="17">
        <v>129.05000000000001</v>
      </c>
      <c r="C33" s="17">
        <v>0.9</v>
      </c>
      <c r="D33" s="17">
        <v>20394</v>
      </c>
      <c r="E33" s="17">
        <v>4218</v>
      </c>
      <c r="F33" s="17">
        <v>3042</v>
      </c>
      <c r="G33" s="17">
        <v>20.68</v>
      </c>
      <c r="H33" s="17">
        <v>14.92</v>
      </c>
      <c r="I33" s="17">
        <v>589.83000000000004</v>
      </c>
      <c r="J33" s="17">
        <v>6244</v>
      </c>
      <c r="K33">
        <f t="shared" si="0"/>
        <v>0</v>
      </c>
    </row>
    <row r="34" spans="1:11" ht="17">
      <c r="A34" s="17" t="s">
        <v>18</v>
      </c>
      <c r="B34" s="17">
        <v>139.79</v>
      </c>
      <c r="C34" s="17">
        <v>0.9</v>
      </c>
      <c r="D34" s="17">
        <v>20021</v>
      </c>
      <c r="E34" s="17">
        <v>4439</v>
      </c>
      <c r="F34" s="17">
        <v>3749</v>
      </c>
      <c r="G34" s="17">
        <v>22.17</v>
      </c>
      <c r="H34" s="17">
        <v>18.73</v>
      </c>
      <c r="I34" s="17">
        <v>63.1</v>
      </c>
      <c r="J34" s="17">
        <v>3543</v>
      </c>
      <c r="K34">
        <f t="shared" si="0"/>
        <v>5.5555555555555483E-2</v>
      </c>
    </row>
    <row r="35" spans="1:11" ht="17">
      <c r="A35" s="17" t="s">
        <v>222</v>
      </c>
      <c r="B35" s="17">
        <v>139.28</v>
      </c>
      <c r="C35" s="17">
        <v>0.95</v>
      </c>
      <c r="D35" s="17">
        <v>20562</v>
      </c>
      <c r="E35" s="17">
        <v>5410</v>
      </c>
      <c r="F35" s="17">
        <v>5607</v>
      </c>
      <c r="G35" s="17">
        <v>26.31</v>
      </c>
      <c r="H35" s="17">
        <v>27.27</v>
      </c>
      <c r="I35" s="17">
        <v>66.67</v>
      </c>
      <c r="J35" s="17">
        <v>5948</v>
      </c>
      <c r="K35">
        <f t="shared" si="0"/>
        <v>0</v>
      </c>
    </row>
    <row r="36" spans="1:11" ht="17">
      <c r="A36" s="17" t="s">
        <v>170</v>
      </c>
      <c r="B36" s="17">
        <v>129.38</v>
      </c>
      <c r="C36" s="17">
        <v>0.95</v>
      </c>
      <c r="D36" s="17">
        <v>20729</v>
      </c>
      <c r="E36" s="17">
        <v>5889</v>
      </c>
      <c r="F36" s="17">
        <v>1753</v>
      </c>
      <c r="G36" s="17">
        <v>28.41</v>
      </c>
      <c r="H36" s="17">
        <v>8.4600000000000009</v>
      </c>
      <c r="I36" s="17">
        <v>60.53</v>
      </c>
      <c r="J36" s="17">
        <v>7527</v>
      </c>
      <c r="K36">
        <f t="shared" si="0"/>
        <v>0</v>
      </c>
    </row>
    <row r="37" spans="1:11" ht="17">
      <c r="A37" s="17" t="s">
        <v>250</v>
      </c>
      <c r="B37" s="17">
        <v>145.87</v>
      </c>
      <c r="C37" s="17">
        <v>0.95</v>
      </c>
      <c r="D37" s="17">
        <v>20747</v>
      </c>
      <c r="E37" s="17">
        <v>4342</v>
      </c>
      <c r="F37" s="17">
        <v>4010</v>
      </c>
      <c r="G37" s="17">
        <v>20.93</v>
      </c>
      <c r="H37" s="17">
        <v>19.329999999999998</v>
      </c>
      <c r="I37" s="17">
        <v>70.48</v>
      </c>
      <c r="J37" s="17">
        <v>6398</v>
      </c>
      <c r="K37">
        <f t="shared" si="0"/>
        <v>0</v>
      </c>
    </row>
    <row r="38" spans="1:11" ht="17">
      <c r="A38" s="17" t="s">
        <v>126</v>
      </c>
      <c r="B38" s="17">
        <v>131.13</v>
      </c>
      <c r="C38" s="17">
        <v>0.95</v>
      </c>
      <c r="D38" s="17">
        <v>20691</v>
      </c>
      <c r="E38" s="17">
        <v>5846</v>
      </c>
      <c r="F38" s="17">
        <v>5796</v>
      </c>
      <c r="G38" s="17">
        <v>28.25</v>
      </c>
      <c r="H38" s="17">
        <v>28.01</v>
      </c>
      <c r="I38" s="17">
        <v>66.61</v>
      </c>
      <c r="J38" s="17">
        <v>3358</v>
      </c>
      <c r="K38">
        <f t="shared" si="0"/>
        <v>6.3157894736842163E-2</v>
      </c>
    </row>
    <row r="39" spans="1:11" ht="17">
      <c r="A39" s="17" t="s">
        <v>161</v>
      </c>
      <c r="B39" s="17">
        <v>140.63</v>
      </c>
      <c r="C39" s="17">
        <v>1.01</v>
      </c>
      <c r="D39" s="17">
        <v>18336</v>
      </c>
      <c r="E39" s="17">
        <v>4051</v>
      </c>
      <c r="F39" s="17">
        <v>3626</v>
      </c>
      <c r="G39" s="17">
        <v>22.09</v>
      </c>
      <c r="H39" s="17">
        <v>19.78</v>
      </c>
      <c r="I39" s="17">
        <v>59.28</v>
      </c>
      <c r="J39" s="17">
        <v>3452</v>
      </c>
      <c r="K39">
        <f t="shared" si="0"/>
        <v>0</v>
      </c>
    </row>
    <row r="40" spans="1:11" ht="17">
      <c r="A40" s="17" t="s">
        <v>28</v>
      </c>
      <c r="B40" s="17">
        <v>148.88</v>
      </c>
      <c r="C40" s="17">
        <v>1.01</v>
      </c>
      <c r="D40" s="17">
        <v>21082</v>
      </c>
      <c r="E40" s="17">
        <v>5701</v>
      </c>
      <c r="F40" s="17">
        <v>3554</v>
      </c>
      <c r="G40" s="17">
        <v>27.04</v>
      </c>
      <c r="H40" s="17">
        <v>16.86</v>
      </c>
      <c r="I40" s="17">
        <v>67.84</v>
      </c>
      <c r="J40" s="17">
        <v>8383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K41"/>
  <sheetViews>
    <sheetView topLeftCell="A16"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8" t="s">
        <v>273</v>
      </c>
      <c r="B1" s="18" t="s">
        <v>262</v>
      </c>
      <c r="C1" s="18" t="s">
        <v>223</v>
      </c>
      <c r="D1" s="18" t="s">
        <v>259</v>
      </c>
      <c r="E1" s="18" t="s">
        <v>258</v>
      </c>
      <c r="F1" s="18" t="s">
        <v>27</v>
      </c>
      <c r="G1" s="18" t="s">
        <v>77</v>
      </c>
      <c r="H1" s="18" t="s">
        <v>278</v>
      </c>
      <c r="I1" s="18" t="s">
        <v>128</v>
      </c>
      <c r="J1" s="18" t="s">
        <v>308</v>
      </c>
    </row>
    <row r="2" spans="1:11" ht="17">
      <c r="A2" s="18" t="s">
        <v>32</v>
      </c>
      <c r="B2" s="18">
        <v>23.97</v>
      </c>
      <c r="C2" s="18">
        <v>0.05</v>
      </c>
      <c r="D2" s="18">
        <v>19931</v>
      </c>
      <c r="E2" s="18">
        <v>577</v>
      </c>
      <c r="F2" s="18">
        <v>278</v>
      </c>
      <c r="G2" s="18">
        <v>2.9</v>
      </c>
      <c r="H2" s="18">
        <v>1.39</v>
      </c>
      <c r="I2" s="18">
        <v>22.41</v>
      </c>
      <c r="J2" s="18">
        <v>832</v>
      </c>
      <c r="K2">
        <f t="shared" ref="K2:K40" si="0">(C3-C2)/C2</f>
        <v>0</v>
      </c>
    </row>
    <row r="3" spans="1:11" ht="17">
      <c r="A3" s="18" t="s">
        <v>79</v>
      </c>
      <c r="B3" s="18">
        <v>24.8</v>
      </c>
      <c r="C3" s="18">
        <v>0.05</v>
      </c>
      <c r="D3" s="18">
        <v>27461</v>
      </c>
      <c r="E3" s="18">
        <v>811</v>
      </c>
      <c r="F3" s="18">
        <v>432</v>
      </c>
      <c r="G3" s="18">
        <v>2.95</v>
      </c>
      <c r="H3" s="18">
        <v>1.57</v>
      </c>
      <c r="I3" s="18">
        <v>22.41</v>
      </c>
      <c r="J3" s="18">
        <v>1235</v>
      </c>
      <c r="K3">
        <f t="shared" si="0"/>
        <v>0</v>
      </c>
    </row>
    <row r="4" spans="1:11" ht="17">
      <c r="A4" s="18" t="s">
        <v>181</v>
      </c>
      <c r="B4" s="18">
        <v>21.96</v>
      </c>
      <c r="C4" s="18">
        <v>0.05</v>
      </c>
      <c r="D4" s="18">
        <v>20913</v>
      </c>
      <c r="E4" s="18">
        <v>488</v>
      </c>
      <c r="F4" s="18">
        <v>281</v>
      </c>
      <c r="G4" s="18">
        <v>2.33</v>
      </c>
      <c r="H4" s="18">
        <v>1.34</v>
      </c>
      <c r="I4" s="18">
        <v>21.51</v>
      </c>
      <c r="J4" s="18">
        <v>958</v>
      </c>
      <c r="K4">
        <f t="shared" si="0"/>
        <v>0</v>
      </c>
    </row>
    <row r="5" spans="1:11" ht="17">
      <c r="A5" s="18" t="s">
        <v>217</v>
      </c>
      <c r="B5" s="18">
        <v>24.22</v>
      </c>
      <c r="C5" s="18">
        <v>0.05</v>
      </c>
      <c r="D5" s="18">
        <v>20594</v>
      </c>
      <c r="E5" s="18">
        <v>405</v>
      </c>
      <c r="F5" s="18">
        <v>196</v>
      </c>
      <c r="G5" s="18">
        <v>1.97</v>
      </c>
      <c r="H5" s="18">
        <v>0.95</v>
      </c>
      <c r="I5" s="18">
        <v>21.65</v>
      </c>
      <c r="J5" s="18">
        <v>217</v>
      </c>
      <c r="K5">
        <f t="shared" si="0"/>
        <v>0.1999999999999999</v>
      </c>
    </row>
    <row r="6" spans="1:11" ht="17">
      <c r="A6" s="18" t="s">
        <v>162</v>
      </c>
      <c r="B6" s="18">
        <v>24.23</v>
      </c>
      <c r="C6" s="18">
        <v>0.06</v>
      </c>
      <c r="D6" s="18">
        <v>21405</v>
      </c>
      <c r="E6" s="18">
        <v>-425</v>
      </c>
      <c r="F6" s="18">
        <v>-307</v>
      </c>
      <c r="G6" s="18">
        <v>-1.99</v>
      </c>
      <c r="H6" s="18">
        <v>-1.43</v>
      </c>
      <c r="I6" s="18">
        <v>42.57</v>
      </c>
      <c r="J6" s="18">
        <v>248</v>
      </c>
      <c r="K6">
        <f t="shared" si="0"/>
        <v>0</v>
      </c>
    </row>
    <row r="7" spans="1:11" ht="17">
      <c r="A7" s="18" t="s">
        <v>64</v>
      </c>
      <c r="B7" s="18">
        <v>23.19</v>
      </c>
      <c r="C7" s="18">
        <v>0.06</v>
      </c>
      <c r="D7" s="18">
        <v>29065</v>
      </c>
      <c r="E7" s="18">
        <v>814</v>
      </c>
      <c r="F7" s="18">
        <v>439</v>
      </c>
      <c r="G7" s="18">
        <v>2.8</v>
      </c>
      <c r="H7" s="18">
        <v>1.51</v>
      </c>
      <c r="I7" s="18">
        <v>40.74</v>
      </c>
      <c r="J7" s="18">
        <v>1304</v>
      </c>
      <c r="K7">
        <f t="shared" si="0"/>
        <v>0</v>
      </c>
    </row>
    <row r="8" spans="1:11" ht="17">
      <c r="A8" s="18" t="s">
        <v>226</v>
      </c>
      <c r="B8" s="18">
        <v>23.54</v>
      </c>
      <c r="C8" s="18">
        <v>0.06</v>
      </c>
      <c r="D8" s="18">
        <v>21726</v>
      </c>
      <c r="E8" s="18">
        <v>535</v>
      </c>
      <c r="F8" s="18">
        <v>279</v>
      </c>
      <c r="G8" s="18">
        <v>2.46</v>
      </c>
      <c r="H8" s="18">
        <v>1.28</v>
      </c>
      <c r="I8" s="18">
        <v>39.82</v>
      </c>
      <c r="J8" s="18">
        <v>729</v>
      </c>
      <c r="K8">
        <f t="shared" si="0"/>
        <v>0</v>
      </c>
    </row>
    <row r="9" spans="1:11" ht="17">
      <c r="A9" s="18" t="s">
        <v>247</v>
      </c>
      <c r="B9" s="18">
        <v>26.02</v>
      </c>
      <c r="C9" s="18">
        <v>0.06</v>
      </c>
      <c r="D9" s="18">
        <v>21807</v>
      </c>
      <c r="E9" s="18">
        <v>596</v>
      </c>
      <c r="F9" s="18">
        <v>317</v>
      </c>
      <c r="G9" s="18">
        <v>2.73</v>
      </c>
      <c r="H9" s="18">
        <v>1.45</v>
      </c>
      <c r="I9" s="18">
        <v>32.86</v>
      </c>
      <c r="J9" s="18">
        <v>235</v>
      </c>
      <c r="K9">
        <f t="shared" si="0"/>
        <v>0.33333333333333343</v>
      </c>
    </row>
    <row r="10" spans="1:11" ht="17">
      <c r="A10" s="18" t="s">
        <v>19</v>
      </c>
      <c r="B10" s="18">
        <v>33.14</v>
      </c>
      <c r="C10" s="18">
        <v>0.08</v>
      </c>
      <c r="D10" s="18">
        <v>24153</v>
      </c>
      <c r="E10" s="18">
        <v>820</v>
      </c>
      <c r="F10" s="18">
        <v>462</v>
      </c>
      <c r="G10" s="18">
        <v>3.4</v>
      </c>
      <c r="H10" s="18">
        <v>1.86</v>
      </c>
      <c r="I10" s="18">
        <v>32.86</v>
      </c>
      <c r="J10" s="18">
        <v>565</v>
      </c>
      <c r="K10">
        <f t="shared" si="0"/>
        <v>0</v>
      </c>
    </row>
    <row r="11" spans="1:11" ht="17">
      <c r="A11" s="18" t="s">
        <v>192</v>
      </c>
      <c r="B11" s="18">
        <v>34.54</v>
      </c>
      <c r="C11" s="18">
        <v>0.08</v>
      </c>
      <c r="D11" s="18">
        <v>30043</v>
      </c>
      <c r="E11" s="18">
        <v>879</v>
      </c>
      <c r="F11" s="18">
        <v>481</v>
      </c>
      <c r="G11" s="18">
        <v>2.93</v>
      </c>
      <c r="H11" s="18">
        <v>1.59</v>
      </c>
      <c r="I11" s="18">
        <v>17.87</v>
      </c>
      <c r="J11" s="18">
        <v>1617</v>
      </c>
      <c r="K11">
        <f t="shared" si="0"/>
        <v>0</v>
      </c>
    </row>
    <row r="12" spans="1:11" ht="17">
      <c r="A12" s="18" t="s">
        <v>160</v>
      </c>
      <c r="B12" s="18">
        <v>40.340000000000003</v>
      </c>
      <c r="C12" s="18">
        <v>0.08</v>
      </c>
      <c r="D12" s="18">
        <v>22722</v>
      </c>
      <c r="E12" s="18">
        <v>595</v>
      </c>
      <c r="F12" s="18">
        <v>317</v>
      </c>
      <c r="G12" s="18">
        <v>2.62</v>
      </c>
      <c r="H12" s="18">
        <v>1.39</v>
      </c>
      <c r="I12" s="18">
        <v>18.21</v>
      </c>
      <c r="J12" s="18">
        <v>996</v>
      </c>
      <c r="K12">
        <f t="shared" si="0"/>
        <v>0</v>
      </c>
    </row>
    <row r="13" spans="1:11" ht="17">
      <c r="A13" s="18" t="s">
        <v>168</v>
      </c>
      <c r="B13" s="18">
        <v>39.53</v>
      </c>
      <c r="C13" s="18">
        <v>0.08</v>
      </c>
      <c r="D13" s="18">
        <v>22505</v>
      </c>
      <c r="E13" s="18">
        <v>534</v>
      </c>
      <c r="F13" s="18">
        <v>299</v>
      </c>
      <c r="G13" s="18">
        <v>2.37</v>
      </c>
      <c r="H13" s="18">
        <v>1.32</v>
      </c>
      <c r="I13" s="18">
        <v>18.829999999999998</v>
      </c>
      <c r="J13" s="18">
        <v>304</v>
      </c>
      <c r="K13">
        <f t="shared" si="0"/>
        <v>0</v>
      </c>
    </row>
    <row r="14" spans="1:11" ht="17">
      <c r="A14" s="18" t="s">
        <v>63</v>
      </c>
      <c r="B14" s="18">
        <v>43.65</v>
      </c>
      <c r="C14" s="18">
        <v>0.08</v>
      </c>
      <c r="D14" s="18">
        <v>23105</v>
      </c>
      <c r="E14" s="18">
        <v>718</v>
      </c>
      <c r="F14" s="18">
        <v>422</v>
      </c>
      <c r="G14" s="18">
        <v>3.11</v>
      </c>
      <c r="H14" s="18">
        <v>1.81</v>
      </c>
      <c r="I14" s="18">
        <v>20.2</v>
      </c>
      <c r="J14" s="18">
        <v>463</v>
      </c>
      <c r="K14">
        <f t="shared" si="0"/>
        <v>0</v>
      </c>
    </row>
    <row r="15" spans="1:11" ht="17">
      <c r="A15" s="18" t="s">
        <v>14</v>
      </c>
      <c r="B15" s="18">
        <v>49.43</v>
      </c>
      <c r="C15" s="18">
        <v>0.08</v>
      </c>
      <c r="D15" s="18">
        <v>32961</v>
      </c>
      <c r="E15" s="18">
        <v>930</v>
      </c>
      <c r="F15" s="18">
        <v>501</v>
      </c>
      <c r="G15" s="18">
        <v>2.82</v>
      </c>
      <c r="H15" s="18">
        <v>1.51</v>
      </c>
      <c r="I15" s="18">
        <v>21.21</v>
      </c>
      <c r="J15" s="18">
        <v>1780</v>
      </c>
      <c r="K15">
        <f t="shared" si="0"/>
        <v>0</v>
      </c>
    </row>
    <row r="16" spans="1:11" ht="17">
      <c r="A16" s="18" t="s">
        <v>288</v>
      </c>
      <c r="B16" s="18">
        <v>52</v>
      </c>
      <c r="C16" s="18">
        <v>0.08</v>
      </c>
      <c r="D16" s="18">
        <v>25310</v>
      </c>
      <c r="E16" s="18">
        <v>644</v>
      </c>
      <c r="F16" s="18">
        <v>347</v>
      </c>
      <c r="G16" s="18">
        <v>2.54</v>
      </c>
      <c r="H16" s="18">
        <v>1.36</v>
      </c>
      <c r="I16" s="18">
        <v>21.28</v>
      </c>
      <c r="J16" s="18">
        <v>970</v>
      </c>
      <c r="K16">
        <f t="shared" si="0"/>
        <v>0</v>
      </c>
    </row>
    <row r="17" spans="1:11" ht="17">
      <c r="A17" s="18" t="s">
        <v>133</v>
      </c>
      <c r="B17" s="18">
        <v>64.209999999999994</v>
      </c>
      <c r="C17" s="18">
        <v>0.08</v>
      </c>
      <c r="D17" s="18">
        <v>24987</v>
      </c>
      <c r="E17" s="18">
        <v>651</v>
      </c>
      <c r="F17" s="18">
        <v>362</v>
      </c>
      <c r="G17" s="18">
        <v>2.61</v>
      </c>
      <c r="H17" s="18">
        <v>1.43</v>
      </c>
      <c r="I17" s="18">
        <v>21.08</v>
      </c>
      <c r="J17" s="18">
        <v>719</v>
      </c>
      <c r="K17">
        <f t="shared" si="0"/>
        <v>0.12499999999999993</v>
      </c>
    </row>
    <row r="18" spans="1:11" ht="17">
      <c r="A18" s="18" t="s">
        <v>36</v>
      </c>
      <c r="B18" s="18">
        <v>76.66</v>
      </c>
      <c r="C18" s="18">
        <v>0.09</v>
      </c>
      <c r="D18" s="18">
        <v>25207</v>
      </c>
      <c r="E18" s="18">
        <v>912</v>
      </c>
      <c r="F18" s="18">
        <v>518</v>
      </c>
      <c r="G18" s="18">
        <v>3.62</v>
      </c>
      <c r="H18" s="18">
        <v>2.04</v>
      </c>
      <c r="I18" s="18">
        <v>20.5</v>
      </c>
      <c r="J18" s="18">
        <v>694</v>
      </c>
      <c r="K18">
        <f t="shared" si="0"/>
        <v>0</v>
      </c>
    </row>
    <row r="19" spans="1:11" ht="17">
      <c r="A19" s="18" t="s">
        <v>190</v>
      </c>
      <c r="B19" s="18">
        <v>72.510000000000005</v>
      </c>
      <c r="C19" s="18">
        <v>0.09</v>
      </c>
      <c r="D19" s="18">
        <v>33051</v>
      </c>
      <c r="E19" s="18">
        <v>1102</v>
      </c>
      <c r="F19" s="18">
        <v>619</v>
      </c>
      <c r="G19" s="18">
        <v>3.33</v>
      </c>
      <c r="H19" s="18">
        <v>1.85</v>
      </c>
      <c r="I19" s="18">
        <v>19.77</v>
      </c>
      <c r="J19" s="18">
        <v>1755</v>
      </c>
      <c r="K19">
        <f t="shared" si="0"/>
        <v>0</v>
      </c>
    </row>
    <row r="20" spans="1:11" ht="17">
      <c r="A20" s="18" t="s">
        <v>256</v>
      </c>
      <c r="B20" s="18">
        <v>36.07</v>
      </c>
      <c r="C20" s="18">
        <v>0.09</v>
      </c>
      <c r="D20" s="18">
        <v>25539</v>
      </c>
      <c r="E20" s="18">
        <v>774</v>
      </c>
      <c r="F20" s="18">
        <v>433</v>
      </c>
      <c r="G20" s="18">
        <v>3.03</v>
      </c>
      <c r="H20" s="18">
        <v>1.68</v>
      </c>
      <c r="I20" s="18">
        <v>18.87</v>
      </c>
      <c r="J20" s="18">
        <v>1000</v>
      </c>
      <c r="K20">
        <f t="shared" si="0"/>
        <v>0.22222222222222227</v>
      </c>
    </row>
    <row r="21" spans="1:11" ht="17">
      <c r="A21" s="18" t="s">
        <v>203</v>
      </c>
      <c r="B21" s="18">
        <v>41.83</v>
      </c>
      <c r="C21" s="18">
        <v>0.11</v>
      </c>
      <c r="D21" s="18">
        <v>25075</v>
      </c>
      <c r="E21" s="18">
        <v>772</v>
      </c>
      <c r="F21" s="18">
        <v>428</v>
      </c>
      <c r="G21" s="18">
        <v>3.08</v>
      </c>
      <c r="H21" s="18">
        <v>1.69</v>
      </c>
      <c r="I21" s="18">
        <v>18.559999999999999</v>
      </c>
      <c r="J21" s="18">
        <v>1011</v>
      </c>
      <c r="K21">
        <f t="shared" si="0"/>
        <v>0</v>
      </c>
    </row>
    <row r="22" spans="1:11" ht="17">
      <c r="A22" s="18" t="s">
        <v>89</v>
      </c>
      <c r="B22" s="18">
        <v>38.25</v>
      </c>
      <c r="C22" s="18">
        <v>0.11</v>
      </c>
      <c r="D22" s="18">
        <v>26165</v>
      </c>
      <c r="E22" s="18">
        <v>928</v>
      </c>
      <c r="F22" s="18">
        <v>559</v>
      </c>
      <c r="G22" s="18">
        <v>3.55</v>
      </c>
      <c r="H22" s="18">
        <v>2.12</v>
      </c>
      <c r="I22" s="18">
        <v>18.940000000000001</v>
      </c>
      <c r="J22" s="18">
        <v>1067</v>
      </c>
      <c r="K22">
        <f t="shared" si="0"/>
        <v>0</v>
      </c>
    </row>
    <row r="23" spans="1:11" ht="17">
      <c r="A23" s="18" t="s">
        <v>127</v>
      </c>
      <c r="B23" s="18">
        <v>36.79</v>
      </c>
      <c r="C23" s="18">
        <v>0.11</v>
      </c>
      <c r="D23" s="18">
        <v>34604</v>
      </c>
      <c r="E23" s="18">
        <v>1200</v>
      </c>
      <c r="F23" s="18">
        <v>680</v>
      </c>
      <c r="G23" s="18">
        <v>3.47</v>
      </c>
      <c r="H23" s="18">
        <v>1.95</v>
      </c>
      <c r="I23" s="18">
        <v>19.170000000000002</v>
      </c>
      <c r="J23" s="18">
        <v>2052</v>
      </c>
      <c r="K23">
        <f t="shared" si="0"/>
        <v>0</v>
      </c>
    </row>
    <row r="24" spans="1:11" ht="17">
      <c r="A24" s="18" t="s">
        <v>88</v>
      </c>
      <c r="B24" s="18">
        <v>29.68</v>
      </c>
      <c r="C24" s="18">
        <v>0.11</v>
      </c>
      <c r="D24" s="18">
        <v>26565</v>
      </c>
      <c r="E24" s="18">
        <v>665</v>
      </c>
      <c r="F24" s="18">
        <v>383</v>
      </c>
      <c r="G24" s="18">
        <v>2.5</v>
      </c>
      <c r="H24" s="18">
        <v>1.43</v>
      </c>
      <c r="I24" s="18">
        <v>19.04</v>
      </c>
      <c r="J24" s="18">
        <v>980</v>
      </c>
      <c r="K24">
        <f t="shared" si="0"/>
        <v>9.090909090909087E-2</v>
      </c>
    </row>
    <row r="25" spans="1:11" ht="17">
      <c r="A25" s="18" t="s">
        <v>24</v>
      </c>
      <c r="B25" s="18">
        <v>34.51</v>
      </c>
      <c r="C25" s="18">
        <v>0.12</v>
      </c>
      <c r="D25" s="18">
        <v>26557</v>
      </c>
      <c r="E25" s="18">
        <v>713</v>
      </c>
      <c r="F25" s="18">
        <v>391</v>
      </c>
      <c r="G25" s="18">
        <v>2.68</v>
      </c>
      <c r="H25" s="18">
        <v>1.46</v>
      </c>
      <c r="I25" s="18">
        <v>19.91</v>
      </c>
      <c r="J25" s="18">
        <v>424</v>
      </c>
      <c r="K25">
        <f t="shared" si="0"/>
        <v>0</v>
      </c>
    </row>
    <row r="26" spans="1:11" ht="17">
      <c r="A26" s="18" t="s">
        <v>55</v>
      </c>
      <c r="B26" s="18">
        <v>29.49</v>
      </c>
      <c r="C26" s="18">
        <v>0.12</v>
      </c>
      <c r="D26" s="18">
        <v>27611</v>
      </c>
      <c r="E26" s="18">
        <v>858</v>
      </c>
      <c r="F26" s="18">
        <v>506</v>
      </c>
      <c r="G26" s="18">
        <v>3.11</v>
      </c>
      <c r="H26" s="18">
        <v>1.81</v>
      </c>
      <c r="I26" s="18">
        <v>20.91</v>
      </c>
      <c r="J26" s="18">
        <v>816</v>
      </c>
      <c r="K26">
        <f t="shared" si="0"/>
        <v>0</v>
      </c>
    </row>
    <row r="27" spans="1:11" ht="17">
      <c r="A27" s="18" t="s">
        <v>183</v>
      </c>
      <c r="B27" s="18">
        <v>23.32</v>
      </c>
      <c r="C27" s="18">
        <v>0.12</v>
      </c>
      <c r="D27" s="18">
        <v>36285</v>
      </c>
      <c r="E27" s="18">
        <v>622</v>
      </c>
      <c r="F27" s="18">
        <v>303</v>
      </c>
      <c r="G27" s="18">
        <v>1.71</v>
      </c>
      <c r="H27" s="18">
        <v>0.83</v>
      </c>
      <c r="I27" s="18">
        <v>21.95</v>
      </c>
      <c r="J27" s="18">
        <v>2309</v>
      </c>
      <c r="K27">
        <f t="shared" si="0"/>
        <v>0</v>
      </c>
    </row>
    <row r="28" spans="1:11" ht="17">
      <c r="A28" s="18" t="s">
        <v>34</v>
      </c>
      <c r="B28" s="18">
        <v>20.059999999999999</v>
      </c>
      <c r="C28" s="18">
        <v>0.12</v>
      </c>
      <c r="D28" s="18">
        <v>27597</v>
      </c>
      <c r="E28" s="18">
        <v>678</v>
      </c>
      <c r="F28" s="18">
        <v>353</v>
      </c>
      <c r="G28" s="18">
        <v>2.46</v>
      </c>
      <c r="H28" s="18">
        <v>1.27</v>
      </c>
      <c r="I28" s="18">
        <v>28.01</v>
      </c>
      <c r="J28" s="18">
        <v>1016</v>
      </c>
      <c r="K28">
        <f t="shared" si="0"/>
        <v>8.3333333333333412E-2</v>
      </c>
    </row>
    <row r="29" spans="1:11" ht="17">
      <c r="A29" s="18" t="s">
        <v>173</v>
      </c>
      <c r="B29" s="18">
        <v>27.45</v>
      </c>
      <c r="C29" s="18">
        <v>0.13</v>
      </c>
      <c r="D29" s="18">
        <v>27749</v>
      </c>
      <c r="E29" s="18">
        <v>740</v>
      </c>
      <c r="F29" s="18">
        <v>397</v>
      </c>
      <c r="G29" s="18">
        <v>2.67</v>
      </c>
      <c r="H29" s="18">
        <v>1.42</v>
      </c>
      <c r="I29" s="18">
        <v>29.09</v>
      </c>
      <c r="J29" s="18">
        <v>-271</v>
      </c>
      <c r="K29">
        <f t="shared" si="0"/>
        <v>0</v>
      </c>
    </row>
    <row r="30" spans="1:11" ht="17">
      <c r="A30" s="18" t="s">
        <v>282</v>
      </c>
      <c r="B30" s="18">
        <v>23.94</v>
      </c>
      <c r="C30" s="18">
        <v>0.13</v>
      </c>
      <c r="D30" s="18">
        <v>31031</v>
      </c>
      <c r="E30" s="18">
        <v>44</v>
      </c>
      <c r="F30" s="18">
        <v>854</v>
      </c>
      <c r="G30" s="18">
        <v>0.14000000000000001</v>
      </c>
      <c r="H30" s="18">
        <v>2.86</v>
      </c>
      <c r="I30" s="18">
        <v>28.87</v>
      </c>
      <c r="J30" s="18">
        <v>359</v>
      </c>
      <c r="K30">
        <f t="shared" si="0"/>
        <v>0</v>
      </c>
    </row>
    <row r="31" spans="1:11" ht="17">
      <c r="A31" s="18" t="s">
        <v>110</v>
      </c>
      <c r="B31" s="18">
        <v>28.45</v>
      </c>
      <c r="C31" s="18">
        <v>0.13</v>
      </c>
      <c r="D31" s="18">
        <v>37530</v>
      </c>
      <c r="E31" s="18">
        <v>1029</v>
      </c>
      <c r="F31" s="18">
        <v>2026</v>
      </c>
      <c r="G31" s="18">
        <v>2.74</v>
      </c>
      <c r="H31" s="18">
        <v>5.34</v>
      </c>
      <c r="I31" s="18">
        <v>23.44</v>
      </c>
      <c r="J31" s="18">
        <v>2368</v>
      </c>
      <c r="K31">
        <f t="shared" si="0"/>
        <v>0</v>
      </c>
    </row>
    <row r="32" spans="1:11" ht="17">
      <c r="A32" s="18" t="s">
        <v>52</v>
      </c>
      <c r="B32" s="18">
        <v>29.11</v>
      </c>
      <c r="C32" s="18">
        <v>0.13</v>
      </c>
      <c r="D32" s="18">
        <v>27869</v>
      </c>
      <c r="E32" s="18">
        <v>549</v>
      </c>
      <c r="F32" s="18">
        <v>508</v>
      </c>
      <c r="G32" s="18">
        <v>1.97</v>
      </c>
      <c r="H32" s="18">
        <v>1.8</v>
      </c>
      <c r="I32" s="18">
        <v>11.96</v>
      </c>
      <c r="J32" s="18">
        <v>892</v>
      </c>
      <c r="K32">
        <f t="shared" si="0"/>
        <v>7.6923076923076983E-2</v>
      </c>
    </row>
    <row r="33" spans="1:11" ht="17">
      <c r="A33" s="18" t="s">
        <v>107</v>
      </c>
      <c r="B33" s="18">
        <v>27.5</v>
      </c>
      <c r="C33" s="18">
        <v>0.14000000000000001</v>
      </c>
      <c r="D33" s="18">
        <v>27672</v>
      </c>
      <c r="E33" s="18">
        <v>647</v>
      </c>
      <c r="F33" s="18">
        <v>317</v>
      </c>
      <c r="G33" s="18">
        <v>2.34</v>
      </c>
      <c r="H33" s="18">
        <v>1.1499999999999999</v>
      </c>
      <c r="I33" s="18">
        <v>11.34</v>
      </c>
      <c r="J33" s="18">
        <v>473</v>
      </c>
      <c r="K33">
        <f t="shared" si="0"/>
        <v>0</v>
      </c>
    </row>
    <row r="34" spans="1:11" ht="17">
      <c r="A34" s="18" t="s">
        <v>18</v>
      </c>
      <c r="B34" s="18">
        <v>24.6</v>
      </c>
      <c r="C34" s="18">
        <v>0.14000000000000001</v>
      </c>
      <c r="D34" s="18">
        <v>28091</v>
      </c>
      <c r="E34" s="18">
        <v>389</v>
      </c>
      <c r="F34" s="18">
        <v>259</v>
      </c>
      <c r="G34" s="18">
        <v>1.38</v>
      </c>
      <c r="H34" s="18">
        <v>0.8</v>
      </c>
      <c r="I34" s="18">
        <v>11.78</v>
      </c>
      <c r="J34" s="18">
        <v>431</v>
      </c>
      <c r="K34">
        <f t="shared" si="0"/>
        <v>0</v>
      </c>
    </row>
    <row r="35" spans="1:11" ht="17">
      <c r="A35" s="18" t="s">
        <v>222</v>
      </c>
      <c r="B35" s="18">
        <v>21.71</v>
      </c>
      <c r="C35" s="18">
        <v>0.14000000000000001</v>
      </c>
      <c r="D35" s="18">
        <v>37251</v>
      </c>
      <c r="E35" s="18">
        <v>901</v>
      </c>
      <c r="F35" s="18">
        <v>772</v>
      </c>
      <c r="G35" s="18">
        <v>2.42</v>
      </c>
      <c r="H35" s="18">
        <v>2.0699999999999998</v>
      </c>
      <c r="I35" s="18">
        <v>14.1</v>
      </c>
      <c r="J35" s="18">
        <v>2268</v>
      </c>
      <c r="K35">
        <f t="shared" si="0"/>
        <v>0</v>
      </c>
    </row>
    <row r="36" spans="1:11" ht="17">
      <c r="A36" s="18" t="s">
        <v>170</v>
      </c>
      <c r="B36" s="18">
        <v>25.78</v>
      </c>
      <c r="C36" s="18">
        <v>0.14000000000000001</v>
      </c>
      <c r="D36" s="18">
        <v>28168</v>
      </c>
      <c r="E36" s="18">
        <v>559</v>
      </c>
      <c r="F36" s="18">
        <v>297</v>
      </c>
      <c r="G36" s="18">
        <v>1.98</v>
      </c>
      <c r="H36" s="18">
        <v>1.04</v>
      </c>
      <c r="I36" s="18">
        <v>23.29</v>
      </c>
      <c r="J36" s="18">
        <v>1009</v>
      </c>
      <c r="K36">
        <f t="shared" si="0"/>
        <v>0.14285714285714277</v>
      </c>
    </row>
    <row r="37" spans="1:11" ht="17">
      <c r="A37" s="18" t="s">
        <v>250</v>
      </c>
      <c r="B37" s="18">
        <v>28.99</v>
      </c>
      <c r="C37" s="18">
        <v>0.16</v>
      </c>
      <c r="D37" s="18">
        <v>27974</v>
      </c>
      <c r="E37" s="18">
        <v>254</v>
      </c>
      <c r="F37" s="18">
        <v>263</v>
      </c>
      <c r="G37" s="18">
        <v>0.91</v>
      </c>
      <c r="H37" s="18">
        <v>0.94</v>
      </c>
      <c r="I37" s="18">
        <v>27.45</v>
      </c>
      <c r="J37" s="18">
        <v>771</v>
      </c>
      <c r="K37">
        <f t="shared" si="0"/>
        <v>0</v>
      </c>
    </row>
    <row r="38" spans="1:11" ht="17">
      <c r="A38" s="18" t="s">
        <v>126</v>
      </c>
      <c r="B38" s="18">
        <v>30.12</v>
      </c>
      <c r="C38" s="18">
        <v>0.16</v>
      </c>
      <c r="D38" s="18">
        <v>28893</v>
      </c>
      <c r="E38" s="18">
        <v>537</v>
      </c>
      <c r="F38" s="18">
        <v>327</v>
      </c>
      <c r="G38" s="18">
        <v>1.86</v>
      </c>
      <c r="H38" s="18">
        <v>1.07</v>
      </c>
      <c r="I38" s="18">
        <v>29.44</v>
      </c>
      <c r="J38" s="18">
        <v>616</v>
      </c>
      <c r="K38">
        <f t="shared" si="0"/>
        <v>0</v>
      </c>
    </row>
    <row r="39" spans="1:11" ht="17">
      <c r="A39" s="18" t="s">
        <v>161</v>
      </c>
      <c r="B39" s="18">
        <v>33.85</v>
      </c>
      <c r="C39" s="18">
        <v>0.16</v>
      </c>
      <c r="D39" s="18">
        <v>41549</v>
      </c>
      <c r="E39" s="18">
        <v>1326</v>
      </c>
      <c r="F39" s="18">
        <v>1212</v>
      </c>
      <c r="G39" s="18">
        <v>3.19</v>
      </c>
      <c r="H39" s="18">
        <v>2.88</v>
      </c>
      <c r="I39" s="18">
        <v>29.41</v>
      </c>
      <c r="J39" s="18">
        <v>4245</v>
      </c>
      <c r="K39">
        <f t="shared" si="0"/>
        <v>0</v>
      </c>
    </row>
    <row r="40" spans="1:11" ht="17">
      <c r="A40" s="18" t="s">
        <v>28</v>
      </c>
      <c r="B40" s="18">
        <v>33.909999999999997</v>
      </c>
      <c r="C40" s="18">
        <v>0.16</v>
      </c>
      <c r="D40" s="18">
        <v>30489</v>
      </c>
      <c r="E40" s="18">
        <v>820</v>
      </c>
      <c r="F40" s="18">
        <v>819</v>
      </c>
      <c r="G40" s="18">
        <v>2.69</v>
      </c>
      <c r="H40" s="18">
        <v>2.69</v>
      </c>
      <c r="I40" s="18">
        <v>23.75</v>
      </c>
      <c r="J40" s="18">
        <v>1160</v>
      </c>
      <c r="K40">
        <f t="shared" si="0"/>
        <v>0.12499999999999993</v>
      </c>
    </row>
    <row r="41" spans="1:11" ht="17">
      <c r="A41" s="18" t="s">
        <v>212</v>
      </c>
      <c r="B41" s="18">
        <v>31.76</v>
      </c>
      <c r="C41" s="18">
        <v>0.18</v>
      </c>
      <c r="D41" s="18">
        <v>29723</v>
      </c>
      <c r="E41" s="18">
        <v>792</v>
      </c>
      <c r="F41" s="18">
        <v>631</v>
      </c>
      <c r="G41" s="18">
        <v>2.66</v>
      </c>
      <c r="H41" s="18">
        <v>2.1</v>
      </c>
      <c r="I41" s="18">
        <v>19.510000000000002</v>
      </c>
      <c r="J41" s="18">
        <v>492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8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19" t="s">
        <v>273</v>
      </c>
      <c r="B1" s="19" t="s">
        <v>262</v>
      </c>
      <c r="C1" s="19" t="s">
        <v>223</v>
      </c>
      <c r="D1" s="19" t="s">
        <v>259</v>
      </c>
      <c r="E1" s="19" t="s">
        <v>258</v>
      </c>
      <c r="F1" s="19" t="s">
        <v>27</v>
      </c>
      <c r="G1" s="19" t="s">
        <v>77</v>
      </c>
      <c r="H1" s="19" t="s">
        <v>278</v>
      </c>
      <c r="I1" s="19" t="s">
        <v>128</v>
      </c>
      <c r="J1" s="19" t="s">
        <v>308</v>
      </c>
    </row>
    <row r="2" spans="1:11" ht="17">
      <c r="A2" s="19" t="s">
        <v>32</v>
      </c>
      <c r="B2" s="19">
        <v>80.400000000000006</v>
      </c>
      <c r="C2" s="19">
        <v>0.75</v>
      </c>
      <c r="D2" s="19">
        <v>10633</v>
      </c>
      <c r="E2" s="19">
        <v>802</v>
      </c>
      <c r="F2" s="19">
        <v>530</v>
      </c>
      <c r="G2" s="19">
        <v>7.54</v>
      </c>
      <c r="H2" s="19">
        <v>4.9800000000000004</v>
      </c>
      <c r="I2" s="19">
        <v>37.549999999999997</v>
      </c>
      <c r="J2" s="19">
        <v>1684</v>
      </c>
      <c r="K2">
        <f t="shared" ref="K2:K39" si="0">(C3-C2)/C2</f>
        <v>0</v>
      </c>
    </row>
    <row r="3" spans="1:11" ht="17">
      <c r="A3" s="19" t="s">
        <v>79</v>
      </c>
      <c r="B3" s="19">
        <v>80.97</v>
      </c>
      <c r="C3" s="19">
        <v>0.75</v>
      </c>
      <c r="D3" s="19">
        <v>11551</v>
      </c>
      <c r="E3" s="19">
        <v>897</v>
      </c>
      <c r="F3" s="19">
        <v>742</v>
      </c>
      <c r="G3" s="19">
        <v>7.77</v>
      </c>
      <c r="H3" s="19">
        <v>6.42</v>
      </c>
      <c r="I3" s="19">
        <v>37.99</v>
      </c>
      <c r="J3" s="19">
        <v>843</v>
      </c>
      <c r="K3">
        <f t="shared" si="0"/>
        <v>0</v>
      </c>
    </row>
    <row r="4" spans="1:11" ht="17">
      <c r="A4" s="19" t="s">
        <v>181</v>
      </c>
      <c r="B4" s="19">
        <v>72.64</v>
      </c>
      <c r="C4" s="19">
        <v>0.75</v>
      </c>
      <c r="D4" s="19">
        <v>12119</v>
      </c>
      <c r="E4" s="19">
        <v>996</v>
      </c>
      <c r="F4" s="19">
        <v>700</v>
      </c>
      <c r="G4" s="19">
        <v>8.2200000000000006</v>
      </c>
      <c r="H4" s="19">
        <v>5.78</v>
      </c>
      <c r="I4" s="19">
        <v>37.22</v>
      </c>
      <c r="J4" s="19">
        <v>511</v>
      </c>
      <c r="K4">
        <f t="shared" si="0"/>
        <v>0.33333333333333331</v>
      </c>
    </row>
    <row r="5" spans="1:11" ht="17">
      <c r="A5" s="19" t="s">
        <v>217</v>
      </c>
      <c r="B5" s="19">
        <v>80.900000000000006</v>
      </c>
      <c r="C5" s="19">
        <v>1</v>
      </c>
      <c r="D5" s="19">
        <v>12211</v>
      </c>
      <c r="E5" s="19">
        <v>988</v>
      </c>
      <c r="F5" s="19">
        <v>683</v>
      </c>
      <c r="G5" s="19">
        <v>8.09</v>
      </c>
      <c r="H5" s="19">
        <v>5.59</v>
      </c>
      <c r="I5" s="19">
        <v>37.22</v>
      </c>
      <c r="J5" s="19">
        <v>1215</v>
      </c>
      <c r="K5">
        <f t="shared" si="0"/>
        <v>0</v>
      </c>
    </row>
    <row r="6" spans="1:11" ht="17">
      <c r="A6" s="19" t="s">
        <v>162</v>
      </c>
      <c r="B6" s="19">
        <v>89.86</v>
      </c>
      <c r="C6" s="19">
        <v>1</v>
      </c>
      <c r="D6" s="19">
        <v>11293</v>
      </c>
      <c r="E6" s="19">
        <v>974</v>
      </c>
      <c r="F6" s="19">
        <v>668</v>
      </c>
      <c r="G6" s="19">
        <v>8.6199999999999992</v>
      </c>
      <c r="H6" s="19">
        <v>5.92</v>
      </c>
      <c r="I6" s="19">
        <v>41.4</v>
      </c>
      <c r="J6" s="19">
        <v>458</v>
      </c>
      <c r="K6">
        <f t="shared" si="0"/>
        <v>0</v>
      </c>
    </row>
    <row r="7" spans="1:11" ht="17">
      <c r="A7" s="19" t="s">
        <v>64</v>
      </c>
      <c r="B7" s="19">
        <v>87.08</v>
      </c>
      <c r="C7" s="19">
        <v>1</v>
      </c>
      <c r="D7" s="19">
        <v>11921</v>
      </c>
      <c r="E7" s="19">
        <v>1180</v>
      </c>
      <c r="F7" s="19">
        <v>781</v>
      </c>
      <c r="G7" s="19">
        <v>9.9</v>
      </c>
      <c r="H7" s="19">
        <v>6.55</v>
      </c>
      <c r="I7" s="19">
        <v>42.17</v>
      </c>
      <c r="J7" s="19">
        <v>845</v>
      </c>
      <c r="K7">
        <f t="shared" si="0"/>
        <v>0</v>
      </c>
    </row>
    <row r="8" spans="1:11" ht="17">
      <c r="A8" s="19" t="s">
        <v>226</v>
      </c>
      <c r="B8" s="19">
        <v>93.38</v>
      </c>
      <c r="C8" s="19">
        <v>1</v>
      </c>
      <c r="D8" s="19">
        <v>11869</v>
      </c>
      <c r="E8" s="19">
        <v>981</v>
      </c>
      <c r="F8" s="19">
        <v>727</v>
      </c>
      <c r="G8" s="19">
        <v>8.27</v>
      </c>
      <c r="H8" s="19">
        <v>6.13</v>
      </c>
      <c r="I8" s="19">
        <v>43.96</v>
      </c>
      <c r="J8" s="19">
        <v>1573</v>
      </c>
      <c r="K8">
        <f t="shared" si="0"/>
        <v>0.14999999999999991</v>
      </c>
    </row>
    <row r="9" spans="1:11" ht="17">
      <c r="A9" s="19" t="s">
        <v>247</v>
      </c>
      <c r="B9" s="19">
        <v>92.29</v>
      </c>
      <c r="C9" s="19">
        <v>1.1499999999999999</v>
      </c>
      <c r="D9" s="19">
        <v>12099</v>
      </c>
      <c r="E9" s="19">
        <v>1106</v>
      </c>
      <c r="F9" s="19">
        <v>569</v>
      </c>
      <c r="G9" s="19">
        <v>9.14</v>
      </c>
      <c r="H9" s="19">
        <v>4.7</v>
      </c>
      <c r="I9" s="19">
        <v>49.64</v>
      </c>
      <c r="J9" s="19">
        <v>-1315</v>
      </c>
      <c r="K9">
        <f t="shared" si="0"/>
        <v>0</v>
      </c>
    </row>
    <row r="10" spans="1:11" ht="17">
      <c r="A10" s="19" t="s">
        <v>19</v>
      </c>
      <c r="B10" s="19">
        <v>96.52</v>
      </c>
      <c r="C10" s="19">
        <v>1.1499999999999999</v>
      </c>
      <c r="D10" s="19">
        <v>11070</v>
      </c>
      <c r="E10" s="19">
        <v>1071</v>
      </c>
      <c r="F10" s="19">
        <v>761</v>
      </c>
      <c r="G10" s="19">
        <v>9.67</v>
      </c>
      <c r="H10" s="19">
        <v>6.87</v>
      </c>
      <c r="I10" s="19">
        <v>49.64</v>
      </c>
      <c r="J10" s="19">
        <v>2085</v>
      </c>
      <c r="K10">
        <f t="shared" si="0"/>
        <v>0</v>
      </c>
    </row>
    <row r="11" spans="1:11" ht="17">
      <c r="A11" s="19" t="s">
        <v>192</v>
      </c>
      <c r="B11" s="19">
        <v>108.46</v>
      </c>
      <c r="C11" s="19">
        <v>1.1499999999999999</v>
      </c>
      <c r="D11" s="19">
        <v>11408</v>
      </c>
      <c r="E11" s="19">
        <v>1224</v>
      </c>
      <c r="F11" s="19">
        <v>859</v>
      </c>
      <c r="G11" s="19">
        <v>10.73</v>
      </c>
      <c r="H11" s="19">
        <v>7.53</v>
      </c>
      <c r="I11" s="19">
        <v>49.65</v>
      </c>
      <c r="J11" s="19">
        <v>623</v>
      </c>
      <c r="K11">
        <f t="shared" si="0"/>
        <v>0</v>
      </c>
    </row>
    <row r="12" spans="1:11" ht="17">
      <c r="A12" s="19" t="s">
        <v>160</v>
      </c>
      <c r="B12" s="19">
        <v>127.55</v>
      </c>
      <c r="C12" s="19">
        <v>1.1499999999999999</v>
      </c>
      <c r="D12" s="19">
        <v>11347</v>
      </c>
      <c r="E12" s="19">
        <v>1184</v>
      </c>
      <c r="F12" s="19">
        <v>873</v>
      </c>
      <c r="G12" s="19">
        <v>10.43</v>
      </c>
      <c r="H12" s="19">
        <v>7.69</v>
      </c>
      <c r="I12" s="19">
        <v>49.89</v>
      </c>
      <c r="J12" s="19">
        <v>900</v>
      </c>
      <c r="K12">
        <f t="shared" si="0"/>
        <v>0.15652173913043493</v>
      </c>
    </row>
    <row r="13" spans="1:11" ht="17">
      <c r="A13" s="19" t="s">
        <v>168</v>
      </c>
      <c r="B13" s="19">
        <v>148.66</v>
      </c>
      <c r="C13" s="19">
        <v>1.33</v>
      </c>
      <c r="D13" s="19">
        <v>11533</v>
      </c>
      <c r="E13" s="19">
        <v>1104</v>
      </c>
      <c r="F13" s="19">
        <v>488</v>
      </c>
      <c r="G13" s="19">
        <v>9.57</v>
      </c>
      <c r="H13" s="19">
        <v>4.2300000000000004</v>
      </c>
      <c r="I13" s="19">
        <v>49.57</v>
      </c>
      <c r="J13" s="19">
        <v>938</v>
      </c>
      <c r="K13">
        <f t="shared" si="0"/>
        <v>0</v>
      </c>
    </row>
    <row r="14" spans="1:11" ht="17">
      <c r="A14" s="19" t="s">
        <v>63</v>
      </c>
      <c r="B14" s="19">
        <v>163.24</v>
      </c>
      <c r="C14" s="19">
        <v>1.33</v>
      </c>
      <c r="D14" s="19">
        <v>10650</v>
      </c>
      <c r="E14" s="19">
        <v>1371</v>
      </c>
      <c r="F14" s="19">
        <v>933</v>
      </c>
      <c r="G14" s="19">
        <v>12.87</v>
      </c>
      <c r="H14" s="19">
        <v>8.76</v>
      </c>
      <c r="I14" s="19">
        <v>52.88</v>
      </c>
      <c r="J14" s="19">
        <v>2100</v>
      </c>
      <c r="K14">
        <f t="shared" si="0"/>
        <v>0</v>
      </c>
    </row>
    <row r="15" spans="1:11" ht="17">
      <c r="A15" s="19" t="s">
        <v>14</v>
      </c>
      <c r="B15" s="19">
        <v>160.72999999999999</v>
      </c>
      <c r="C15" s="19">
        <v>1.33</v>
      </c>
      <c r="D15" s="19">
        <v>11306</v>
      </c>
      <c r="E15" s="19">
        <v>1341</v>
      </c>
      <c r="F15" s="19">
        <v>889</v>
      </c>
      <c r="G15" s="19">
        <v>11.86</v>
      </c>
      <c r="H15" s="19">
        <v>7.86</v>
      </c>
      <c r="I15" s="19">
        <v>51.77</v>
      </c>
      <c r="J15" s="19">
        <v>977</v>
      </c>
      <c r="K15">
        <f t="shared" si="0"/>
        <v>0</v>
      </c>
    </row>
    <row r="16" spans="1:11" ht="17">
      <c r="A16" s="19" t="s">
        <v>288</v>
      </c>
      <c r="B16" s="19">
        <v>182.78</v>
      </c>
      <c r="C16" s="19">
        <v>1.33</v>
      </c>
      <c r="D16" s="19">
        <v>11114</v>
      </c>
      <c r="E16" s="19">
        <v>1275</v>
      </c>
      <c r="F16" s="19">
        <v>888</v>
      </c>
      <c r="G16" s="19">
        <v>11.47</v>
      </c>
      <c r="H16" s="19">
        <v>7.99</v>
      </c>
      <c r="I16" s="19">
        <v>52.99</v>
      </c>
      <c r="J16" s="19">
        <v>990</v>
      </c>
      <c r="K16">
        <f t="shared" si="0"/>
        <v>0.12781954887218039</v>
      </c>
    </row>
    <row r="17" spans="1:11" ht="17">
      <c r="A17" s="19" t="s">
        <v>133</v>
      </c>
      <c r="B17" s="19">
        <v>192.57</v>
      </c>
      <c r="C17" s="19">
        <v>1.5</v>
      </c>
      <c r="D17" s="19">
        <v>12530</v>
      </c>
      <c r="E17" s="19">
        <v>1387</v>
      </c>
      <c r="F17" s="19">
        <v>904</v>
      </c>
      <c r="G17" s="19">
        <v>11.07</v>
      </c>
      <c r="H17" s="19">
        <v>7.21</v>
      </c>
      <c r="I17" s="19">
        <v>53.79</v>
      </c>
      <c r="J17" s="19">
        <v>-201</v>
      </c>
      <c r="K17">
        <f t="shared" si="0"/>
        <v>0</v>
      </c>
    </row>
    <row r="18" spans="1:11" ht="17">
      <c r="A18" s="19" t="s">
        <v>36</v>
      </c>
      <c r="B18" s="19">
        <v>202.96</v>
      </c>
      <c r="C18" s="19">
        <v>1.5</v>
      </c>
      <c r="D18" s="19">
        <v>10111</v>
      </c>
      <c r="E18" s="19">
        <v>1263</v>
      </c>
      <c r="F18" s="19">
        <v>878</v>
      </c>
      <c r="G18" s="19">
        <v>12.49</v>
      </c>
      <c r="H18" s="19">
        <v>8.68</v>
      </c>
      <c r="I18" s="19">
        <v>48.97</v>
      </c>
      <c r="J18" s="19">
        <v>957</v>
      </c>
      <c r="K18">
        <f t="shared" si="0"/>
        <v>0</v>
      </c>
    </row>
    <row r="19" spans="1:11" ht="17">
      <c r="A19" s="19" t="s">
        <v>190</v>
      </c>
      <c r="B19" s="19">
        <v>185.9</v>
      </c>
      <c r="C19" s="19">
        <v>1.5</v>
      </c>
      <c r="D19" s="19">
        <v>11643</v>
      </c>
      <c r="E19" s="19">
        <v>1371</v>
      </c>
      <c r="F19" s="19">
        <v>929</v>
      </c>
      <c r="G19" s="19">
        <v>11.78</v>
      </c>
      <c r="H19" s="19">
        <v>7.98</v>
      </c>
      <c r="I19" s="19">
        <v>51.08</v>
      </c>
      <c r="J19" s="19">
        <v>1263</v>
      </c>
      <c r="K19">
        <f t="shared" si="0"/>
        <v>0</v>
      </c>
    </row>
    <row r="20" spans="1:11" ht="17">
      <c r="A20" s="19" t="s">
        <v>256</v>
      </c>
      <c r="B20" s="19">
        <v>207.31</v>
      </c>
      <c r="C20" s="19">
        <v>1.5</v>
      </c>
      <c r="D20" s="19">
        <v>11461</v>
      </c>
      <c r="E20" s="19">
        <v>1291</v>
      </c>
      <c r="F20" s="19">
        <v>865</v>
      </c>
      <c r="G20" s="19">
        <v>11.26</v>
      </c>
      <c r="H20" s="19">
        <v>7.55</v>
      </c>
      <c r="I20" s="19">
        <v>51.78</v>
      </c>
      <c r="J20" s="19">
        <v>1517</v>
      </c>
      <c r="K20">
        <f t="shared" si="0"/>
        <v>9.9999999999999936E-2</v>
      </c>
    </row>
    <row r="21" spans="1:11" ht="17">
      <c r="A21" s="19" t="s">
        <v>203</v>
      </c>
      <c r="B21" s="19">
        <v>217.15</v>
      </c>
      <c r="C21" s="19">
        <v>1.65</v>
      </c>
      <c r="D21" s="19">
        <v>12917</v>
      </c>
      <c r="E21" s="19">
        <v>1377</v>
      </c>
      <c r="F21" s="19">
        <v>933</v>
      </c>
      <c r="G21" s="19">
        <v>10.66</v>
      </c>
      <c r="H21" s="19">
        <v>7.22</v>
      </c>
      <c r="I21" s="19">
        <v>53.24</v>
      </c>
      <c r="J21" s="19">
        <v>1364</v>
      </c>
      <c r="K21">
        <f t="shared" si="0"/>
        <v>0</v>
      </c>
    </row>
    <row r="22" spans="1:11" ht="17">
      <c r="A22" s="19" t="s">
        <v>89</v>
      </c>
      <c r="B22" s="19">
        <v>221.5</v>
      </c>
      <c r="C22" s="19">
        <v>1.65</v>
      </c>
      <c r="D22" s="19">
        <v>11702</v>
      </c>
      <c r="E22" s="19">
        <v>1334</v>
      </c>
      <c r="F22" s="19">
        <v>794</v>
      </c>
      <c r="G22" s="19">
        <v>11.4</v>
      </c>
      <c r="H22" s="19">
        <v>6.79</v>
      </c>
      <c r="I22" s="19">
        <v>53.66</v>
      </c>
      <c r="J22" s="19">
        <v>1563</v>
      </c>
      <c r="K22">
        <f t="shared" si="0"/>
        <v>0</v>
      </c>
    </row>
    <row r="23" spans="1:11" ht="17">
      <c r="A23" s="19" t="s">
        <v>127</v>
      </c>
      <c r="B23" s="19">
        <v>248.17</v>
      </c>
      <c r="C23" s="19">
        <v>1.65</v>
      </c>
      <c r="D23" s="19">
        <v>12914</v>
      </c>
      <c r="E23" s="19">
        <v>1424</v>
      </c>
      <c r="F23" s="19">
        <v>1021</v>
      </c>
      <c r="G23" s="19">
        <v>11.03</v>
      </c>
      <c r="H23" s="19">
        <v>7.91</v>
      </c>
      <c r="I23" s="19">
        <v>55.75</v>
      </c>
      <c r="J23" s="19">
        <v>1577</v>
      </c>
      <c r="K23">
        <f t="shared" si="0"/>
        <v>0</v>
      </c>
    </row>
    <row r="24" spans="1:11" ht="17">
      <c r="A24" s="19" t="s">
        <v>88</v>
      </c>
      <c r="B24" s="19">
        <v>239.72</v>
      </c>
      <c r="C24" s="19">
        <v>1.65</v>
      </c>
      <c r="D24" s="19">
        <v>11551</v>
      </c>
      <c r="E24" s="19">
        <v>1384</v>
      </c>
      <c r="F24" s="19">
        <v>2395</v>
      </c>
      <c r="G24" s="19">
        <v>11.98</v>
      </c>
      <c r="H24" s="19">
        <v>20.73</v>
      </c>
      <c r="I24" s="19">
        <v>53.71</v>
      </c>
      <c r="J24" s="19">
        <v>1320</v>
      </c>
      <c r="K24">
        <f t="shared" si="0"/>
        <v>0.10303030303030312</v>
      </c>
    </row>
    <row r="25" spans="1:11" ht="17">
      <c r="A25" s="19" t="s">
        <v>24</v>
      </c>
      <c r="B25" s="19">
        <v>249.94</v>
      </c>
      <c r="C25" s="19">
        <v>1.82</v>
      </c>
      <c r="D25" s="19">
        <v>13752</v>
      </c>
      <c r="E25" s="19">
        <v>1353</v>
      </c>
      <c r="F25" s="19">
        <v>988</v>
      </c>
      <c r="G25" s="19">
        <v>9.84</v>
      </c>
      <c r="H25" s="19">
        <v>7.18</v>
      </c>
      <c r="I25" s="19">
        <v>49.66</v>
      </c>
      <c r="J25" s="19">
        <v>729</v>
      </c>
      <c r="K25">
        <f t="shared" si="0"/>
        <v>0</v>
      </c>
    </row>
    <row r="26" spans="1:11" ht="17">
      <c r="A26" s="19" t="s">
        <v>55</v>
      </c>
      <c r="B26" s="19">
        <v>267.60000000000002</v>
      </c>
      <c r="C26" s="19">
        <v>1.82</v>
      </c>
      <c r="D26" s="19">
        <v>11057</v>
      </c>
      <c r="E26" s="19">
        <v>1153</v>
      </c>
      <c r="F26" s="19">
        <v>763</v>
      </c>
      <c r="G26" s="19">
        <v>10.43</v>
      </c>
      <c r="H26" s="19">
        <v>6.9</v>
      </c>
      <c r="I26" s="19">
        <v>54.68</v>
      </c>
      <c r="J26" s="19">
        <v>1666</v>
      </c>
      <c r="K26">
        <f t="shared" si="0"/>
        <v>0</v>
      </c>
    </row>
    <row r="27" spans="1:11" ht="17">
      <c r="A27" s="19" t="s">
        <v>183</v>
      </c>
      <c r="B27" s="19">
        <v>277.61</v>
      </c>
      <c r="C27" s="19">
        <v>1.82</v>
      </c>
      <c r="D27" s="19">
        <v>12685</v>
      </c>
      <c r="E27" s="19">
        <v>1425</v>
      </c>
      <c r="F27" s="19">
        <v>942</v>
      </c>
      <c r="G27" s="19">
        <v>11.23</v>
      </c>
      <c r="H27" s="19">
        <v>7.43</v>
      </c>
      <c r="I27" s="19">
        <v>56.06</v>
      </c>
      <c r="J27" s="19">
        <v>1544</v>
      </c>
      <c r="K27">
        <f t="shared" si="0"/>
        <v>0</v>
      </c>
    </row>
    <row r="28" spans="1:11" ht="17">
      <c r="A28" s="19" t="s">
        <v>34</v>
      </c>
      <c r="B28" s="19">
        <v>310.29000000000002</v>
      </c>
      <c r="C28" s="19">
        <v>1.82</v>
      </c>
      <c r="D28" s="19">
        <v>12169</v>
      </c>
      <c r="E28" s="19">
        <v>1351</v>
      </c>
      <c r="F28" s="19">
        <v>939</v>
      </c>
      <c r="G28" s="19">
        <v>11.1</v>
      </c>
      <c r="H28" s="19">
        <v>7.72</v>
      </c>
      <c r="I28" s="19">
        <v>56.07</v>
      </c>
      <c r="J28" s="19">
        <v>1754</v>
      </c>
      <c r="K28">
        <f t="shared" si="0"/>
        <v>9.8901098901098869E-2</v>
      </c>
    </row>
    <row r="29" spans="1:11" ht="17">
      <c r="A29" s="19" t="s">
        <v>173</v>
      </c>
      <c r="B29" s="19">
        <v>321.05</v>
      </c>
      <c r="C29" s="19">
        <v>2</v>
      </c>
      <c r="D29" s="19">
        <v>15137</v>
      </c>
      <c r="E29" s="19">
        <v>1619</v>
      </c>
      <c r="F29" s="19">
        <v>-642</v>
      </c>
      <c r="G29" s="19">
        <v>10.7</v>
      </c>
      <c r="H29" s="19">
        <v>-4.24</v>
      </c>
      <c r="I29" s="19">
        <v>59.04</v>
      </c>
      <c r="J29" s="19">
        <v>1512</v>
      </c>
      <c r="K29">
        <f t="shared" si="0"/>
        <v>0</v>
      </c>
    </row>
    <row r="30" spans="1:11" ht="17">
      <c r="A30" s="19" t="s">
        <v>282</v>
      </c>
      <c r="B30" s="19">
        <v>337.93</v>
      </c>
      <c r="C30" s="19">
        <v>2</v>
      </c>
      <c r="D30" s="19">
        <v>11635</v>
      </c>
      <c r="E30" s="19">
        <v>1658</v>
      </c>
      <c r="F30" s="19">
        <v>1157</v>
      </c>
      <c r="G30" s="19">
        <v>14.25</v>
      </c>
      <c r="H30" s="19">
        <v>9.94</v>
      </c>
      <c r="I30" s="19">
        <v>112.35</v>
      </c>
      <c r="J30" s="19">
        <v>632</v>
      </c>
      <c r="K30">
        <f t="shared" si="0"/>
        <v>0</v>
      </c>
    </row>
    <row r="31" spans="1:11" ht="17">
      <c r="A31" s="19" t="s">
        <v>110</v>
      </c>
      <c r="B31" s="19">
        <v>295.43</v>
      </c>
      <c r="C31" s="19">
        <v>2</v>
      </c>
      <c r="D31" s="19">
        <v>13398</v>
      </c>
      <c r="E31" s="19">
        <v>1849</v>
      </c>
      <c r="F31" s="19">
        <v>1163</v>
      </c>
      <c r="G31" s="19">
        <v>13.8</v>
      </c>
      <c r="H31" s="19">
        <v>8.68</v>
      </c>
      <c r="I31" s="19">
        <v>95.86</v>
      </c>
      <c r="J31" s="19">
        <v>-72</v>
      </c>
      <c r="K31">
        <f t="shared" si="0"/>
        <v>0</v>
      </c>
    </row>
    <row r="32" spans="1:11" ht="17">
      <c r="A32" s="19" t="s">
        <v>52</v>
      </c>
      <c r="B32" s="19">
        <v>345.96</v>
      </c>
      <c r="C32" s="19">
        <v>2</v>
      </c>
      <c r="D32" s="19">
        <v>14318</v>
      </c>
      <c r="E32" s="19">
        <v>1921</v>
      </c>
      <c r="F32" s="19">
        <v>1473</v>
      </c>
      <c r="G32" s="19">
        <v>13.42</v>
      </c>
      <c r="H32" s="19">
        <v>10.29</v>
      </c>
      <c r="I32" s="19">
        <v>89.47</v>
      </c>
      <c r="J32" s="19">
        <v>361</v>
      </c>
      <c r="K32">
        <f t="shared" si="0"/>
        <v>0.10000000000000009</v>
      </c>
    </row>
    <row r="33" spans="1:11" ht="17">
      <c r="A33" s="19" t="s">
        <v>107</v>
      </c>
      <c r="B33" s="19">
        <v>261.83999999999997</v>
      </c>
      <c r="C33" s="19">
        <v>2.2000000000000002</v>
      </c>
      <c r="D33" s="19">
        <v>14411</v>
      </c>
      <c r="E33" s="19">
        <v>1942</v>
      </c>
      <c r="F33" s="19">
        <v>1253</v>
      </c>
      <c r="G33" s="19">
        <v>13.48</v>
      </c>
      <c r="H33" s="19">
        <v>8.69</v>
      </c>
      <c r="I33" s="19">
        <v>75.760000000000005</v>
      </c>
      <c r="J33" s="19">
        <v>2217</v>
      </c>
      <c r="K33">
        <f t="shared" si="0"/>
        <v>0</v>
      </c>
    </row>
    <row r="34" spans="1:11" ht="17">
      <c r="A34" s="19" t="s">
        <v>18</v>
      </c>
      <c r="B34" s="19">
        <v>300.16000000000003</v>
      </c>
      <c r="C34" s="19">
        <v>2.2000000000000002</v>
      </c>
      <c r="D34" s="19">
        <v>14336</v>
      </c>
      <c r="E34" s="19">
        <v>2188</v>
      </c>
      <c r="F34" s="19">
        <v>1704</v>
      </c>
      <c r="G34" s="19">
        <v>15.26</v>
      </c>
      <c r="H34" s="19">
        <v>11.89</v>
      </c>
      <c r="I34" s="19">
        <v>46.62</v>
      </c>
      <c r="J34" s="19">
        <v>1663</v>
      </c>
      <c r="K34">
        <f t="shared" si="0"/>
        <v>0</v>
      </c>
    </row>
    <row r="35" spans="1:11" ht="17">
      <c r="A35" s="19" t="s">
        <v>222</v>
      </c>
      <c r="B35" s="19">
        <v>363.54</v>
      </c>
      <c r="C35" s="19">
        <v>2.2000000000000002</v>
      </c>
      <c r="D35" s="19">
        <v>14427</v>
      </c>
      <c r="E35" s="19">
        <v>1993</v>
      </c>
      <c r="F35" s="19">
        <v>1420</v>
      </c>
      <c r="G35" s="19">
        <v>13.81</v>
      </c>
      <c r="H35" s="19">
        <v>9.84</v>
      </c>
      <c r="I35" s="19">
        <v>42.94</v>
      </c>
      <c r="J35" s="19">
        <v>1668</v>
      </c>
      <c r="K35">
        <f t="shared" si="0"/>
        <v>0</v>
      </c>
    </row>
    <row r="36" spans="1:11" ht="17">
      <c r="A36" s="19" t="s">
        <v>170</v>
      </c>
      <c r="B36" s="19">
        <v>390.06</v>
      </c>
      <c r="C36" s="19">
        <v>2.2000000000000002</v>
      </c>
      <c r="D36" s="19">
        <v>15171</v>
      </c>
      <c r="E36" s="19">
        <v>2063</v>
      </c>
      <c r="F36" s="19">
        <v>1608</v>
      </c>
      <c r="G36" s="19">
        <v>13.6</v>
      </c>
      <c r="H36" s="19">
        <v>10.6</v>
      </c>
      <c r="I36" s="19">
        <v>41.91</v>
      </c>
      <c r="J36" s="19">
        <v>2490</v>
      </c>
      <c r="K36">
        <f t="shared" si="0"/>
        <v>9.0909090909090787E-2</v>
      </c>
    </row>
    <row r="37" spans="1:11" ht="17">
      <c r="A37" s="19" t="s">
        <v>250</v>
      </c>
      <c r="B37" s="19">
        <v>389.38</v>
      </c>
      <c r="C37" s="19">
        <v>2.4</v>
      </c>
      <c r="D37" s="19">
        <v>15878</v>
      </c>
      <c r="E37" s="19">
        <v>2123</v>
      </c>
      <c r="F37" s="19">
        <v>1498</v>
      </c>
      <c r="G37" s="19">
        <v>13.37</v>
      </c>
      <c r="H37" s="19">
        <v>9.43</v>
      </c>
      <c r="I37" s="19">
        <v>41.83</v>
      </c>
      <c r="J37" s="19">
        <v>1490</v>
      </c>
      <c r="K37">
        <f t="shared" si="0"/>
        <v>0</v>
      </c>
    </row>
    <row r="38" spans="1:11" ht="17">
      <c r="A38" s="19" t="s">
        <v>126</v>
      </c>
      <c r="B38" s="19">
        <v>338.95</v>
      </c>
      <c r="C38" s="19">
        <v>2.4</v>
      </c>
      <c r="D38" s="19">
        <v>15651</v>
      </c>
      <c r="E38" s="19">
        <v>2091</v>
      </c>
      <c r="F38" s="19">
        <v>1717</v>
      </c>
      <c r="G38" s="19">
        <v>13.36</v>
      </c>
      <c r="H38" s="19">
        <v>10.97</v>
      </c>
      <c r="I38" s="19">
        <v>41</v>
      </c>
      <c r="J38" s="19">
        <v>2314</v>
      </c>
      <c r="K38">
        <f t="shared" si="0"/>
        <v>0</v>
      </c>
    </row>
    <row r="39" spans="1:11" ht="17">
      <c r="A39" s="19" t="s">
        <v>161</v>
      </c>
      <c r="B39" s="19">
        <v>364.92</v>
      </c>
      <c r="C39" s="19">
        <v>2.4</v>
      </c>
      <c r="D39" s="19">
        <v>16220</v>
      </c>
      <c r="E39" s="19">
        <v>2086</v>
      </c>
      <c r="F39" s="19">
        <v>1626</v>
      </c>
      <c r="G39" s="19">
        <v>12.86</v>
      </c>
      <c r="H39" s="19">
        <v>10.02</v>
      </c>
      <c r="I39" s="19">
        <v>41.74</v>
      </c>
      <c r="J39" s="19">
        <v>2182</v>
      </c>
      <c r="K39">
        <f t="shared" si="0"/>
        <v>0</v>
      </c>
    </row>
    <row r="40" spans="1:11" ht="17">
      <c r="A40" s="19" t="s">
        <v>28</v>
      </c>
      <c r="B40" s="19">
        <v>383.28</v>
      </c>
      <c r="C40" s="19">
        <v>2.4</v>
      </c>
      <c r="D40" s="19">
        <v>16495</v>
      </c>
      <c r="E40" s="19">
        <v>2136</v>
      </c>
      <c r="F40" s="19">
        <v>1698</v>
      </c>
      <c r="G40" s="19">
        <v>12.95</v>
      </c>
      <c r="H40" s="19">
        <v>10.29</v>
      </c>
      <c r="I40" s="19">
        <v>41.19</v>
      </c>
      <c r="J40" s="19">
        <v>1880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9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0" t="s">
        <v>273</v>
      </c>
      <c r="B1" s="20" t="s">
        <v>262</v>
      </c>
      <c r="C1" s="20" t="s">
        <v>223</v>
      </c>
      <c r="D1" s="20" t="s">
        <v>259</v>
      </c>
      <c r="E1" s="20" t="s">
        <v>258</v>
      </c>
      <c r="F1" s="20" t="s">
        <v>27</v>
      </c>
      <c r="G1" s="20" t="s">
        <v>77</v>
      </c>
      <c r="H1" s="20" t="s">
        <v>278</v>
      </c>
      <c r="I1" s="20" t="s">
        <v>128</v>
      </c>
      <c r="J1" s="20" t="s">
        <v>308</v>
      </c>
    </row>
    <row r="2" spans="1:11" ht="17">
      <c r="A2" s="20" t="s">
        <v>32</v>
      </c>
      <c r="B2" s="20">
        <v>76.09</v>
      </c>
      <c r="C2" s="20">
        <v>0.61</v>
      </c>
      <c r="D2" s="20">
        <v>6112</v>
      </c>
      <c r="E2" s="20">
        <v>1826</v>
      </c>
      <c r="F2" s="20">
        <v>1209</v>
      </c>
      <c r="G2" s="20">
        <v>29.88</v>
      </c>
      <c r="H2" s="20">
        <v>19.78</v>
      </c>
      <c r="I2" s="20">
        <v>49.05</v>
      </c>
      <c r="J2" s="20">
        <v>1553</v>
      </c>
      <c r="K2">
        <f t="shared" ref="K2:K39" si="0">(C3-C2)/C2</f>
        <v>0</v>
      </c>
    </row>
    <row r="3" spans="1:11" ht="17">
      <c r="A3" s="20" t="s">
        <v>79</v>
      </c>
      <c r="B3" s="20">
        <v>84.32</v>
      </c>
      <c r="C3" s="20">
        <v>0.61</v>
      </c>
      <c r="D3" s="20">
        <v>6905</v>
      </c>
      <c r="E3" s="20">
        <v>2192</v>
      </c>
      <c r="F3" s="20">
        <v>1410</v>
      </c>
      <c r="G3" s="20">
        <v>31.74</v>
      </c>
      <c r="H3" s="20">
        <v>20.420000000000002</v>
      </c>
      <c r="I3" s="20">
        <v>48.18</v>
      </c>
      <c r="J3" s="20">
        <v>1643</v>
      </c>
      <c r="K3">
        <f t="shared" si="0"/>
        <v>0</v>
      </c>
    </row>
    <row r="4" spans="1:11" ht="17">
      <c r="A4" s="20" t="s">
        <v>181</v>
      </c>
      <c r="B4" s="20">
        <v>87.82</v>
      </c>
      <c r="C4" s="20">
        <v>0.61</v>
      </c>
      <c r="D4" s="20">
        <v>7166</v>
      </c>
      <c r="E4" s="20">
        <v>2326</v>
      </c>
      <c r="F4" s="20">
        <v>1507</v>
      </c>
      <c r="G4" s="20">
        <v>32.46</v>
      </c>
      <c r="H4" s="20">
        <v>21.03</v>
      </c>
      <c r="I4" s="20">
        <v>47.84</v>
      </c>
      <c r="J4" s="20">
        <v>2170</v>
      </c>
      <c r="K4">
        <f t="shared" si="0"/>
        <v>0.14754098360655732</v>
      </c>
    </row>
    <row r="5" spans="1:11" ht="17">
      <c r="A5" s="20" t="s">
        <v>217</v>
      </c>
      <c r="B5" s="20">
        <v>100.33</v>
      </c>
      <c r="C5" s="20">
        <v>0.7</v>
      </c>
      <c r="D5" s="20">
        <v>6823</v>
      </c>
      <c r="E5" s="20">
        <v>2285</v>
      </c>
      <c r="F5" s="20">
        <v>1377</v>
      </c>
      <c r="G5" s="20">
        <v>33.5</v>
      </c>
      <c r="H5" s="20">
        <v>20.18</v>
      </c>
      <c r="I5" s="20">
        <v>47.84</v>
      </c>
      <c r="J5" s="20">
        <v>1785</v>
      </c>
      <c r="K5">
        <f t="shared" si="0"/>
        <v>0</v>
      </c>
    </row>
    <row r="6" spans="1:11" ht="17">
      <c r="A6" s="20" t="s">
        <v>162</v>
      </c>
      <c r="B6" s="20">
        <v>98.1</v>
      </c>
      <c r="C6" s="20">
        <v>0.7</v>
      </c>
      <c r="D6" s="20">
        <v>6547</v>
      </c>
      <c r="E6" s="20">
        <v>1925</v>
      </c>
      <c r="F6" s="20">
        <v>1267</v>
      </c>
      <c r="G6" s="20">
        <v>29.4</v>
      </c>
      <c r="H6" s="20">
        <v>19.350000000000001</v>
      </c>
      <c r="I6" s="20">
        <v>48.01</v>
      </c>
      <c r="J6" s="20">
        <v>1634</v>
      </c>
      <c r="K6">
        <f t="shared" si="0"/>
        <v>0</v>
      </c>
    </row>
    <row r="7" spans="1:11" ht="17">
      <c r="A7" s="20" t="s">
        <v>64</v>
      </c>
      <c r="B7" s="20">
        <v>88.53</v>
      </c>
      <c r="C7" s="20">
        <v>0.7</v>
      </c>
      <c r="D7" s="20">
        <v>6916</v>
      </c>
      <c r="E7" s="20">
        <v>2099</v>
      </c>
      <c r="F7" s="20">
        <v>1347</v>
      </c>
      <c r="G7" s="20">
        <v>30.34</v>
      </c>
      <c r="H7" s="20">
        <v>19.48</v>
      </c>
      <c r="I7" s="20">
        <v>48.97</v>
      </c>
      <c r="J7" s="20">
        <v>1483</v>
      </c>
      <c r="K7">
        <f t="shared" si="0"/>
        <v>0</v>
      </c>
    </row>
    <row r="8" spans="1:11" ht="17">
      <c r="A8" s="20" t="s">
        <v>226</v>
      </c>
      <c r="B8" s="20">
        <v>91.75</v>
      </c>
      <c r="C8" s="20">
        <v>0.7</v>
      </c>
      <c r="D8" s="20">
        <v>7152</v>
      </c>
      <c r="E8" s="20">
        <v>2234</v>
      </c>
      <c r="F8" s="20">
        <v>1455</v>
      </c>
      <c r="G8" s="20">
        <v>31.23</v>
      </c>
      <c r="H8" s="20">
        <v>20.34</v>
      </c>
      <c r="I8" s="20">
        <v>50.94</v>
      </c>
      <c r="J8" s="20">
        <v>1999</v>
      </c>
      <c r="K8">
        <f t="shared" si="0"/>
        <v>0.10000000000000009</v>
      </c>
    </row>
    <row r="9" spans="1:11" ht="17">
      <c r="A9" s="20" t="s">
        <v>247</v>
      </c>
      <c r="B9" s="20">
        <v>88.21</v>
      </c>
      <c r="C9" s="20">
        <v>0.77</v>
      </c>
      <c r="D9" s="20">
        <v>6952</v>
      </c>
      <c r="E9" s="20">
        <v>2104</v>
      </c>
      <c r="F9" s="20">
        <v>1396</v>
      </c>
      <c r="G9" s="20">
        <v>30.26</v>
      </c>
      <c r="H9" s="20">
        <v>20.079999999999998</v>
      </c>
      <c r="I9" s="20">
        <v>53.54</v>
      </c>
      <c r="J9" s="20">
        <v>1850</v>
      </c>
      <c r="K9">
        <f t="shared" si="0"/>
        <v>0</v>
      </c>
    </row>
    <row r="10" spans="1:11" ht="17">
      <c r="A10" s="20" t="s">
        <v>19</v>
      </c>
      <c r="B10" s="20">
        <v>99.69</v>
      </c>
      <c r="C10" s="20">
        <v>0.77</v>
      </c>
      <c r="D10" s="20">
        <v>6605</v>
      </c>
      <c r="E10" s="20">
        <v>1888</v>
      </c>
      <c r="F10" s="20">
        <v>1270</v>
      </c>
      <c r="G10" s="20">
        <v>28.58</v>
      </c>
      <c r="H10" s="20">
        <v>19.23</v>
      </c>
      <c r="I10" s="20">
        <v>53.54</v>
      </c>
      <c r="J10" s="20">
        <v>1687</v>
      </c>
      <c r="K10">
        <f t="shared" si="0"/>
        <v>0</v>
      </c>
    </row>
    <row r="11" spans="1:11" ht="17">
      <c r="A11" s="20" t="s">
        <v>192</v>
      </c>
      <c r="B11" s="20">
        <v>99</v>
      </c>
      <c r="C11" s="20">
        <v>0.77</v>
      </c>
      <c r="D11" s="20">
        <v>7084</v>
      </c>
      <c r="E11" s="20">
        <v>2158</v>
      </c>
      <c r="F11" s="20">
        <v>1397</v>
      </c>
      <c r="G11" s="20">
        <v>30.47</v>
      </c>
      <c r="H11" s="20">
        <v>19.71</v>
      </c>
      <c r="I11" s="20">
        <v>54.55</v>
      </c>
      <c r="J11" s="20">
        <v>1510</v>
      </c>
      <c r="K11">
        <f t="shared" si="0"/>
        <v>0</v>
      </c>
    </row>
    <row r="12" spans="1:11" ht="17">
      <c r="A12" s="20" t="s">
        <v>160</v>
      </c>
      <c r="B12" s="20">
        <v>96.21</v>
      </c>
      <c r="C12" s="20">
        <v>0.77</v>
      </c>
      <c r="D12" s="20">
        <v>7323</v>
      </c>
      <c r="E12" s="20">
        <v>2356</v>
      </c>
      <c r="F12" s="20">
        <v>1522</v>
      </c>
      <c r="G12" s="20">
        <v>32.17</v>
      </c>
      <c r="H12" s="20">
        <v>20.79</v>
      </c>
      <c r="I12" s="20">
        <v>55.13</v>
      </c>
      <c r="J12" s="20">
        <v>2051</v>
      </c>
      <c r="K12">
        <f t="shared" si="0"/>
        <v>5.1948051948051993E-2</v>
      </c>
    </row>
    <row r="13" spans="1:11" ht="17">
      <c r="A13" s="20" t="s">
        <v>168</v>
      </c>
      <c r="B13" s="20">
        <v>97.03</v>
      </c>
      <c r="C13" s="20">
        <v>0.81</v>
      </c>
      <c r="D13" s="20">
        <v>7093</v>
      </c>
      <c r="E13" s="20">
        <v>2115</v>
      </c>
      <c r="F13" s="20">
        <v>1397</v>
      </c>
      <c r="G13" s="20">
        <v>29.82</v>
      </c>
      <c r="H13" s="20">
        <v>19.690000000000001</v>
      </c>
      <c r="I13" s="20">
        <v>55.6</v>
      </c>
      <c r="J13" s="20">
        <v>1874</v>
      </c>
      <c r="K13">
        <f t="shared" si="0"/>
        <v>0</v>
      </c>
    </row>
    <row r="14" spans="1:11" ht="17">
      <c r="A14" s="20" t="s">
        <v>63</v>
      </c>
      <c r="B14" s="20">
        <v>98.03</v>
      </c>
      <c r="C14" s="20">
        <v>0.81</v>
      </c>
      <c r="D14" s="20">
        <v>6700</v>
      </c>
      <c r="E14" s="20">
        <v>1896</v>
      </c>
      <c r="F14" s="20">
        <v>1205</v>
      </c>
      <c r="G14" s="20">
        <v>28.29</v>
      </c>
      <c r="H14" s="20">
        <v>17.98</v>
      </c>
      <c r="I14" s="20">
        <v>56.22</v>
      </c>
      <c r="J14" s="20">
        <v>1907</v>
      </c>
      <c r="K14">
        <f t="shared" si="0"/>
        <v>0</v>
      </c>
    </row>
    <row r="15" spans="1:11" ht="17">
      <c r="A15" s="20" t="s">
        <v>14</v>
      </c>
      <c r="B15" s="20">
        <v>100.74</v>
      </c>
      <c r="C15" s="20">
        <v>0.81</v>
      </c>
      <c r="D15" s="20">
        <v>7182</v>
      </c>
      <c r="E15" s="20">
        <v>2155</v>
      </c>
      <c r="F15" s="20">
        <v>1387</v>
      </c>
      <c r="G15" s="20">
        <v>30.01</v>
      </c>
      <c r="H15" s="20">
        <v>19.309999999999999</v>
      </c>
      <c r="I15" s="20">
        <v>57.45</v>
      </c>
      <c r="J15" s="20">
        <v>1487</v>
      </c>
      <c r="K15">
        <f t="shared" si="0"/>
        <v>0</v>
      </c>
    </row>
    <row r="16" spans="1:11" ht="17">
      <c r="A16" s="20" t="s">
        <v>288</v>
      </c>
      <c r="B16" s="20">
        <v>94.81</v>
      </c>
      <c r="C16" s="20">
        <v>0.81</v>
      </c>
      <c r="D16" s="20">
        <v>6987</v>
      </c>
      <c r="E16" s="20">
        <v>2105</v>
      </c>
      <c r="F16" s="20">
        <v>1068</v>
      </c>
      <c r="G16" s="20">
        <v>30.13</v>
      </c>
      <c r="H16" s="20">
        <v>15.29</v>
      </c>
      <c r="I16" s="20">
        <v>57.97</v>
      </c>
      <c r="J16" s="20">
        <v>1833</v>
      </c>
      <c r="K16">
        <f t="shared" si="0"/>
        <v>4.9382716049382616E-2</v>
      </c>
    </row>
    <row r="17" spans="1:11" ht="17">
      <c r="A17" s="20" t="s">
        <v>133</v>
      </c>
      <c r="B17" s="20">
        <v>93.7</v>
      </c>
      <c r="C17" s="20">
        <v>0.85</v>
      </c>
      <c r="D17" s="20">
        <v>6572</v>
      </c>
      <c r="E17" s="20">
        <v>1812</v>
      </c>
      <c r="F17" s="20">
        <v>1098</v>
      </c>
      <c r="G17" s="20">
        <v>27.56</v>
      </c>
      <c r="H17" s="20">
        <v>16.7</v>
      </c>
      <c r="I17" s="20">
        <v>63.78</v>
      </c>
      <c r="J17" s="20">
        <v>1503</v>
      </c>
      <c r="K17">
        <f t="shared" si="0"/>
        <v>0</v>
      </c>
    </row>
    <row r="18" spans="1:11" ht="17">
      <c r="A18" s="20" t="s">
        <v>36</v>
      </c>
      <c r="B18" s="20">
        <v>97.44</v>
      </c>
      <c r="C18" s="20">
        <v>0.85</v>
      </c>
      <c r="D18" s="20">
        <v>5959</v>
      </c>
      <c r="E18" s="20">
        <v>1618</v>
      </c>
      <c r="F18" s="20">
        <v>812</v>
      </c>
      <c r="G18" s="20">
        <v>27.16</v>
      </c>
      <c r="H18" s="20">
        <v>13.62</v>
      </c>
      <c r="I18" s="20">
        <v>68.05</v>
      </c>
      <c r="J18" s="20">
        <v>1700</v>
      </c>
      <c r="K18">
        <f t="shared" si="0"/>
        <v>0</v>
      </c>
    </row>
    <row r="19" spans="1:11" ht="17">
      <c r="A19" s="20" t="s">
        <v>190</v>
      </c>
      <c r="B19" s="20">
        <v>95.07</v>
      </c>
      <c r="C19" s="20">
        <v>0.85</v>
      </c>
      <c r="D19" s="20">
        <v>6498</v>
      </c>
      <c r="E19" s="20">
        <v>1898</v>
      </c>
      <c r="F19" s="20">
        <v>1202</v>
      </c>
      <c r="G19" s="20">
        <v>29.21</v>
      </c>
      <c r="H19" s="20">
        <v>18.510000000000002</v>
      </c>
      <c r="I19" s="20">
        <v>74.61</v>
      </c>
      <c r="J19" s="20">
        <v>1514</v>
      </c>
      <c r="K19">
        <f t="shared" si="0"/>
        <v>0</v>
      </c>
    </row>
    <row r="20" spans="1:11" ht="17">
      <c r="A20" s="20" t="s">
        <v>256</v>
      </c>
      <c r="B20" s="20">
        <v>98.53</v>
      </c>
      <c r="C20" s="20">
        <v>0.85</v>
      </c>
      <c r="D20" s="20">
        <v>6615</v>
      </c>
      <c r="E20" s="20">
        <v>2007</v>
      </c>
      <c r="F20" s="20">
        <v>1309</v>
      </c>
      <c r="G20" s="20">
        <v>30.34</v>
      </c>
      <c r="H20" s="20">
        <v>19.79</v>
      </c>
      <c r="I20" s="20">
        <v>78.14</v>
      </c>
      <c r="J20" s="20">
        <v>1947</v>
      </c>
      <c r="K20">
        <f t="shared" si="0"/>
        <v>4.7058823529411806E-2</v>
      </c>
    </row>
    <row r="21" spans="1:11" ht="17">
      <c r="A21" s="20" t="s">
        <v>203</v>
      </c>
      <c r="B21" s="20">
        <v>118.14</v>
      </c>
      <c r="C21" s="20">
        <v>0.89</v>
      </c>
      <c r="D21" s="20">
        <v>6341</v>
      </c>
      <c r="E21" s="20">
        <v>1831</v>
      </c>
      <c r="F21" s="20">
        <v>1206</v>
      </c>
      <c r="G21" s="20">
        <v>28.88</v>
      </c>
      <c r="H21" s="20">
        <v>19.02</v>
      </c>
      <c r="I21" s="20">
        <v>73.59</v>
      </c>
      <c r="J21" s="20">
        <v>1379</v>
      </c>
      <c r="K21">
        <f t="shared" si="0"/>
        <v>0</v>
      </c>
    </row>
    <row r="22" spans="1:11" ht="17">
      <c r="A22" s="20" t="s">
        <v>89</v>
      </c>
      <c r="B22" s="20">
        <v>125.68</v>
      </c>
      <c r="C22" s="20">
        <v>0.89</v>
      </c>
      <c r="D22" s="20">
        <v>5904</v>
      </c>
      <c r="E22" s="20">
        <v>1736</v>
      </c>
      <c r="F22" s="20">
        <v>1099</v>
      </c>
      <c r="G22" s="20">
        <v>29.4</v>
      </c>
      <c r="H22" s="20">
        <v>18.61</v>
      </c>
      <c r="I22" s="20">
        <v>71.67</v>
      </c>
      <c r="J22" s="20">
        <v>1719</v>
      </c>
      <c r="K22">
        <f t="shared" si="0"/>
        <v>0</v>
      </c>
    </row>
    <row r="23" spans="1:11" ht="17">
      <c r="A23" s="20" t="s">
        <v>127</v>
      </c>
      <c r="B23" s="20">
        <v>120.34</v>
      </c>
      <c r="C23" s="20">
        <v>0.89</v>
      </c>
      <c r="D23" s="20">
        <v>6265</v>
      </c>
      <c r="E23" s="20">
        <v>1990</v>
      </c>
      <c r="F23" s="20">
        <v>1093</v>
      </c>
      <c r="G23" s="20">
        <v>31.76</v>
      </c>
      <c r="H23" s="20">
        <v>17.440000000000001</v>
      </c>
      <c r="I23" s="20">
        <v>67.05</v>
      </c>
      <c r="J23" s="20">
        <v>1248</v>
      </c>
      <c r="K23">
        <f t="shared" si="0"/>
        <v>0</v>
      </c>
    </row>
    <row r="24" spans="1:11" ht="17">
      <c r="A24" s="20" t="s">
        <v>88</v>
      </c>
      <c r="B24" s="20">
        <v>115.36</v>
      </c>
      <c r="C24" s="20">
        <v>0.89</v>
      </c>
      <c r="D24" s="20">
        <v>6424</v>
      </c>
      <c r="E24" s="20">
        <v>2164</v>
      </c>
      <c r="F24" s="20">
        <v>1275</v>
      </c>
      <c r="G24" s="20">
        <v>33.69</v>
      </c>
      <c r="H24" s="20">
        <v>19.850000000000001</v>
      </c>
      <c r="I24" s="20">
        <v>67.430000000000007</v>
      </c>
      <c r="J24" s="20">
        <v>2251</v>
      </c>
      <c r="K24">
        <f t="shared" si="0"/>
        <v>5.6179775280898799E-2</v>
      </c>
    </row>
    <row r="25" spans="1:11" ht="17">
      <c r="A25" s="20" t="s">
        <v>24</v>
      </c>
      <c r="B25" s="20">
        <v>121.72</v>
      </c>
      <c r="C25" s="20">
        <v>0.94</v>
      </c>
      <c r="D25" s="20">
        <v>6029</v>
      </c>
      <c r="E25" s="20">
        <v>1931</v>
      </c>
      <c r="F25" s="20">
        <v>1193</v>
      </c>
      <c r="G25" s="20">
        <v>32.020000000000003</v>
      </c>
      <c r="H25" s="20">
        <v>19.79</v>
      </c>
      <c r="I25" s="20">
        <v>66.92</v>
      </c>
      <c r="J25" s="20">
        <v>815</v>
      </c>
      <c r="K25">
        <f t="shared" si="0"/>
        <v>0</v>
      </c>
    </row>
    <row r="26" spans="1:11" ht="17">
      <c r="A26" s="20" t="s">
        <v>55</v>
      </c>
      <c r="B26" s="20">
        <v>129.61000000000001</v>
      </c>
      <c r="C26" s="20">
        <v>0.94</v>
      </c>
      <c r="D26" s="20">
        <v>5676</v>
      </c>
      <c r="E26" s="20">
        <v>1908</v>
      </c>
      <c r="F26" s="20">
        <v>1215</v>
      </c>
      <c r="G26" s="20">
        <v>33.619999999999997</v>
      </c>
      <c r="H26" s="20">
        <v>21.4</v>
      </c>
      <c r="I26" s="20">
        <v>66.36</v>
      </c>
      <c r="J26" s="20">
        <v>1544</v>
      </c>
      <c r="K26">
        <f t="shared" si="0"/>
        <v>0</v>
      </c>
    </row>
    <row r="27" spans="1:11" ht="17">
      <c r="A27" s="20" t="s">
        <v>183</v>
      </c>
      <c r="B27" s="20">
        <v>153.16</v>
      </c>
      <c r="C27" s="20">
        <v>0.94</v>
      </c>
      <c r="D27" s="20">
        <v>6050</v>
      </c>
      <c r="E27" s="20">
        <v>2183</v>
      </c>
      <c r="F27" s="20">
        <v>1395</v>
      </c>
      <c r="G27" s="20">
        <v>36.08</v>
      </c>
      <c r="H27" s="20">
        <v>23.06</v>
      </c>
      <c r="I27" s="20">
        <v>64.66</v>
      </c>
      <c r="J27" s="20">
        <v>1213</v>
      </c>
      <c r="K27">
        <f t="shared" si="0"/>
        <v>0</v>
      </c>
    </row>
    <row r="28" spans="1:11" ht="17">
      <c r="A28" s="20" t="s">
        <v>34</v>
      </c>
      <c r="B28" s="20">
        <v>156.68</v>
      </c>
      <c r="C28" s="20">
        <v>0.94</v>
      </c>
      <c r="D28" s="20">
        <v>5755</v>
      </c>
      <c r="E28" s="20">
        <v>2251</v>
      </c>
      <c r="F28" s="20">
        <v>1884</v>
      </c>
      <c r="G28" s="20">
        <v>39.11</v>
      </c>
      <c r="H28" s="20">
        <v>32.729999999999997</v>
      </c>
      <c r="I28" s="20">
        <v>60.82</v>
      </c>
      <c r="J28" s="20">
        <v>1685</v>
      </c>
      <c r="K28">
        <f t="shared" si="0"/>
        <v>7.4468085106383045E-2</v>
      </c>
    </row>
    <row r="29" spans="1:11" ht="17">
      <c r="A29" s="20" t="s">
        <v>173</v>
      </c>
      <c r="B29" s="20">
        <v>172.12</v>
      </c>
      <c r="C29" s="20">
        <v>1.01</v>
      </c>
      <c r="D29" s="20">
        <v>5340</v>
      </c>
      <c r="E29" s="20">
        <v>2048</v>
      </c>
      <c r="F29" s="20">
        <v>699</v>
      </c>
      <c r="G29" s="20">
        <v>38.35</v>
      </c>
      <c r="H29" s="20">
        <v>13.08</v>
      </c>
      <c r="I29" s="20">
        <v>54.41</v>
      </c>
      <c r="J29" s="20">
        <v>1109</v>
      </c>
      <c r="K29">
        <f t="shared" si="0"/>
        <v>0</v>
      </c>
    </row>
    <row r="30" spans="1:11" ht="17">
      <c r="A30" s="20" t="s">
        <v>282</v>
      </c>
      <c r="B30" s="20">
        <v>156.38</v>
      </c>
      <c r="C30" s="20">
        <v>1.01</v>
      </c>
      <c r="D30" s="20">
        <v>5139</v>
      </c>
      <c r="E30" s="20">
        <v>1995</v>
      </c>
      <c r="F30" s="20">
        <v>1375</v>
      </c>
      <c r="G30" s="20">
        <v>38.81</v>
      </c>
      <c r="H30" s="20">
        <v>26.76</v>
      </c>
      <c r="I30" s="20">
        <v>60.13</v>
      </c>
      <c r="J30" s="20">
        <v>1645</v>
      </c>
      <c r="K30">
        <f t="shared" si="0"/>
        <v>0</v>
      </c>
    </row>
    <row r="31" spans="1:11" ht="17">
      <c r="A31" s="20" t="s">
        <v>110</v>
      </c>
      <c r="B31" s="20">
        <v>156.69</v>
      </c>
      <c r="C31" s="20">
        <v>1.01</v>
      </c>
      <c r="D31" s="20">
        <v>5354</v>
      </c>
      <c r="E31" s="20">
        <v>2197</v>
      </c>
      <c r="F31" s="20">
        <v>1496</v>
      </c>
      <c r="G31" s="20">
        <v>41.04</v>
      </c>
      <c r="H31" s="20">
        <v>27.95</v>
      </c>
      <c r="I31" s="20">
        <v>58.91</v>
      </c>
      <c r="J31" s="20">
        <v>1339</v>
      </c>
      <c r="K31">
        <f t="shared" si="0"/>
        <v>0</v>
      </c>
    </row>
    <row r="32" spans="1:11" ht="17">
      <c r="A32" s="20" t="s">
        <v>52</v>
      </c>
      <c r="B32" s="20">
        <v>167.29</v>
      </c>
      <c r="C32" s="20">
        <v>1.01</v>
      </c>
      <c r="D32" s="20">
        <v>5369</v>
      </c>
      <c r="E32" s="20">
        <v>2307</v>
      </c>
      <c r="F32" s="20">
        <v>1637</v>
      </c>
      <c r="G32" s="20">
        <v>42.96</v>
      </c>
      <c r="H32" s="20">
        <v>30.49</v>
      </c>
      <c r="I32" s="20">
        <v>58.21</v>
      </c>
      <c r="J32" s="20">
        <v>2471</v>
      </c>
      <c r="K32">
        <f t="shared" si="0"/>
        <v>0.14851485148514842</v>
      </c>
    </row>
    <row r="33" spans="1:11" ht="17">
      <c r="A33" s="20" t="s">
        <v>107</v>
      </c>
      <c r="B33" s="20">
        <v>177.57</v>
      </c>
      <c r="C33" s="20">
        <v>1.1599999999999999</v>
      </c>
      <c r="D33" s="20">
        <v>5163</v>
      </c>
      <c r="E33" s="20">
        <v>2087</v>
      </c>
      <c r="F33" s="20">
        <v>1415</v>
      </c>
      <c r="G33" s="20">
        <v>40.42</v>
      </c>
      <c r="H33" s="20">
        <v>27.41</v>
      </c>
      <c r="I33" s="20">
        <v>61.12</v>
      </c>
      <c r="J33" s="20">
        <v>1512</v>
      </c>
      <c r="K33">
        <f t="shared" si="0"/>
        <v>0</v>
      </c>
    </row>
    <row r="34" spans="1:11" ht="17">
      <c r="A34" s="20" t="s">
        <v>18</v>
      </c>
      <c r="B34" s="20">
        <v>189.9</v>
      </c>
      <c r="C34" s="20">
        <v>1.1599999999999999</v>
      </c>
      <c r="D34" s="20">
        <v>4956</v>
      </c>
      <c r="E34" s="20">
        <v>2037</v>
      </c>
      <c r="F34" s="20">
        <v>1328</v>
      </c>
      <c r="G34" s="20">
        <v>41.11</v>
      </c>
      <c r="H34" s="20">
        <v>26.81</v>
      </c>
      <c r="I34" s="20">
        <v>55.57</v>
      </c>
      <c r="J34" s="20">
        <v>2021</v>
      </c>
      <c r="K34">
        <f t="shared" si="0"/>
        <v>0</v>
      </c>
    </row>
    <row r="35" spans="1:11" ht="17">
      <c r="A35" s="20" t="s">
        <v>222</v>
      </c>
      <c r="B35" s="20">
        <v>207.66</v>
      </c>
      <c r="C35" s="20">
        <v>1.1599999999999999</v>
      </c>
      <c r="D35" s="20">
        <v>5341</v>
      </c>
      <c r="E35" s="20">
        <v>2296</v>
      </c>
      <c r="F35" s="20">
        <v>1517</v>
      </c>
      <c r="G35" s="20">
        <v>42.99</v>
      </c>
      <c r="H35" s="20">
        <v>28.4</v>
      </c>
      <c r="I35" s="20">
        <v>57.56</v>
      </c>
      <c r="J35" s="20">
        <v>1926</v>
      </c>
      <c r="K35">
        <f t="shared" si="0"/>
        <v>0</v>
      </c>
    </row>
    <row r="36" spans="1:11" ht="17">
      <c r="A36" s="20" t="s">
        <v>170</v>
      </c>
      <c r="B36" s="20">
        <v>214.71</v>
      </c>
      <c r="C36" s="20">
        <v>1.1599999999999999</v>
      </c>
      <c r="D36" s="20">
        <v>5431</v>
      </c>
      <c r="E36" s="20">
        <v>2360</v>
      </c>
      <c r="F36" s="20">
        <v>1608</v>
      </c>
      <c r="G36" s="20">
        <v>43.45</v>
      </c>
      <c r="H36" s="20">
        <v>29.61</v>
      </c>
      <c r="I36" s="20">
        <v>59</v>
      </c>
      <c r="J36" s="20">
        <v>2287</v>
      </c>
      <c r="K36">
        <f t="shared" si="0"/>
        <v>7.7586206896551796E-2</v>
      </c>
    </row>
    <row r="37" spans="1:11" ht="17">
      <c r="A37" s="20" t="s">
        <v>250</v>
      </c>
      <c r="B37" s="20">
        <v>197.61</v>
      </c>
      <c r="C37" s="20">
        <v>1.25</v>
      </c>
      <c r="D37" s="20">
        <v>5349</v>
      </c>
      <c r="E37" s="20">
        <v>2193</v>
      </c>
      <c r="F37" s="20">
        <v>1572</v>
      </c>
      <c r="G37" s="20">
        <v>40.99</v>
      </c>
      <c r="H37" s="20">
        <v>29.39</v>
      </c>
      <c r="I37" s="20">
        <v>60.89</v>
      </c>
      <c r="J37" s="20">
        <v>1889</v>
      </c>
      <c r="K37">
        <f t="shared" si="0"/>
        <v>0</v>
      </c>
    </row>
    <row r="38" spans="1:11" ht="17">
      <c r="A38" s="20" t="s">
        <v>126</v>
      </c>
      <c r="B38" s="20">
        <v>165.35</v>
      </c>
      <c r="C38" s="20">
        <v>1.25</v>
      </c>
      <c r="D38" s="20">
        <v>4714</v>
      </c>
      <c r="E38" s="20">
        <v>1752</v>
      </c>
      <c r="F38" s="20">
        <v>1107</v>
      </c>
      <c r="G38" s="20">
        <v>37.159999999999997</v>
      </c>
      <c r="H38" s="20">
        <v>23.48</v>
      </c>
      <c r="I38" s="20">
        <v>60.03</v>
      </c>
      <c r="J38" s="20">
        <v>1546</v>
      </c>
      <c r="K38">
        <f t="shared" si="0"/>
        <v>0</v>
      </c>
    </row>
    <row r="39" spans="1:11" ht="17">
      <c r="A39" s="20" t="s">
        <v>161</v>
      </c>
      <c r="B39" s="20">
        <v>184.47</v>
      </c>
      <c r="C39" s="20">
        <v>1.25</v>
      </c>
      <c r="D39" s="20">
        <v>3762</v>
      </c>
      <c r="E39" s="20">
        <v>1078</v>
      </c>
      <c r="F39" s="20">
        <v>484</v>
      </c>
      <c r="G39" s="20">
        <v>28.67</v>
      </c>
      <c r="H39" s="20">
        <v>12.86</v>
      </c>
      <c r="I39" s="20">
        <v>63.17</v>
      </c>
      <c r="J39" s="20">
        <v>-213</v>
      </c>
      <c r="K39">
        <f t="shared" si="0"/>
        <v>0</v>
      </c>
    </row>
    <row r="40" spans="1:11" ht="17">
      <c r="A40" s="20" t="s">
        <v>28</v>
      </c>
      <c r="B40" s="20">
        <v>219.49</v>
      </c>
      <c r="C40" s="20">
        <v>1.25</v>
      </c>
      <c r="D40" s="20">
        <v>5418</v>
      </c>
      <c r="E40" s="20">
        <v>2374</v>
      </c>
      <c r="F40" s="20">
        <v>1763</v>
      </c>
      <c r="G40" s="20">
        <v>43.82</v>
      </c>
      <c r="H40" s="20">
        <v>32.53</v>
      </c>
      <c r="I40" s="20">
        <v>77.81</v>
      </c>
      <c r="J40" s="20">
        <v>2940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1" t="s">
        <v>273</v>
      </c>
      <c r="B1" s="21" t="s">
        <v>262</v>
      </c>
      <c r="C1" s="21" t="s">
        <v>223</v>
      </c>
      <c r="D1" s="21" t="s">
        <v>259</v>
      </c>
      <c r="E1" s="21" t="s">
        <v>258</v>
      </c>
      <c r="F1" s="21" t="s">
        <v>27</v>
      </c>
      <c r="G1" s="21" t="s">
        <v>77</v>
      </c>
      <c r="H1" s="21" t="s">
        <v>278</v>
      </c>
      <c r="I1" s="21" t="s">
        <v>128</v>
      </c>
      <c r="J1" s="21" t="s">
        <v>308</v>
      </c>
    </row>
    <row r="2" spans="1:11" ht="17">
      <c r="A2" s="21" t="s">
        <v>32</v>
      </c>
      <c r="B2" s="21">
        <v>25.39</v>
      </c>
      <c r="C2" s="21">
        <v>0.16</v>
      </c>
      <c r="D2" s="21">
        <v>16428</v>
      </c>
      <c r="E2" s="21">
        <v>5709</v>
      </c>
      <c r="F2" s="21">
        <v>5232</v>
      </c>
      <c r="G2" s="21">
        <v>34.75</v>
      </c>
      <c r="H2" s="21">
        <v>31.85</v>
      </c>
      <c r="I2" s="21">
        <v>23.02</v>
      </c>
      <c r="J2" s="21">
        <v>8672</v>
      </c>
      <c r="K2">
        <f t="shared" ref="K2:K39" si="0">(C3-C2)/C2</f>
        <v>0</v>
      </c>
    </row>
    <row r="3" spans="1:11" ht="17">
      <c r="A3" s="21" t="s">
        <v>79</v>
      </c>
      <c r="B3" s="21">
        <v>26</v>
      </c>
      <c r="C3" s="21">
        <v>0.16</v>
      </c>
      <c r="D3" s="21">
        <v>17367</v>
      </c>
      <c r="E3" s="21">
        <v>6171</v>
      </c>
      <c r="F3" s="21">
        <v>5874</v>
      </c>
      <c r="G3" s="21">
        <v>35.53</v>
      </c>
      <c r="H3" s="21">
        <v>33.82</v>
      </c>
      <c r="I3" s="21">
        <v>22.68</v>
      </c>
      <c r="J3" s="21">
        <v>5942</v>
      </c>
      <c r="K3">
        <f t="shared" si="0"/>
        <v>0</v>
      </c>
    </row>
    <row r="4" spans="1:11" ht="17">
      <c r="A4" s="21" t="s">
        <v>181</v>
      </c>
      <c r="B4" s="21">
        <v>24.89</v>
      </c>
      <c r="C4" s="21">
        <v>0.16</v>
      </c>
      <c r="D4" s="21">
        <v>17372</v>
      </c>
      <c r="E4" s="21">
        <v>7203</v>
      </c>
      <c r="F4" s="21">
        <v>5738</v>
      </c>
      <c r="G4" s="21">
        <v>41.46</v>
      </c>
      <c r="H4" s="21">
        <v>33.03</v>
      </c>
      <c r="I4" s="21">
        <v>23.27</v>
      </c>
      <c r="J4" s="21">
        <v>8493</v>
      </c>
      <c r="K4">
        <f t="shared" si="0"/>
        <v>0.25000000000000006</v>
      </c>
    </row>
    <row r="5" spans="1:11" ht="17">
      <c r="A5" s="21" t="s">
        <v>217</v>
      </c>
      <c r="B5" s="21">
        <v>25.96</v>
      </c>
      <c r="C5" s="21">
        <v>0.2</v>
      </c>
      <c r="D5" s="21">
        <v>20885</v>
      </c>
      <c r="E5" s="21">
        <v>7994</v>
      </c>
      <c r="F5" s="21">
        <v>6624</v>
      </c>
      <c r="G5" s="21">
        <v>38.28</v>
      </c>
      <c r="H5" s="21">
        <v>31.72</v>
      </c>
      <c r="I5" s="21">
        <v>23.27</v>
      </c>
      <c r="J5" s="21">
        <v>5862</v>
      </c>
      <c r="K5">
        <f t="shared" si="0"/>
        <v>0</v>
      </c>
    </row>
    <row r="6" spans="1:11" ht="17">
      <c r="A6" s="21" t="s">
        <v>162</v>
      </c>
      <c r="B6" s="21">
        <v>32.255000000000003</v>
      </c>
      <c r="C6" s="21">
        <v>0.2</v>
      </c>
      <c r="D6" s="21">
        <v>17407</v>
      </c>
      <c r="E6" s="21">
        <v>6374</v>
      </c>
      <c r="F6" s="21">
        <v>5108</v>
      </c>
      <c r="G6" s="21">
        <v>36.619999999999997</v>
      </c>
      <c r="H6" s="21">
        <v>29.34</v>
      </c>
      <c r="I6" s="21">
        <v>24.64</v>
      </c>
      <c r="J6" s="21">
        <v>9594</v>
      </c>
      <c r="K6">
        <f t="shared" si="0"/>
        <v>0</v>
      </c>
    </row>
    <row r="7" spans="1:11" ht="17">
      <c r="A7" s="21" t="s">
        <v>64</v>
      </c>
      <c r="B7" s="21">
        <v>30.59</v>
      </c>
      <c r="C7" s="21">
        <v>0.2</v>
      </c>
      <c r="D7" s="21">
        <v>18059</v>
      </c>
      <c r="E7" s="21">
        <v>6385</v>
      </c>
      <c r="F7" s="21">
        <v>-492</v>
      </c>
      <c r="G7" s="21">
        <v>35.36</v>
      </c>
      <c r="H7" s="21">
        <v>-2.72</v>
      </c>
      <c r="I7" s="21">
        <v>26.37</v>
      </c>
      <c r="J7" s="21">
        <v>7677</v>
      </c>
      <c r="K7">
        <f t="shared" si="0"/>
        <v>0</v>
      </c>
    </row>
    <row r="8" spans="1:11" ht="17">
      <c r="A8" s="21" t="s">
        <v>226</v>
      </c>
      <c r="B8" s="21">
        <v>29.76</v>
      </c>
      <c r="C8" s="21">
        <v>0.2</v>
      </c>
      <c r="D8" s="21">
        <v>16008</v>
      </c>
      <c r="E8" s="21">
        <v>5308</v>
      </c>
      <c r="F8" s="21">
        <v>4466</v>
      </c>
      <c r="G8" s="21">
        <v>33.159999999999997</v>
      </c>
      <c r="H8" s="21">
        <v>27.9</v>
      </c>
      <c r="I8" s="21">
        <v>38</v>
      </c>
      <c r="J8" s="21">
        <v>8484</v>
      </c>
      <c r="K8">
        <f t="shared" si="0"/>
        <v>0.15</v>
      </c>
    </row>
    <row r="9" spans="1:11" ht="17">
      <c r="A9" s="21" t="s">
        <v>247</v>
      </c>
      <c r="B9" s="21">
        <v>26.709700000000002</v>
      </c>
      <c r="C9" s="21">
        <v>0.23</v>
      </c>
      <c r="D9" s="21">
        <v>21456</v>
      </c>
      <c r="E9" s="21">
        <v>7771</v>
      </c>
      <c r="F9" s="21">
        <v>6377</v>
      </c>
      <c r="G9" s="21">
        <v>36.22</v>
      </c>
      <c r="H9" s="21">
        <v>29.72</v>
      </c>
      <c r="I9" s="21">
        <v>45.6</v>
      </c>
      <c r="J9" s="21">
        <v>4780</v>
      </c>
      <c r="K9">
        <f t="shared" si="0"/>
        <v>0</v>
      </c>
    </row>
    <row r="10" spans="1:11" ht="17">
      <c r="A10" s="21" t="s">
        <v>19</v>
      </c>
      <c r="B10" s="21">
        <v>28.605</v>
      </c>
      <c r="C10" s="21">
        <v>0.23</v>
      </c>
      <c r="D10" s="21">
        <v>20489</v>
      </c>
      <c r="E10" s="21">
        <v>7612</v>
      </c>
      <c r="F10" s="21">
        <v>6055</v>
      </c>
      <c r="G10" s="21">
        <v>37.15</v>
      </c>
      <c r="H10" s="21">
        <v>29.55</v>
      </c>
      <c r="I10" s="21">
        <v>45.6</v>
      </c>
      <c r="J10" s="21">
        <v>9666</v>
      </c>
      <c r="K10">
        <f t="shared" si="0"/>
        <v>0</v>
      </c>
    </row>
    <row r="11" spans="1:11" ht="17">
      <c r="A11" s="21" t="s">
        <v>192</v>
      </c>
      <c r="B11" s="21">
        <v>34.545000000000002</v>
      </c>
      <c r="C11" s="21">
        <v>0.23</v>
      </c>
      <c r="D11" s="21">
        <v>19896</v>
      </c>
      <c r="E11" s="21">
        <v>6073</v>
      </c>
      <c r="F11" s="21">
        <v>4965</v>
      </c>
      <c r="G11" s="21">
        <v>30.52</v>
      </c>
      <c r="H11" s="21">
        <v>24.95</v>
      </c>
      <c r="I11" s="21">
        <v>44.33</v>
      </c>
      <c r="J11" s="21">
        <v>5903</v>
      </c>
      <c r="K11">
        <f t="shared" si="0"/>
        <v>0</v>
      </c>
    </row>
    <row r="12" spans="1:11" ht="17">
      <c r="A12" s="21" t="s">
        <v>160</v>
      </c>
      <c r="B12" s="21">
        <v>33.28</v>
      </c>
      <c r="C12" s="21">
        <v>0.23</v>
      </c>
      <c r="D12" s="21">
        <v>18529</v>
      </c>
      <c r="E12" s="21">
        <v>6334</v>
      </c>
      <c r="F12" s="21">
        <v>5244</v>
      </c>
      <c r="G12" s="21">
        <v>34.18</v>
      </c>
      <c r="H12" s="21">
        <v>28.3</v>
      </c>
      <c r="I12" s="21">
        <v>34.5</v>
      </c>
      <c r="J12" s="21">
        <v>8205</v>
      </c>
      <c r="K12">
        <f t="shared" si="0"/>
        <v>0.21739130434782614</v>
      </c>
    </row>
    <row r="13" spans="1:11" ht="17">
      <c r="A13" s="21" t="s">
        <v>168</v>
      </c>
      <c r="B13" s="21">
        <v>37.409999999999997</v>
      </c>
      <c r="C13" s="21">
        <v>0.28000000000000003</v>
      </c>
      <c r="D13" s="21">
        <v>24519</v>
      </c>
      <c r="E13" s="21">
        <v>7969</v>
      </c>
      <c r="F13" s="21">
        <v>6558</v>
      </c>
      <c r="G13" s="21">
        <v>32.5</v>
      </c>
      <c r="H13" s="21">
        <v>26.75</v>
      </c>
      <c r="I13" s="21">
        <v>34.46</v>
      </c>
      <c r="J13" s="21">
        <v>4413</v>
      </c>
      <c r="K13">
        <f t="shared" si="0"/>
        <v>0</v>
      </c>
    </row>
    <row r="14" spans="1:11" ht="17">
      <c r="A14" s="21" t="s">
        <v>63</v>
      </c>
      <c r="B14" s="21">
        <v>40.99</v>
      </c>
      <c r="C14" s="21">
        <v>0.28000000000000003</v>
      </c>
      <c r="D14" s="21">
        <v>20403</v>
      </c>
      <c r="E14" s="21">
        <v>6974</v>
      </c>
      <c r="F14" s="21">
        <v>5660</v>
      </c>
      <c r="G14" s="21">
        <v>34.18</v>
      </c>
      <c r="H14" s="21">
        <v>27.74</v>
      </c>
      <c r="I14" s="21">
        <v>35.93</v>
      </c>
      <c r="J14" s="21">
        <v>10099</v>
      </c>
      <c r="K14">
        <f t="shared" si="0"/>
        <v>0</v>
      </c>
    </row>
    <row r="15" spans="1:11" ht="17">
      <c r="A15" s="21" t="s">
        <v>14</v>
      </c>
      <c r="B15" s="21">
        <v>41.7</v>
      </c>
      <c r="C15" s="21">
        <v>0.28000000000000003</v>
      </c>
      <c r="D15" s="21">
        <v>23382</v>
      </c>
      <c r="E15" s="21">
        <v>6609</v>
      </c>
      <c r="F15" s="21">
        <v>4612</v>
      </c>
      <c r="G15" s="21">
        <v>28.27</v>
      </c>
      <c r="H15" s="21">
        <v>19.72</v>
      </c>
      <c r="I15" s="21">
        <v>38.200000000000003</v>
      </c>
      <c r="J15" s="21">
        <v>9514</v>
      </c>
      <c r="K15">
        <f t="shared" si="0"/>
        <v>0</v>
      </c>
    </row>
    <row r="16" spans="1:11" ht="17">
      <c r="A16" s="21" t="s">
        <v>288</v>
      </c>
      <c r="B16" s="21">
        <v>46.36</v>
      </c>
      <c r="C16" s="21">
        <v>0.28000000000000003</v>
      </c>
      <c r="D16" s="21">
        <v>23201</v>
      </c>
      <c r="E16" s="21">
        <v>6984</v>
      </c>
      <c r="F16" s="21">
        <v>4540</v>
      </c>
      <c r="G16" s="21">
        <v>30.1</v>
      </c>
      <c r="H16" s="21">
        <v>19.57</v>
      </c>
      <c r="I16" s="21">
        <v>40.68</v>
      </c>
      <c r="J16" s="21">
        <v>8354</v>
      </c>
      <c r="K16">
        <f t="shared" si="0"/>
        <v>0.10714285714285703</v>
      </c>
    </row>
    <row r="17" spans="1:11" ht="17">
      <c r="A17" s="21" t="s">
        <v>133</v>
      </c>
      <c r="B17" s="21">
        <v>46.45</v>
      </c>
      <c r="C17" s="21">
        <v>0.31</v>
      </c>
      <c r="D17" s="21">
        <v>26470</v>
      </c>
      <c r="E17" s="21">
        <v>8019</v>
      </c>
      <c r="F17" s="21">
        <v>5863</v>
      </c>
      <c r="G17" s="21">
        <v>30.29</v>
      </c>
      <c r="H17" s="21">
        <v>22.15</v>
      </c>
      <c r="I17" s="21">
        <v>43.92</v>
      </c>
      <c r="J17" s="21">
        <v>4340</v>
      </c>
      <c r="K17">
        <f t="shared" si="0"/>
        <v>0</v>
      </c>
    </row>
    <row r="18" spans="1:11" ht="17">
      <c r="A18" s="21" t="s">
        <v>36</v>
      </c>
      <c r="B18" s="21">
        <v>40.655000000000001</v>
      </c>
      <c r="C18" s="21">
        <v>0.31</v>
      </c>
      <c r="D18" s="21">
        <v>21729</v>
      </c>
      <c r="E18" s="21">
        <v>6784</v>
      </c>
      <c r="F18" s="21">
        <v>4985</v>
      </c>
      <c r="G18" s="21">
        <v>31.22</v>
      </c>
      <c r="H18" s="21">
        <v>22.94</v>
      </c>
      <c r="I18" s="21">
        <v>46.37</v>
      </c>
      <c r="J18" s="21">
        <v>9570</v>
      </c>
      <c r="K18">
        <f t="shared" si="0"/>
        <v>0</v>
      </c>
    </row>
    <row r="19" spans="1:11" ht="17">
      <c r="A19" s="21" t="s">
        <v>190</v>
      </c>
      <c r="B19" s="21">
        <v>44.15</v>
      </c>
      <c r="C19" s="21">
        <v>0.31</v>
      </c>
      <c r="D19" s="21">
        <v>22180</v>
      </c>
      <c r="E19" s="21">
        <v>6385</v>
      </c>
      <c r="F19" s="21">
        <v>-3195</v>
      </c>
      <c r="G19" s="21">
        <v>28.79</v>
      </c>
      <c r="H19" s="21">
        <v>-14.4</v>
      </c>
      <c r="I19" s="21">
        <v>48.96</v>
      </c>
      <c r="J19" s="21">
        <v>6816</v>
      </c>
      <c r="K19">
        <f t="shared" si="0"/>
        <v>0</v>
      </c>
    </row>
    <row r="20" spans="1:11" ht="17">
      <c r="A20" s="21" t="s">
        <v>256</v>
      </c>
      <c r="B20" s="21">
        <v>44.26</v>
      </c>
      <c r="C20" s="21">
        <v>0.31</v>
      </c>
      <c r="D20" s="21">
        <v>20379</v>
      </c>
      <c r="E20" s="21">
        <v>5793</v>
      </c>
      <c r="F20" s="21">
        <v>4620</v>
      </c>
      <c r="G20" s="21">
        <v>28.43</v>
      </c>
      <c r="H20" s="21">
        <v>22.67</v>
      </c>
      <c r="I20" s="21">
        <v>81.760000000000005</v>
      </c>
      <c r="J20" s="21">
        <v>8594</v>
      </c>
      <c r="K20">
        <f t="shared" si="0"/>
        <v>0.16129032258064513</v>
      </c>
    </row>
    <row r="21" spans="1:11" ht="17">
      <c r="A21" s="21" t="s">
        <v>203</v>
      </c>
      <c r="B21" s="21">
        <v>55.48</v>
      </c>
      <c r="C21" s="21">
        <v>0.36</v>
      </c>
      <c r="D21" s="21">
        <v>23796</v>
      </c>
      <c r="E21" s="21">
        <v>6026</v>
      </c>
      <c r="F21" s="21">
        <v>4998</v>
      </c>
      <c r="G21" s="21">
        <v>25.32</v>
      </c>
      <c r="H21" s="21">
        <v>21</v>
      </c>
      <c r="I21" s="21">
        <v>82.12</v>
      </c>
      <c r="J21" s="21">
        <v>5598</v>
      </c>
      <c r="K21">
        <f t="shared" si="0"/>
        <v>0</v>
      </c>
    </row>
    <row r="22" spans="1:11" ht="17">
      <c r="A22" s="21" t="s">
        <v>89</v>
      </c>
      <c r="B22" s="21">
        <v>55.23</v>
      </c>
      <c r="C22" s="21">
        <v>0.36</v>
      </c>
      <c r="D22" s="21">
        <v>20531</v>
      </c>
      <c r="E22" s="21">
        <v>5283</v>
      </c>
      <c r="F22" s="21">
        <v>3756</v>
      </c>
      <c r="G22" s="21">
        <v>25.73</v>
      </c>
      <c r="H22" s="21">
        <v>18.29</v>
      </c>
      <c r="I22" s="21">
        <v>90.21</v>
      </c>
      <c r="J22" s="21">
        <v>10367</v>
      </c>
      <c r="K22">
        <f t="shared" si="0"/>
        <v>0</v>
      </c>
    </row>
    <row r="23" spans="1:11" ht="17">
      <c r="A23" s="21" t="s">
        <v>127</v>
      </c>
      <c r="B23" s="21">
        <v>51.17</v>
      </c>
      <c r="C23" s="21">
        <v>0.36</v>
      </c>
      <c r="D23" s="21">
        <v>20614</v>
      </c>
      <c r="E23" s="21">
        <v>4190</v>
      </c>
      <c r="F23" s="21">
        <v>3122</v>
      </c>
      <c r="G23" s="21">
        <v>20.329999999999998</v>
      </c>
      <c r="H23" s="21">
        <v>15.15</v>
      </c>
      <c r="I23" s="21">
        <v>101.52</v>
      </c>
      <c r="J23" s="21">
        <v>8464</v>
      </c>
      <c r="K23">
        <f t="shared" si="0"/>
        <v>0</v>
      </c>
    </row>
    <row r="24" spans="1:11" ht="17">
      <c r="A24" s="21" t="s">
        <v>88</v>
      </c>
      <c r="B24" s="21">
        <v>57.6</v>
      </c>
      <c r="C24" s="21">
        <v>0.36</v>
      </c>
      <c r="D24" s="21">
        <v>20453</v>
      </c>
      <c r="E24" s="21">
        <v>5225</v>
      </c>
      <c r="F24" s="21">
        <v>4690</v>
      </c>
      <c r="G24" s="21">
        <v>25.55</v>
      </c>
      <c r="H24" s="21">
        <v>22.93</v>
      </c>
      <c r="I24" s="21">
        <v>66.19</v>
      </c>
      <c r="J24" s="21">
        <v>11549</v>
      </c>
      <c r="K24">
        <f t="shared" si="0"/>
        <v>8.3333333333333412E-2</v>
      </c>
    </row>
    <row r="25" spans="1:11" ht="17">
      <c r="A25" s="21" t="s">
        <v>24</v>
      </c>
      <c r="B25" s="21">
        <v>62.14</v>
      </c>
      <c r="C25" s="21">
        <v>0.39</v>
      </c>
      <c r="D25" s="21">
        <v>24090</v>
      </c>
      <c r="E25" s="21">
        <v>6177</v>
      </c>
      <c r="F25" s="21">
        <v>5200</v>
      </c>
      <c r="G25" s="21">
        <v>25.64</v>
      </c>
      <c r="H25" s="21">
        <v>21.59</v>
      </c>
      <c r="I25" s="21">
        <v>68.900000000000006</v>
      </c>
      <c r="J25" s="21">
        <v>6293</v>
      </c>
      <c r="K25">
        <f t="shared" si="0"/>
        <v>0</v>
      </c>
    </row>
    <row r="26" spans="1:11" ht="17">
      <c r="A26" s="21" t="s">
        <v>55</v>
      </c>
      <c r="B26" s="21">
        <v>65.86</v>
      </c>
      <c r="C26" s="21">
        <v>0.39</v>
      </c>
      <c r="D26" s="21">
        <v>22090</v>
      </c>
      <c r="E26" s="21">
        <v>5594</v>
      </c>
      <c r="F26" s="21">
        <v>4801</v>
      </c>
      <c r="G26" s="21">
        <v>25.32</v>
      </c>
      <c r="H26" s="21">
        <v>21.73</v>
      </c>
      <c r="I26" s="21">
        <v>69.010000000000005</v>
      </c>
      <c r="J26" s="21">
        <v>10660</v>
      </c>
      <c r="K26">
        <f t="shared" si="0"/>
        <v>0</v>
      </c>
    </row>
    <row r="27" spans="1:11" ht="17">
      <c r="A27" s="21" t="s">
        <v>183</v>
      </c>
      <c r="B27" s="21">
        <v>68.930000000000007</v>
      </c>
      <c r="C27" s="21">
        <v>0.39</v>
      </c>
      <c r="D27" s="21">
        <v>23317</v>
      </c>
      <c r="E27" s="21">
        <v>5636</v>
      </c>
      <c r="F27" s="21">
        <v>6513</v>
      </c>
      <c r="G27" s="21">
        <v>24.17</v>
      </c>
      <c r="H27" s="21">
        <v>27.93</v>
      </c>
      <c r="I27" s="21">
        <v>66.08</v>
      </c>
      <c r="J27" s="21">
        <v>11005</v>
      </c>
      <c r="K27">
        <f t="shared" si="0"/>
        <v>0</v>
      </c>
    </row>
    <row r="28" spans="1:11" ht="17">
      <c r="A28" s="21" t="s">
        <v>34</v>
      </c>
      <c r="B28" s="21">
        <v>74.489999999999995</v>
      </c>
      <c r="C28" s="21">
        <v>0.39</v>
      </c>
      <c r="D28" s="21">
        <v>24538</v>
      </c>
      <c r="E28" s="21">
        <v>7708</v>
      </c>
      <c r="F28" s="21">
        <v>6576</v>
      </c>
      <c r="G28" s="21">
        <v>31.41</v>
      </c>
      <c r="H28" s="21">
        <v>26.8</v>
      </c>
      <c r="I28" s="21">
        <v>56.46</v>
      </c>
      <c r="J28" s="21">
        <v>12440</v>
      </c>
      <c r="K28">
        <f t="shared" si="0"/>
        <v>7.6923076923076844E-2</v>
      </c>
    </row>
    <row r="29" spans="1:11" ht="17">
      <c r="A29" s="21" t="s">
        <v>173</v>
      </c>
      <c r="B29" s="21">
        <v>85.54</v>
      </c>
      <c r="C29" s="21">
        <v>0.42</v>
      </c>
      <c r="D29" s="21">
        <v>28918</v>
      </c>
      <c r="E29" s="21">
        <v>8679</v>
      </c>
      <c r="F29" s="21">
        <v>-6302</v>
      </c>
      <c r="G29" s="21">
        <v>30.01</v>
      </c>
      <c r="H29" s="21">
        <v>-21.79</v>
      </c>
      <c r="I29" s="21">
        <v>55.12</v>
      </c>
      <c r="J29" s="21">
        <v>7875</v>
      </c>
      <c r="K29">
        <f t="shared" si="0"/>
        <v>0</v>
      </c>
    </row>
    <row r="30" spans="1:11" ht="17">
      <c r="A30" s="21" t="s">
        <v>282</v>
      </c>
      <c r="B30" s="21">
        <v>91.27</v>
      </c>
      <c r="C30" s="21">
        <v>0.42</v>
      </c>
      <c r="D30" s="21">
        <v>26819</v>
      </c>
      <c r="E30" s="21">
        <v>8292</v>
      </c>
      <c r="F30" s="21">
        <v>7424</v>
      </c>
      <c r="G30" s="21">
        <v>30.92</v>
      </c>
      <c r="H30" s="21">
        <v>27.68</v>
      </c>
      <c r="I30" s="21">
        <v>129.27000000000001</v>
      </c>
      <c r="J30" s="21">
        <v>12151</v>
      </c>
      <c r="K30">
        <f t="shared" si="0"/>
        <v>0</v>
      </c>
    </row>
    <row r="31" spans="1:11" ht="17">
      <c r="A31" s="21" t="s">
        <v>110</v>
      </c>
      <c r="B31" s="21">
        <v>98.61</v>
      </c>
      <c r="C31" s="21">
        <v>0.42</v>
      </c>
      <c r="D31" s="21">
        <v>30085</v>
      </c>
      <c r="E31" s="21">
        <v>10379</v>
      </c>
      <c r="F31" s="21">
        <v>8873</v>
      </c>
      <c r="G31" s="21">
        <v>34.5</v>
      </c>
      <c r="H31" s="21">
        <v>29.49</v>
      </c>
      <c r="I31" s="21">
        <v>109.46</v>
      </c>
      <c r="J31" s="21">
        <v>11418</v>
      </c>
      <c r="K31">
        <f t="shared" si="0"/>
        <v>0</v>
      </c>
    </row>
    <row r="32" spans="1:11" ht="17">
      <c r="A32" s="21" t="s">
        <v>52</v>
      </c>
      <c r="B32" s="21">
        <v>114.37</v>
      </c>
      <c r="C32" s="21">
        <v>0.42</v>
      </c>
      <c r="D32" s="21">
        <v>29084</v>
      </c>
      <c r="E32" s="21">
        <v>9955</v>
      </c>
      <c r="F32" s="21">
        <v>8824</v>
      </c>
      <c r="G32" s="21">
        <v>34.229999999999997</v>
      </c>
      <c r="H32" s="21">
        <v>30.34</v>
      </c>
      <c r="I32" s="21">
        <v>77.459999999999994</v>
      </c>
      <c r="J32" s="21">
        <v>13657</v>
      </c>
      <c r="K32">
        <f t="shared" si="0"/>
        <v>9.523809523809533E-2</v>
      </c>
    </row>
    <row r="33" spans="1:11" ht="17">
      <c r="A33" s="21" t="s">
        <v>107</v>
      </c>
      <c r="B33" s="21">
        <v>101.57</v>
      </c>
      <c r="C33" s="21">
        <v>0.46</v>
      </c>
      <c r="D33" s="21">
        <v>32471</v>
      </c>
      <c r="E33" s="21">
        <v>10258</v>
      </c>
      <c r="F33" s="21">
        <v>8420</v>
      </c>
      <c r="G33" s="21">
        <v>31.59</v>
      </c>
      <c r="H33" s="21">
        <v>25.93</v>
      </c>
      <c r="I33" s="21">
        <v>69.14</v>
      </c>
      <c r="J33" s="21">
        <v>8900</v>
      </c>
      <c r="K33">
        <f t="shared" si="0"/>
        <v>0</v>
      </c>
    </row>
    <row r="34" spans="1:11" ht="17">
      <c r="A34" s="21" t="s">
        <v>18</v>
      </c>
      <c r="B34" s="21">
        <v>117.94</v>
      </c>
      <c r="C34" s="21">
        <v>0.46</v>
      </c>
      <c r="D34" s="21">
        <v>30571</v>
      </c>
      <c r="E34" s="21">
        <v>10341</v>
      </c>
      <c r="F34" s="21">
        <v>8809</v>
      </c>
      <c r="G34" s="21">
        <v>33.83</v>
      </c>
      <c r="H34" s="21">
        <v>28.81</v>
      </c>
      <c r="I34" s="21">
        <v>39.909999999999997</v>
      </c>
      <c r="J34" s="21">
        <v>13520</v>
      </c>
      <c r="K34">
        <f t="shared" si="0"/>
        <v>0</v>
      </c>
    </row>
    <row r="35" spans="1:11" ht="17">
      <c r="A35" s="21" t="s">
        <v>222</v>
      </c>
      <c r="B35" s="21">
        <v>133.96</v>
      </c>
      <c r="C35" s="21">
        <v>0.46</v>
      </c>
      <c r="D35" s="21">
        <v>33717</v>
      </c>
      <c r="E35" s="21">
        <v>12405</v>
      </c>
      <c r="F35" s="21">
        <v>13187</v>
      </c>
      <c r="G35" s="21">
        <v>36.79</v>
      </c>
      <c r="H35" s="21">
        <v>39.11</v>
      </c>
      <c r="I35" s="21">
        <v>39.11</v>
      </c>
      <c r="J35" s="21">
        <v>16108</v>
      </c>
      <c r="K35">
        <f t="shared" si="0"/>
        <v>0</v>
      </c>
    </row>
    <row r="36" spans="1:11" ht="17">
      <c r="A36" s="21" t="s">
        <v>170</v>
      </c>
      <c r="B36" s="21">
        <v>139.03</v>
      </c>
      <c r="C36" s="21">
        <v>0.46</v>
      </c>
      <c r="D36" s="21">
        <v>33055</v>
      </c>
      <c r="E36" s="21">
        <v>12686</v>
      </c>
      <c r="F36" s="21">
        <v>10678</v>
      </c>
      <c r="G36" s="21">
        <v>38.380000000000003</v>
      </c>
      <c r="H36" s="21">
        <v>32.299999999999997</v>
      </c>
      <c r="I36" s="21">
        <v>35.57</v>
      </c>
      <c r="J36" s="21">
        <v>13818</v>
      </c>
      <c r="K36">
        <f t="shared" si="0"/>
        <v>0.10869565217391301</v>
      </c>
    </row>
    <row r="37" spans="1:11" ht="17">
      <c r="A37" s="21" t="s">
        <v>250</v>
      </c>
      <c r="B37" s="21">
        <v>157.69999999999999</v>
      </c>
      <c r="C37" s="21">
        <v>0.51</v>
      </c>
      <c r="D37" s="21">
        <v>36906</v>
      </c>
      <c r="E37" s="21">
        <v>13891</v>
      </c>
      <c r="F37" s="21">
        <v>11649</v>
      </c>
      <c r="G37" s="21">
        <v>37.64</v>
      </c>
      <c r="H37" s="21">
        <v>31.56</v>
      </c>
      <c r="I37" s="21">
        <v>34.72</v>
      </c>
      <c r="J37" s="21">
        <v>10680</v>
      </c>
      <c r="K37">
        <f t="shared" si="0"/>
        <v>0</v>
      </c>
    </row>
    <row r="38" spans="1:11" ht="17">
      <c r="A38" s="21" t="s">
        <v>126</v>
      </c>
      <c r="B38" s="21">
        <v>157.71</v>
      </c>
      <c r="C38" s="21">
        <v>0.51</v>
      </c>
      <c r="D38" s="21">
        <v>35021</v>
      </c>
      <c r="E38" s="21">
        <v>12975</v>
      </c>
      <c r="F38" s="21">
        <v>10752</v>
      </c>
      <c r="G38" s="21">
        <v>37.049999999999997</v>
      </c>
      <c r="H38" s="21">
        <v>30.7</v>
      </c>
      <c r="I38" s="21">
        <v>32.93</v>
      </c>
      <c r="J38" s="21">
        <v>17504</v>
      </c>
      <c r="K38">
        <f t="shared" si="0"/>
        <v>0</v>
      </c>
    </row>
    <row r="39" spans="1:11" ht="17">
      <c r="A39" s="21" t="s">
        <v>161</v>
      </c>
      <c r="B39" s="21">
        <v>203.51</v>
      </c>
      <c r="C39" s="21">
        <v>0.51</v>
      </c>
      <c r="D39" s="21">
        <v>38033</v>
      </c>
      <c r="E39" s="21">
        <v>13407</v>
      </c>
      <c r="F39" s="21">
        <v>11202</v>
      </c>
      <c r="G39" s="21">
        <v>35.25</v>
      </c>
      <c r="H39" s="21">
        <v>29.45</v>
      </c>
      <c r="I39" s="21">
        <v>32.33</v>
      </c>
      <c r="J39" s="21">
        <v>18673</v>
      </c>
      <c r="K39">
        <f t="shared" si="0"/>
        <v>0</v>
      </c>
    </row>
    <row r="40" spans="1:11" ht="17">
      <c r="A40" s="21" t="s">
        <v>28</v>
      </c>
      <c r="B40" s="21">
        <v>210.33</v>
      </c>
      <c r="C40" s="21">
        <v>0.51</v>
      </c>
      <c r="D40" s="21">
        <v>37154</v>
      </c>
      <c r="E40" s="21">
        <v>15876</v>
      </c>
      <c r="F40" s="21">
        <v>13893</v>
      </c>
      <c r="G40" s="21">
        <v>42.73</v>
      </c>
      <c r="H40" s="21">
        <v>37.39</v>
      </c>
      <c r="I40" s="21">
        <v>34.549999999999997</v>
      </c>
      <c r="J40" s="21">
        <v>19335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1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2" t="s">
        <v>273</v>
      </c>
      <c r="B1" s="22" t="s">
        <v>262</v>
      </c>
      <c r="C1" s="22" t="s">
        <v>223</v>
      </c>
      <c r="D1" s="22" t="s">
        <v>259</v>
      </c>
      <c r="E1" s="22" t="s">
        <v>258</v>
      </c>
      <c r="F1" s="22" t="s">
        <v>27</v>
      </c>
      <c r="G1" s="22" t="s">
        <v>77</v>
      </c>
      <c r="H1" s="22" t="s">
        <v>278</v>
      </c>
      <c r="I1" s="22" t="s">
        <v>128</v>
      </c>
      <c r="J1" s="22" t="s">
        <v>308</v>
      </c>
    </row>
    <row r="2" spans="1:11" ht="17">
      <c r="A2" s="22" t="s">
        <v>32</v>
      </c>
      <c r="B2" s="22">
        <v>13.78</v>
      </c>
      <c r="C2" s="22">
        <v>0.14000000000000001</v>
      </c>
      <c r="D2" s="22">
        <v>3134</v>
      </c>
      <c r="E2" s="22">
        <v>428</v>
      </c>
      <c r="F2" s="22">
        <v>268</v>
      </c>
      <c r="G2" s="22">
        <v>13.66</v>
      </c>
      <c r="H2" s="22">
        <v>8.5500000000000007</v>
      </c>
      <c r="I2" s="22">
        <v>51</v>
      </c>
      <c r="J2" s="22">
        <v>983</v>
      </c>
      <c r="K2">
        <f t="shared" ref="K2:K39" si="0">(C3-C2)/C2</f>
        <v>0</v>
      </c>
    </row>
    <row r="3" spans="1:11" ht="17">
      <c r="A3" s="22" t="s">
        <v>79</v>
      </c>
      <c r="B3" s="22">
        <v>14.365</v>
      </c>
      <c r="C3" s="22">
        <v>0.14000000000000001</v>
      </c>
      <c r="D3" s="22">
        <v>3961</v>
      </c>
      <c r="E3" s="22">
        <v>958</v>
      </c>
      <c r="F3" s="22">
        <v>580</v>
      </c>
      <c r="G3" s="22">
        <v>24.19</v>
      </c>
      <c r="H3" s="22">
        <v>14.64</v>
      </c>
      <c r="I3" s="22">
        <v>47.73</v>
      </c>
      <c r="J3" s="22">
        <v>1008</v>
      </c>
      <c r="K3">
        <f t="shared" si="0"/>
        <v>0</v>
      </c>
    </row>
    <row r="4" spans="1:11" ht="17">
      <c r="A4" s="22" t="s">
        <v>181</v>
      </c>
      <c r="B4" s="22">
        <v>13.505000000000001</v>
      </c>
      <c r="C4" s="22">
        <v>0.14000000000000001</v>
      </c>
      <c r="D4" s="22">
        <v>4382</v>
      </c>
      <c r="E4" s="22">
        <v>911</v>
      </c>
      <c r="F4" s="22">
        <v>407</v>
      </c>
      <c r="G4" s="22">
        <v>20.79</v>
      </c>
      <c r="H4" s="22">
        <v>9.2899999999999991</v>
      </c>
      <c r="I4" s="22">
        <v>59.23</v>
      </c>
      <c r="J4" s="22">
        <v>1126</v>
      </c>
      <c r="K4">
        <f t="shared" si="0"/>
        <v>0</v>
      </c>
    </row>
    <row r="5" spans="1:11" ht="17">
      <c r="A5" s="22" t="s">
        <v>217</v>
      </c>
      <c r="B5" s="22">
        <v>15.22</v>
      </c>
      <c r="C5" s="22">
        <v>0.14000000000000001</v>
      </c>
      <c r="D5" s="22">
        <v>3865</v>
      </c>
      <c r="E5" s="22">
        <v>1132</v>
      </c>
      <c r="F5" s="22">
        <v>667</v>
      </c>
      <c r="G5" s="22">
        <v>29.29</v>
      </c>
      <c r="H5" s="22">
        <v>17.260000000000002</v>
      </c>
      <c r="I5" s="22">
        <v>59.23</v>
      </c>
      <c r="J5" s="22">
        <v>957</v>
      </c>
      <c r="K5">
        <f t="shared" si="0"/>
        <v>7.1428571428571286E-2</v>
      </c>
    </row>
    <row r="6" spans="1:11" ht="17">
      <c r="A6" s="22" t="s">
        <v>162</v>
      </c>
      <c r="B6" s="22">
        <v>15.27</v>
      </c>
      <c r="C6" s="22">
        <v>0.15</v>
      </c>
      <c r="D6" s="22">
        <v>3371</v>
      </c>
      <c r="E6" s="22">
        <v>843</v>
      </c>
      <c r="F6" s="22">
        <v>461</v>
      </c>
      <c r="G6" s="22">
        <v>25.01</v>
      </c>
      <c r="H6" s="22">
        <v>13.68</v>
      </c>
      <c r="I6" s="22">
        <v>47.93</v>
      </c>
      <c r="J6" s="22">
        <v>835</v>
      </c>
      <c r="K6">
        <f t="shared" si="0"/>
        <v>0</v>
      </c>
    </row>
    <row r="7" spans="1:11" ht="17">
      <c r="A7" s="22" t="s">
        <v>64</v>
      </c>
      <c r="B7" s="22">
        <v>17.202500000000001</v>
      </c>
      <c r="C7" s="22">
        <v>0.15</v>
      </c>
      <c r="D7" s="22">
        <v>3667</v>
      </c>
      <c r="E7" s="22">
        <v>1022</v>
      </c>
      <c r="F7" s="22">
        <v>607</v>
      </c>
      <c r="G7" s="22">
        <v>27.87</v>
      </c>
      <c r="H7" s="22">
        <v>16.55</v>
      </c>
      <c r="I7" s="22">
        <v>44.47</v>
      </c>
      <c r="J7" s="22">
        <v>1093</v>
      </c>
      <c r="K7">
        <f t="shared" si="0"/>
        <v>0</v>
      </c>
    </row>
    <row r="8" spans="1:11" ht="17">
      <c r="A8" s="22" t="s">
        <v>226</v>
      </c>
      <c r="B8" s="22">
        <v>17.5825</v>
      </c>
      <c r="C8" s="22">
        <v>0.15</v>
      </c>
      <c r="D8" s="22">
        <v>3843</v>
      </c>
      <c r="E8" s="22">
        <v>749</v>
      </c>
      <c r="F8" s="22">
        <v>415</v>
      </c>
      <c r="G8" s="22">
        <v>19.489999999999998</v>
      </c>
      <c r="H8" s="22">
        <v>10.8</v>
      </c>
      <c r="I8" s="22">
        <v>44.83</v>
      </c>
      <c r="J8" s="22">
        <v>1229</v>
      </c>
      <c r="K8">
        <f t="shared" si="0"/>
        <v>0</v>
      </c>
    </row>
    <row r="9" spans="1:11" ht="17">
      <c r="A9" s="22" t="s">
        <v>247</v>
      </c>
      <c r="B9" s="22">
        <v>17.297499999999999</v>
      </c>
      <c r="C9" s="22">
        <v>0.15</v>
      </c>
      <c r="D9" s="22">
        <v>3375</v>
      </c>
      <c r="E9" s="22">
        <v>661</v>
      </c>
      <c r="F9" s="22">
        <v>429</v>
      </c>
      <c r="G9" s="22">
        <v>19.59</v>
      </c>
      <c r="H9" s="22">
        <v>12.71</v>
      </c>
      <c r="I9" s="22">
        <v>52.63</v>
      </c>
      <c r="J9" s="22">
        <v>835</v>
      </c>
      <c r="K9">
        <f t="shared" si="0"/>
        <v>0.13333333333333347</v>
      </c>
    </row>
    <row r="10" spans="1:11" ht="17">
      <c r="A10" s="22" t="s">
        <v>19</v>
      </c>
      <c r="B10" s="22">
        <v>19.420000000000002</v>
      </c>
      <c r="C10" s="22">
        <v>0.17</v>
      </c>
      <c r="D10" s="22">
        <v>3279</v>
      </c>
      <c r="E10" s="22">
        <v>734</v>
      </c>
      <c r="F10" s="22">
        <v>272</v>
      </c>
      <c r="G10" s="22">
        <v>22.38</v>
      </c>
      <c r="H10" s="22">
        <v>8.3000000000000007</v>
      </c>
      <c r="I10" s="22">
        <v>52.63</v>
      </c>
      <c r="J10" s="22">
        <v>1082</v>
      </c>
      <c r="K10">
        <f t="shared" si="0"/>
        <v>0</v>
      </c>
    </row>
    <row r="11" spans="1:11" ht="17">
      <c r="A11" s="22" t="s">
        <v>192</v>
      </c>
      <c r="B11" s="22">
        <v>20.37</v>
      </c>
      <c r="C11" s="22">
        <v>0.17</v>
      </c>
      <c r="D11" s="22">
        <v>3833</v>
      </c>
      <c r="E11" s="22">
        <v>981</v>
      </c>
      <c r="F11" s="22">
        <v>610</v>
      </c>
      <c r="G11" s="22">
        <v>25.59</v>
      </c>
      <c r="H11" s="22">
        <v>15.91</v>
      </c>
      <c r="I11" s="22">
        <v>67.400000000000006</v>
      </c>
      <c r="J11" s="22">
        <v>1168</v>
      </c>
      <c r="K11">
        <f t="shared" si="0"/>
        <v>0</v>
      </c>
    </row>
    <row r="12" spans="1:11" ht="17">
      <c r="A12" s="22" t="s">
        <v>160</v>
      </c>
      <c r="B12" s="22">
        <v>20.04</v>
      </c>
      <c r="C12" s="22">
        <v>0.17</v>
      </c>
      <c r="D12" s="22">
        <v>4394</v>
      </c>
      <c r="E12" s="22">
        <v>1185</v>
      </c>
      <c r="F12" s="22">
        <v>698</v>
      </c>
      <c r="G12" s="22">
        <v>26.97</v>
      </c>
      <c r="H12" s="22">
        <v>15.89</v>
      </c>
      <c r="I12" s="22">
        <v>69.42</v>
      </c>
      <c r="J12" s="22">
        <v>1140</v>
      </c>
      <c r="K12">
        <f t="shared" si="0"/>
        <v>0</v>
      </c>
    </row>
    <row r="13" spans="1:11" ht="17">
      <c r="A13" s="22" t="s">
        <v>168</v>
      </c>
      <c r="B13" s="22">
        <v>21.405000000000001</v>
      </c>
      <c r="C13" s="22">
        <v>0.17</v>
      </c>
      <c r="D13" s="22">
        <v>3630</v>
      </c>
      <c r="E13" s="22">
        <v>640</v>
      </c>
      <c r="F13" s="22">
        <v>327</v>
      </c>
      <c r="G13" s="22">
        <v>17.63</v>
      </c>
      <c r="H13" s="22">
        <v>9.01</v>
      </c>
      <c r="I13" s="22">
        <v>60.14</v>
      </c>
      <c r="J13" s="22">
        <v>1712</v>
      </c>
      <c r="K13">
        <f t="shared" si="0"/>
        <v>5.8823529411764594E-2</v>
      </c>
    </row>
    <row r="14" spans="1:11" ht="17">
      <c r="A14" s="22" t="s">
        <v>63</v>
      </c>
      <c r="B14" s="22">
        <v>23.905000000000001</v>
      </c>
      <c r="C14" s="22">
        <v>0.18</v>
      </c>
      <c r="D14" s="22">
        <v>3674</v>
      </c>
      <c r="E14" s="22">
        <v>738</v>
      </c>
      <c r="F14" s="22">
        <v>430</v>
      </c>
      <c r="G14" s="22">
        <v>20.09</v>
      </c>
      <c r="H14" s="22">
        <v>11.7</v>
      </c>
      <c r="I14" s="22">
        <v>65.510000000000005</v>
      </c>
      <c r="J14" s="22">
        <v>1017</v>
      </c>
      <c r="K14">
        <f t="shared" si="0"/>
        <v>0</v>
      </c>
    </row>
    <row r="15" spans="1:11" ht="17">
      <c r="A15" s="22" t="s">
        <v>14</v>
      </c>
      <c r="B15" s="22">
        <v>25.62</v>
      </c>
      <c r="C15" s="22">
        <v>0.18</v>
      </c>
      <c r="D15" s="22">
        <v>4029</v>
      </c>
      <c r="E15" s="22">
        <v>951</v>
      </c>
      <c r="F15" s="22">
        <v>492</v>
      </c>
      <c r="G15" s="22">
        <v>23.6</v>
      </c>
      <c r="H15" s="22">
        <v>12.21</v>
      </c>
      <c r="I15" s="22">
        <v>55.09</v>
      </c>
      <c r="J15" s="22">
        <v>1431</v>
      </c>
      <c r="K15">
        <f t="shared" si="0"/>
        <v>0</v>
      </c>
    </row>
    <row r="16" spans="1:11" ht="17">
      <c r="A16" s="22" t="s">
        <v>288</v>
      </c>
      <c r="B16" s="22">
        <v>23.47</v>
      </c>
      <c r="C16" s="22">
        <v>0.18</v>
      </c>
      <c r="D16" s="22">
        <v>4654</v>
      </c>
      <c r="E16" s="22">
        <v>1163</v>
      </c>
      <c r="F16" s="22">
        <v>660</v>
      </c>
      <c r="G16" s="22">
        <v>24.99</v>
      </c>
      <c r="H16" s="22">
        <v>14.18</v>
      </c>
      <c r="I16" s="22">
        <v>60.35</v>
      </c>
      <c r="J16" s="22">
        <v>1520</v>
      </c>
      <c r="K16">
        <f t="shared" si="0"/>
        <v>0</v>
      </c>
    </row>
    <row r="17" spans="1:11" ht="17">
      <c r="A17" s="22" t="s">
        <v>133</v>
      </c>
      <c r="B17" s="22">
        <v>26.572500000000002</v>
      </c>
      <c r="C17" s="22">
        <v>0.18</v>
      </c>
      <c r="D17" s="22">
        <v>4664</v>
      </c>
      <c r="E17" s="22">
        <v>1542</v>
      </c>
      <c r="F17" s="22">
        <v>884</v>
      </c>
      <c r="G17" s="22">
        <v>33.06</v>
      </c>
      <c r="H17" s="22">
        <v>18.95</v>
      </c>
      <c r="I17" s="22">
        <v>63.71</v>
      </c>
      <c r="J17" s="22">
        <v>1532</v>
      </c>
      <c r="K17">
        <f t="shared" si="0"/>
        <v>5.5555555555555608E-2</v>
      </c>
    </row>
    <row r="18" spans="1:11" ht="17">
      <c r="A18" s="22" t="s">
        <v>36</v>
      </c>
      <c r="B18" s="22">
        <v>26.012499999999999</v>
      </c>
      <c r="C18" s="22">
        <v>0.19</v>
      </c>
      <c r="D18" s="22">
        <v>4104</v>
      </c>
      <c r="E18" s="22">
        <v>1133</v>
      </c>
      <c r="F18" s="22">
        <v>650</v>
      </c>
      <c r="G18" s="22">
        <v>27.61</v>
      </c>
      <c r="H18" s="22">
        <v>15.84</v>
      </c>
      <c r="I18" s="22">
        <v>51.79</v>
      </c>
      <c r="J18" s="22">
        <v>1181</v>
      </c>
      <c r="K18">
        <f t="shared" si="0"/>
        <v>0</v>
      </c>
    </row>
    <row r="19" spans="1:11" ht="17">
      <c r="A19" s="22" t="s">
        <v>190</v>
      </c>
      <c r="B19" s="22">
        <v>24.5075</v>
      </c>
      <c r="C19" s="22">
        <v>0.19</v>
      </c>
      <c r="D19" s="22">
        <v>4358</v>
      </c>
      <c r="E19" s="22">
        <v>1155</v>
      </c>
      <c r="F19" s="22">
        <v>716</v>
      </c>
      <c r="G19" s="22">
        <v>26.5</v>
      </c>
      <c r="H19" s="22">
        <v>16.43</v>
      </c>
      <c r="I19" s="22">
        <v>48.52</v>
      </c>
      <c r="J19" s="22">
        <v>1753</v>
      </c>
      <c r="K19">
        <f t="shared" si="0"/>
        <v>0</v>
      </c>
    </row>
    <row r="20" spans="1:11" ht="17">
      <c r="A20" s="22" t="s">
        <v>256</v>
      </c>
      <c r="B20" s="22">
        <v>24.387499999999999</v>
      </c>
      <c r="C20" s="22">
        <v>0.19</v>
      </c>
      <c r="D20" s="22">
        <v>4954</v>
      </c>
      <c r="E20" s="22">
        <v>1488</v>
      </c>
      <c r="F20" s="22">
        <v>879</v>
      </c>
      <c r="G20" s="22">
        <v>30.04</v>
      </c>
      <c r="H20" s="22">
        <v>17.739999999999998</v>
      </c>
      <c r="I20" s="22">
        <v>45.72</v>
      </c>
      <c r="J20" s="22">
        <v>1579</v>
      </c>
      <c r="K20">
        <f t="shared" si="0"/>
        <v>0</v>
      </c>
    </row>
    <row r="21" spans="1:11" ht="17">
      <c r="A21" s="22" t="s">
        <v>203</v>
      </c>
      <c r="B21" s="22">
        <v>25.9725</v>
      </c>
      <c r="C21" s="22">
        <v>0.19</v>
      </c>
      <c r="D21" s="22">
        <v>4069</v>
      </c>
      <c r="E21" s="22">
        <v>883</v>
      </c>
      <c r="F21" s="22">
        <v>507</v>
      </c>
      <c r="G21" s="22">
        <v>21.7</v>
      </c>
      <c r="H21" s="22">
        <v>12.46</v>
      </c>
      <c r="I21" s="22">
        <v>43.54</v>
      </c>
      <c r="J21" s="22">
        <v>1603</v>
      </c>
      <c r="K21">
        <f t="shared" si="0"/>
        <v>0.15789473684210525</v>
      </c>
    </row>
    <row r="22" spans="1:11" ht="17">
      <c r="A22" s="22" t="s">
        <v>89</v>
      </c>
      <c r="B22" s="22">
        <v>29.585000000000001</v>
      </c>
      <c r="C22" s="22">
        <v>0.22</v>
      </c>
      <c r="D22" s="22">
        <v>3835</v>
      </c>
      <c r="E22" s="22">
        <v>1238</v>
      </c>
      <c r="F22" s="22">
        <v>636</v>
      </c>
      <c r="G22" s="22">
        <v>32.28</v>
      </c>
      <c r="H22" s="22">
        <v>16.579999999999998</v>
      </c>
      <c r="I22" s="22">
        <v>50.83</v>
      </c>
      <c r="J22" s="22">
        <v>1545</v>
      </c>
      <c r="K22">
        <f t="shared" si="0"/>
        <v>0</v>
      </c>
    </row>
    <row r="23" spans="1:11" ht="17">
      <c r="A23" s="22" t="s">
        <v>127</v>
      </c>
      <c r="B23" s="22">
        <v>32.6</v>
      </c>
      <c r="C23" s="22">
        <v>0.22</v>
      </c>
      <c r="D23" s="22">
        <v>3817</v>
      </c>
      <c r="E23" s="22">
        <v>1171</v>
      </c>
      <c r="F23" s="22">
        <v>540</v>
      </c>
      <c r="G23" s="22">
        <v>30.68</v>
      </c>
      <c r="H23" s="22">
        <v>14.15</v>
      </c>
      <c r="I23" s="22">
        <v>53.18</v>
      </c>
      <c r="J23" s="22">
        <v>1725</v>
      </c>
      <c r="K23">
        <f t="shared" si="0"/>
        <v>0</v>
      </c>
    </row>
    <row r="24" spans="1:11" ht="17">
      <c r="A24" s="22" t="s">
        <v>88</v>
      </c>
      <c r="B24" s="22">
        <v>30.58</v>
      </c>
      <c r="C24" s="22">
        <v>0.22</v>
      </c>
      <c r="D24" s="22">
        <v>4805</v>
      </c>
      <c r="E24" s="22">
        <v>1402</v>
      </c>
      <c r="F24" s="22">
        <v>753</v>
      </c>
      <c r="G24" s="22">
        <v>29.18</v>
      </c>
      <c r="H24" s="22">
        <v>15.67</v>
      </c>
      <c r="I24" s="22">
        <v>58.68</v>
      </c>
      <c r="J24" s="22">
        <v>2024</v>
      </c>
      <c r="K24">
        <f t="shared" si="0"/>
        <v>0</v>
      </c>
    </row>
    <row r="25" spans="1:11" ht="17">
      <c r="A25" s="22" t="s">
        <v>24</v>
      </c>
      <c r="B25" s="22">
        <v>29.864999999999998</v>
      </c>
      <c r="C25" s="22">
        <v>0.22</v>
      </c>
      <c r="D25" s="22">
        <v>3698</v>
      </c>
      <c r="E25" s="22">
        <v>486</v>
      </c>
      <c r="F25" s="22">
        <v>966</v>
      </c>
      <c r="G25" s="22">
        <v>13.14</v>
      </c>
      <c r="H25" s="22">
        <v>26.12</v>
      </c>
      <c r="I25" s="22">
        <v>64.02</v>
      </c>
      <c r="J25" s="22">
        <v>1042</v>
      </c>
      <c r="K25">
        <f t="shared" si="0"/>
        <v>0.13636363636363635</v>
      </c>
    </row>
    <row r="26" spans="1:11" ht="17">
      <c r="A26" s="22" t="s">
        <v>55</v>
      </c>
      <c r="B26" s="22">
        <v>32.092500000000001</v>
      </c>
      <c r="C26" s="22">
        <v>0.25</v>
      </c>
      <c r="D26" s="22">
        <v>3972</v>
      </c>
      <c r="E26" s="22">
        <v>1320</v>
      </c>
      <c r="F26" s="22">
        <v>1583</v>
      </c>
      <c r="G26" s="22">
        <v>33.229999999999997</v>
      </c>
      <c r="H26" s="22">
        <v>39.85</v>
      </c>
      <c r="I26" s="22">
        <v>55.68</v>
      </c>
      <c r="J26" s="22">
        <v>1364</v>
      </c>
      <c r="K26">
        <f t="shared" si="0"/>
        <v>0</v>
      </c>
    </row>
    <row r="27" spans="1:11" ht="17">
      <c r="A27" s="22" t="s">
        <v>183</v>
      </c>
      <c r="B27" s="22">
        <v>35.032499999999999</v>
      </c>
      <c r="C27" s="22">
        <v>0.25</v>
      </c>
      <c r="D27" s="22">
        <v>4404</v>
      </c>
      <c r="E27" s="22">
        <v>1288</v>
      </c>
      <c r="F27" s="22">
        <v>793</v>
      </c>
      <c r="G27" s="22">
        <v>29.25</v>
      </c>
      <c r="H27" s="22">
        <v>18.010000000000002</v>
      </c>
      <c r="I27" s="22">
        <v>43.76</v>
      </c>
      <c r="J27" s="22">
        <v>1801</v>
      </c>
      <c r="K27">
        <f t="shared" si="0"/>
        <v>0</v>
      </c>
    </row>
    <row r="28" spans="1:11" ht="17">
      <c r="A28" s="22" t="s">
        <v>34</v>
      </c>
      <c r="B28" s="22">
        <v>36.637500000000003</v>
      </c>
      <c r="C28" s="22">
        <v>0.25</v>
      </c>
      <c r="D28" s="22">
        <v>4808</v>
      </c>
      <c r="E28" s="22">
        <v>1396</v>
      </c>
      <c r="F28" s="22">
        <v>847</v>
      </c>
      <c r="G28" s="22">
        <v>29.03</v>
      </c>
      <c r="H28" s="22">
        <v>17.62</v>
      </c>
      <c r="I28" s="22">
        <v>42.44</v>
      </c>
      <c r="J28" s="22">
        <v>1995</v>
      </c>
      <c r="K28">
        <f t="shared" si="0"/>
        <v>0</v>
      </c>
    </row>
    <row r="29" spans="1:11" ht="17">
      <c r="A29" s="22" t="s">
        <v>173</v>
      </c>
      <c r="B29" s="22">
        <v>39.047499999999999</v>
      </c>
      <c r="C29" s="22">
        <v>0.25</v>
      </c>
      <c r="D29" s="22">
        <v>4010</v>
      </c>
      <c r="E29" s="22">
        <v>729</v>
      </c>
      <c r="F29" s="22">
        <v>2155</v>
      </c>
      <c r="G29" s="22">
        <v>18.18</v>
      </c>
      <c r="H29" s="22">
        <v>53.74</v>
      </c>
      <c r="I29" s="22">
        <v>42.94</v>
      </c>
      <c r="J29" s="22">
        <v>1253</v>
      </c>
      <c r="K29">
        <f t="shared" si="0"/>
        <v>0.12000000000000011</v>
      </c>
    </row>
    <row r="30" spans="1:11" ht="17">
      <c r="A30" s="22" t="s">
        <v>282</v>
      </c>
      <c r="B30" s="22">
        <v>40.832500000000003</v>
      </c>
      <c r="C30" s="22">
        <v>0.28000000000000003</v>
      </c>
      <c r="D30" s="22">
        <v>3863</v>
      </c>
      <c r="E30" s="22">
        <v>1031</v>
      </c>
      <c r="F30" s="22">
        <v>4428</v>
      </c>
      <c r="G30" s="22">
        <v>26.69</v>
      </c>
      <c r="H30" s="22">
        <v>114.63</v>
      </c>
      <c r="I30" s="22">
        <v>34.53</v>
      </c>
      <c r="J30" s="22">
        <v>1290</v>
      </c>
      <c r="K30">
        <f t="shared" si="0"/>
        <v>0</v>
      </c>
    </row>
    <row r="31" spans="1:11" ht="17">
      <c r="A31" s="22" t="s">
        <v>110</v>
      </c>
      <c r="B31" s="22">
        <v>41.7575</v>
      </c>
      <c r="C31" s="22">
        <v>0.28000000000000003</v>
      </c>
      <c r="D31" s="22">
        <v>4069</v>
      </c>
      <c r="E31" s="22">
        <v>1124</v>
      </c>
      <c r="F31" s="22">
        <v>795</v>
      </c>
      <c r="G31" s="22">
        <v>27.62</v>
      </c>
      <c r="H31" s="22">
        <v>19.54</v>
      </c>
      <c r="I31" s="22">
        <v>23.41</v>
      </c>
      <c r="J31" s="22">
        <v>1643</v>
      </c>
      <c r="K31">
        <f t="shared" si="0"/>
        <v>0</v>
      </c>
    </row>
    <row r="32" spans="1:11" ht="17">
      <c r="A32" s="22" t="s">
        <v>52</v>
      </c>
      <c r="B32" s="22">
        <v>41.9</v>
      </c>
      <c r="C32" s="22">
        <v>0.28000000000000003</v>
      </c>
      <c r="D32" s="22">
        <v>4418</v>
      </c>
      <c r="E32" s="22">
        <v>974</v>
      </c>
      <c r="F32" s="22">
        <v>1007</v>
      </c>
      <c r="G32" s="22">
        <v>22.05</v>
      </c>
      <c r="H32" s="22">
        <v>22.79</v>
      </c>
      <c r="I32" s="22">
        <v>24.22</v>
      </c>
      <c r="J32" s="22">
        <v>2292</v>
      </c>
      <c r="K32">
        <f t="shared" si="0"/>
        <v>0</v>
      </c>
    </row>
    <row r="33" spans="1:11" ht="17">
      <c r="A33" s="22" t="s">
        <v>107</v>
      </c>
      <c r="B33" s="22">
        <v>43.454999999999998</v>
      </c>
      <c r="C33" s="22">
        <v>0.28000000000000003</v>
      </c>
      <c r="D33" s="22">
        <v>4376</v>
      </c>
      <c r="E33" s="22">
        <v>1115</v>
      </c>
      <c r="F33" s="22">
        <v>409</v>
      </c>
      <c r="G33" s="22">
        <v>25.48</v>
      </c>
      <c r="H33" s="22">
        <v>9.35</v>
      </c>
      <c r="I33" s="22">
        <v>24.53</v>
      </c>
      <c r="J33" s="22">
        <v>1368</v>
      </c>
      <c r="K33">
        <f t="shared" si="0"/>
        <v>0.10714285714285703</v>
      </c>
    </row>
    <row r="34" spans="1:11" ht="17">
      <c r="A34" s="22" t="s">
        <v>18</v>
      </c>
      <c r="B34" s="22">
        <v>48.33</v>
      </c>
      <c r="C34" s="22">
        <v>0.31</v>
      </c>
      <c r="D34" s="22">
        <v>4075</v>
      </c>
      <c r="E34" s="22">
        <v>1125</v>
      </c>
      <c r="F34" s="22">
        <v>680</v>
      </c>
      <c r="G34" s="22">
        <v>27.61</v>
      </c>
      <c r="H34" s="22">
        <v>16.690000000000001</v>
      </c>
      <c r="I34" s="22">
        <v>31.99</v>
      </c>
      <c r="J34" s="22">
        <v>1597</v>
      </c>
      <c r="K34">
        <f t="shared" si="0"/>
        <v>0</v>
      </c>
    </row>
    <row r="35" spans="1:11" ht="17">
      <c r="A35" s="22" t="s">
        <v>222</v>
      </c>
      <c r="B35" s="22">
        <v>51.215000000000003</v>
      </c>
      <c r="C35" s="22">
        <v>0.31</v>
      </c>
      <c r="D35" s="22">
        <v>4970</v>
      </c>
      <c r="E35" s="22">
        <v>1399</v>
      </c>
      <c r="F35" s="22">
        <v>1234</v>
      </c>
      <c r="G35" s="22">
        <v>28.15</v>
      </c>
      <c r="H35" s="22">
        <v>24.83</v>
      </c>
      <c r="I35" s="22">
        <v>76.72</v>
      </c>
      <c r="J35" s="22">
        <v>1684</v>
      </c>
      <c r="K35">
        <f t="shared" si="0"/>
        <v>0</v>
      </c>
    </row>
    <row r="36" spans="1:11" ht="17">
      <c r="A36" s="22" t="s">
        <v>170</v>
      </c>
      <c r="B36" s="22">
        <v>58.247500000000002</v>
      </c>
      <c r="C36" s="22">
        <v>0.31</v>
      </c>
      <c r="D36" s="22">
        <v>5572</v>
      </c>
      <c r="E36" s="22">
        <v>1595</v>
      </c>
      <c r="F36" s="22">
        <v>879</v>
      </c>
      <c r="G36" s="22">
        <v>28.63</v>
      </c>
      <c r="H36" s="22">
        <v>15.78</v>
      </c>
      <c r="I36" s="22">
        <v>68.209999999999994</v>
      </c>
      <c r="J36" s="22">
        <v>2962</v>
      </c>
      <c r="K36">
        <f t="shared" si="0"/>
        <v>0</v>
      </c>
    </row>
    <row r="37" spans="1:11" ht="17">
      <c r="A37" s="22" t="s">
        <v>250</v>
      </c>
      <c r="B37" s="22">
        <v>60.54</v>
      </c>
      <c r="C37" s="22">
        <v>0.31</v>
      </c>
      <c r="D37" s="22">
        <v>4588</v>
      </c>
      <c r="E37" s="22">
        <v>956</v>
      </c>
      <c r="F37" s="22">
        <v>975</v>
      </c>
      <c r="G37" s="22">
        <v>20.84</v>
      </c>
      <c r="H37" s="22">
        <v>21.25</v>
      </c>
      <c r="I37" s="22">
        <v>72.97</v>
      </c>
      <c r="J37" s="22">
        <v>1912</v>
      </c>
      <c r="K37">
        <f t="shared" si="0"/>
        <v>0.12903225806451607</v>
      </c>
    </row>
    <row r="38" spans="1:11" ht="17">
      <c r="A38" s="22" t="s">
        <v>126</v>
      </c>
      <c r="B38" s="22">
        <v>60.155000000000001</v>
      </c>
      <c r="C38" s="22">
        <v>0.35</v>
      </c>
      <c r="D38" s="22">
        <v>4613</v>
      </c>
      <c r="E38" s="22">
        <v>1708</v>
      </c>
      <c r="F38" s="22">
        <v>421</v>
      </c>
      <c r="G38" s="22">
        <v>37.03</v>
      </c>
      <c r="H38" s="22">
        <v>9.1300000000000008</v>
      </c>
      <c r="I38" s="22">
        <v>64.430000000000007</v>
      </c>
      <c r="J38" s="22">
        <v>1894</v>
      </c>
      <c r="K38">
        <f t="shared" si="0"/>
        <v>0</v>
      </c>
    </row>
    <row r="39" spans="1:11" ht="17">
      <c r="A39" s="22" t="s">
        <v>161</v>
      </c>
      <c r="B39" s="22">
        <v>60.042499999999997</v>
      </c>
      <c r="C39" s="22">
        <v>0.35</v>
      </c>
      <c r="D39" s="22">
        <v>4204</v>
      </c>
      <c r="E39" s="22">
        <v>1169</v>
      </c>
      <c r="F39" s="22">
        <v>1275</v>
      </c>
      <c r="G39" s="22">
        <v>27.81</v>
      </c>
      <c r="H39" s="22">
        <v>30.33</v>
      </c>
      <c r="I39" s="22">
        <v>71.430000000000007</v>
      </c>
      <c r="J39" s="22">
        <v>1898</v>
      </c>
      <c r="K39">
        <f t="shared" si="0"/>
        <v>0</v>
      </c>
    </row>
    <row r="40" spans="1:11" ht="17">
      <c r="A40" s="22" t="s">
        <v>28</v>
      </c>
      <c r="B40" s="22">
        <v>69.39</v>
      </c>
      <c r="C40" s="22">
        <v>0.35</v>
      </c>
      <c r="D40" s="22">
        <v>4785</v>
      </c>
      <c r="E40" s="22">
        <v>1019</v>
      </c>
      <c r="F40" s="22">
        <v>1229</v>
      </c>
      <c r="G40" s="22">
        <v>21.3</v>
      </c>
      <c r="H40" s="22">
        <v>25.68</v>
      </c>
      <c r="I40" s="22">
        <v>73.2</v>
      </c>
      <c r="J40" s="22">
        <v>2839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2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3" t="s">
        <v>273</v>
      </c>
      <c r="B1" s="23" t="s">
        <v>262</v>
      </c>
      <c r="C1" s="23" t="s">
        <v>223</v>
      </c>
      <c r="D1" s="23" t="s">
        <v>259</v>
      </c>
      <c r="E1" s="23" t="s">
        <v>258</v>
      </c>
      <c r="F1" s="23" t="s">
        <v>27</v>
      </c>
      <c r="G1" s="23" t="s">
        <v>77</v>
      </c>
      <c r="H1" s="23" t="s">
        <v>278</v>
      </c>
      <c r="I1" s="23" t="s">
        <v>128</v>
      </c>
      <c r="J1" s="23" t="s">
        <v>308</v>
      </c>
    </row>
    <row r="2" spans="1:11" ht="17">
      <c r="A2" s="23" t="s">
        <v>32</v>
      </c>
      <c r="B2" s="23">
        <v>61.6</v>
      </c>
      <c r="C2" s="23">
        <v>0.48</v>
      </c>
      <c r="D2" s="23">
        <v>20230</v>
      </c>
      <c r="E2" s="23">
        <v>3772</v>
      </c>
      <c r="F2" s="23">
        <v>2873</v>
      </c>
      <c r="G2" s="23">
        <v>18.649999999999999</v>
      </c>
      <c r="H2" s="23">
        <v>13.95</v>
      </c>
      <c r="I2" s="23">
        <v>50.72</v>
      </c>
      <c r="J2" s="23">
        <v>4056</v>
      </c>
      <c r="K2">
        <f t="shared" ref="K2:K39" si="0">(C3-C2)/C2</f>
        <v>0.10416666666666677</v>
      </c>
    </row>
    <row r="3" spans="1:11" ht="17">
      <c r="A3" s="23" t="s">
        <v>79</v>
      </c>
      <c r="B3" s="23">
        <v>63.57</v>
      </c>
      <c r="C3" s="23">
        <v>0.53</v>
      </c>
      <c r="D3" s="23">
        <v>20860</v>
      </c>
      <c r="E3" s="23">
        <v>3285</v>
      </c>
      <c r="F3" s="23">
        <v>2510</v>
      </c>
      <c r="G3" s="23">
        <v>15.75</v>
      </c>
      <c r="H3" s="23">
        <v>11.72</v>
      </c>
      <c r="I3" s="23">
        <v>50.14</v>
      </c>
      <c r="J3" s="23">
        <v>3846</v>
      </c>
      <c r="K3">
        <f t="shared" si="0"/>
        <v>0</v>
      </c>
    </row>
    <row r="4" spans="1:11" ht="17">
      <c r="A4" s="23" t="s">
        <v>181</v>
      </c>
      <c r="B4" s="23">
        <v>63.18</v>
      </c>
      <c r="C4" s="23">
        <v>0.53</v>
      </c>
      <c r="D4" s="23">
        <v>21917</v>
      </c>
      <c r="E4" s="23">
        <v>4334</v>
      </c>
      <c r="F4" s="23">
        <v>3024</v>
      </c>
      <c r="G4" s="23">
        <v>19.77</v>
      </c>
      <c r="H4" s="23">
        <v>13.55</v>
      </c>
      <c r="I4" s="23">
        <v>51.11</v>
      </c>
      <c r="J4" s="23">
        <v>2167</v>
      </c>
      <c r="K4">
        <f t="shared" si="0"/>
        <v>0</v>
      </c>
    </row>
    <row r="5" spans="1:11" ht="17">
      <c r="A5" s="23" t="s">
        <v>217</v>
      </c>
      <c r="B5" s="23">
        <v>66.709999999999994</v>
      </c>
      <c r="C5" s="23">
        <v>0.53</v>
      </c>
      <c r="D5" s="23">
        <v>22135</v>
      </c>
      <c r="E5" s="23">
        <v>4293</v>
      </c>
      <c r="F5" s="23">
        <v>1690</v>
      </c>
      <c r="G5" s="23">
        <v>19.39</v>
      </c>
      <c r="H5" s="23">
        <v>7.1</v>
      </c>
      <c r="I5" s="23">
        <v>51.11</v>
      </c>
      <c r="J5" s="23">
        <v>3328</v>
      </c>
      <c r="K5">
        <f t="shared" si="0"/>
        <v>0</v>
      </c>
    </row>
    <row r="6" spans="1:11" ht="17">
      <c r="A6" s="23" t="s">
        <v>162</v>
      </c>
      <c r="B6" s="23">
        <v>67.209999999999994</v>
      </c>
      <c r="C6" s="23">
        <v>0.53</v>
      </c>
      <c r="D6" s="23">
        <v>20194</v>
      </c>
      <c r="E6" s="23">
        <v>3321</v>
      </c>
      <c r="F6" s="23">
        <v>2411</v>
      </c>
      <c r="G6" s="23">
        <v>16.45</v>
      </c>
      <c r="H6" s="23">
        <v>11.63</v>
      </c>
      <c r="I6" s="23">
        <v>60.49</v>
      </c>
      <c r="J6" s="23">
        <v>3816</v>
      </c>
      <c r="K6">
        <f t="shared" si="0"/>
        <v>5.660377358490571E-2</v>
      </c>
    </row>
    <row r="7" spans="1:11" ht="17">
      <c r="A7" s="23" t="s">
        <v>64</v>
      </c>
      <c r="B7" s="23">
        <v>61.25</v>
      </c>
      <c r="C7" s="23">
        <v>0.56000000000000005</v>
      </c>
      <c r="D7" s="23">
        <v>20212</v>
      </c>
      <c r="E7" s="23">
        <v>3063</v>
      </c>
      <c r="F7" s="23">
        <v>3631</v>
      </c>
      <c r="G7" s="23">
        <v>15.15</v>
      </c>
      <c r="H7" s="23">
        <v>17.59</v>
      </c>
      <c r="I7" s="23">
        <v>64.42</v>
      </c>
      <c r="J7" s="23">
        <v>3973</v>
      </c>
      <c r="K7">
        <f t="shared" si="0"/>
        <v>0</v>
      </c>
    </row>
    <row r="8" spans="1:11" ht="17">
      <c r="A8" s="23" t="s">
        <v>226</v>
      </c>
      <c r="B8" s="23">
        <v>69.36</v>
      </c>
      <c r="C8" s="23">
        <v>0.56000000000000005</v>
      </c>
      <c r="D8" s="23">
        <v>20739</v>
      </c>
      <c r="E8" s="23">
        <v>3951</v>
      </c>
      <c r="F8" s="23">
        <v>2814</v>
      </c>
      <c r="G8" s="23">
        <v>19.05</v>
      </c>
      <c r="H8" s="23">
        <v>13.29</v>
      </c>
      <c r="I8" s="23">
        <v>68.489999999999995</v>
      </c>
      <c r="J8" s="23">
        <v>2770</v>
      </c>
      <c r="K8">
        <f t="shared" si="0"/>
        <v>0</v>
      </c>
    </row>
    <row r="9" spans="1:11" ht="17">
      <c r="A9" s="23" t="s">
        <v>247</v>
      </c>
      <c r="B9" s="23">
        <v>67.89</v>
      </c>
      <c r="C9" s="23">
        <v>0.56000000000000005</v>
      </c>
      <c r="D9" s="23">
        <v>22175</v>
      </c>
      <c r="E9" s="23">
        <v>4492</v>
      </c>
      <c r="F9" s="23">
        <v>4057</v>
      </c>
      <c r="G9" s="23">
        <v>20.260000000000002</v>
      </c>
      <c r="H9" s="23">
        <v>18</v>
      </c>
      <c r="I9" s="23">
        <v>56.69</v>
      </c>
      <c r="J9" s="23">
        <v>3849</v>
      </c>
      <c r="K9">
        <f t="shared" si="0"/>
        <v>0</v>
      </c>
    </row>
    <row r="10" spans="1:11" ht="17">
      <c r="A10" s="23" t="s">
        <v>19</v>
      </c>
      <c r="B10" s="23">
        <v>77.06</v>
      </c>
      <c r="C10" s="23">
        <v>0.56000000000000005</v>
      </c>
      <c r="D10" s="23">
        <v>20598</v>
      </c>
      <c r="E10" s="23">
        <v>3405</v>
      </c>
      <c r="F10" s="23">
        <v>2566</v>
      </c>
      <c r="G10" s="23">
        <v>16.53</v>
      </c>
      <c r="H10" s="23">
        <v>12.2</v>
      </c>
      <c r="I10" s="23">
        <v>56.69</v>
      </c>
      <c r="J10" s="23">
        <v>3862</v>
      </c>
      <c r="K10">
        <f t="shared" si="0"/>
        <v>7.1428571428571286E-2</v>
      </c>
    </row>
    <row r="11" spans="1:11" ht="17">
      <c r="A11" s="23" t="s">
        <v>192</v>
      </c>
      <c r="B11" s="23">
        <v>76.989999999999995</v>
      </c>
      <c r="C11" s="23">
        <v>0.6</v>
      </c>
      <c r="D11" s="23">
        <v>20655</v>
      </c>
      <c r="E11" s="23">
        <v>2941</v>
      </c>
      <c r="F11" s="23">
        <v>1875</v>
      </c>
      <c r="G11" s="23">
        <v>14.24</v>
      </c>
      <c r="H11" s="23">
        <v>8.75</v>
      </c>
      <c r="I11" s="23">
        <v>56.62</v>
      </c>
      <c r="J11" s="23">
        <v>4392</v>
      </c>
      <c r="K11">
        <f t="shared" si="0"/>
        <v>0</v>
      </c>
    </row>
    <row r="12" spans="1:11" ht="17">
      <c r="A12" s="23" t="s">
        <v>160</v>
      </c>
      <c r="B12" s="23">
        <v>75.59</v>
      </c>
      <c r="C12" s="23">
        <v>0.6</v>
      </c>
      <c r="D12" s="23">
        <v>21205</v>
      </c>
      <c r="E12" s="23">
        <v>4151</v>
      </c>
      <c r="F12" s="23">
        <v>3027</v>
      </c>
      <c r="G12" s="23">
        <v>19.579999999999998</v>
      </c>
      <c r="H12" s="23">
        <v>14</v>
      </c>
      <c r="I12" s="23">
        <v>59.26</v>
      </c>
      <c r="J12" s="23">
        <v>2044</v>
      </c>
      <c r="K12">
        <f t="shared" si="0"/>
        <v>0</v>
      </c>
    </row>
    <row r="13" spans="1:11" ht="17">
      <c r="A13" s="23" t="s">
        <v>168</v>
      </c>
      <c r="B13" s="23">
        <v>81.41</v>
      </c>
      <c r="C13" s="23">
        <v>0.6</v>
      </c>
      <c r="D13" s="23">
        <v>22280</v>
      </c>
      <c r="E13" s="23">
        <v>4552</v>
      </c>
      <c r="F13" s="23">
        <v>3428</v>
      </c>
      <c r="G13" s="23">
        <v>20.43</v>
      </c>
      <c r="H13" s="23">
        <v>15.09</v>
      </c>
      <c r="I13" s="23">
        <v>59.06</v>
      </c>
      <c r="J13" s="23">
        <v>3299</v>
      </c>
      <c r="K13">
        <f t="shared" si="0"/>
        <v>0</v>
      </c>
    </row>
    <row r="14" spans="1:11" ht="17">
      <c r="A14" s="23" t="s">
        <v>63</v>
      </c>
      <c r="B14" s="23">
        <v>80.599999999999994</v>
      </c>
      <c r="C14" s="23">
        <v>0.6</v>
      </c>
      <c r="D14" s="23">
        <v>20559</v>
      </c>
      <c r="E14" s="23">
        <v>3458</v>
      </c>
      <c r="F14" s="23">
        <v>2609</v>
      </c>
      <c r="G14" s="23">
        <v>16.82</v>
      </c>
      <c r="H14" s="23">
        <v>12.41</v>
      </c>
      <c r="I14" s="23">
        <v>63.62</v>
      </c>
      <c r="J14" s="23">
        <v>4109</v>
      </c>
      <c r="K14">
        <f t="shared" si="0"/>
        <v>6.6666666666666735E-2</v>
      </c>
    </row>
    <row r="15" spans="1:11" ht="17">
      <c r="A15" s="23" t="s">
        <v>14</v>
      </c>
      <c r="B15" s="23">
        <v>78.59</v>
      </c>
      <c r="C15" s="23">
        <v>0.64</v>
      </c>
      <c r="D15" s="23">
        <v>19018</v>
      </c>
      <c r="E15" s="23">
        <v>3127</v>
      </c>
      <c r="F15" s="23">
        <v>2579</v>
      </c>
      <c r="G15" s="23">
        <v>16.440000000000001</v>
      </c>
      <c r="H15" s="23">
        <v>13.19</v>
      </c>
      <c r="I15" s="23">
        <v>63.99</v>
      </c>
      <c r="J15" s="23">
        <v>4506</v>
      </c>
      <c r="K15">
        <f t="shared" si="0"/>
        <v>0</v>
      </c>
    </row>
    <row r="16" spans="1:11" ht="17">
      <c r="A16" s="23" t="s">
        <v>288</v>
      </c>
      <c r="B16" s="23">
        <v>83.74</v>
      </c>
      <c r="C16" s="23">
        <v>0.64</v>
      </c>
      <c r="D16" s="23">
        <v>20792</v>
      </c>
      <c r="E16" s="23">
        <v>3913</v>
      </c>
      <c r="F16" s="23">
        <v>1990</v>
      </c>
      <c r="G16" s="23">
        <v>18.82</v>
      </c>
      <c r="H16" s="23">
        <v>9.2799999999999994</v>
      </c>
      <c r="I16" s="23">
        <v>61.51</v>
      </c>
      <c r="J16" s="23">
        <v>3633</v>
      </c>
      <c r="K16">
        <f t="shared" si="0"/>
        <v>0</v>
      </c>
    </row>
    <row r="17" spans="1:11" ht="17">
      <c r="A17" s="23" t="s">
        <v>133</v>
      </c>
      <c r="B17" s="23">
        <v>91.09</v>
      </c>
      <c r="C17" s="23">
        <v>0.64</v>
      </c>
      <c r="D17" s="23">
        <v>20161</v>
      </c>
      <c r="E17" s="23">
        <v>3947</v>
      </c>
      <c r="F17" s="23">
        <v>2372</v>
      </c>
      <c r="G17" s="23">
        <v>19.579999999999998</v>
      </c>
      <c r="H17" s="23">
        <v>11.42</v>
      </c>
      <c r="I17" s="23">
        <v>68.599999999999994</v>
      </c>
      <c r="J17" s="23">
        <v>3435</v>
      </c>
      <c r="K17">
        <f t="shared" si="0"/>
        <v>0</v>
      </c>
    </row>
    <row r="18" spans="1:11" ht="17">
      <c r="A18" s="23" t="s">
        <v>36</v>
      </c>
      <c r="B18" s="23">
        <v>81.94</v>
      </c>
      <c r="C18" s="23">
        <v>0.64</v>
      </c>
      <c r="D18" s="23">
        <v>18142</v>
      </c>
      <c r="E18" s="23">
        <v>3135</v>
      </c>
      <c r="F18" s="23">
        <v>2153</v>
      </c>
      <c r="G18" s="23">
        <v>17.28</v>
      </c>
      <c r="H18" s="23">
        <v>11.54</v>
      </c>
      <c r="I18" s="23">
        <v>65.430000000000007</v>
      </c>
      <c r="J18" s="23">
        <v>3552</v>
      </c>
      <c r="K18">
        <f t="shared" si="0"/>
        <v>3.1250000000000028E-2</v>
      </c>
    </row>
    <row r="19" spans="1:11" ht="17">
      <c r="A19" s="23" t="s">
        <v>190</v>
      </c>
      <c r="B19" s="23">
        <v>78.239999999999995</v>
      </c>
      <c r="C19" s="23">
        <v>0.66</v>
      </c>
      <c r="D19" s="23">
        <v>17790</v>
      </c>
      <c r="E19" s="23">
        <v>2958</v>
      </c>
      <c r="F19" s="23">
        <v>521</v>
      </c>
      <c r="G19" s="23">
        <v>16.63</v>
      </c>
      <c r="H19" s="23">
        <v>2.54</v>
      </c>
      <c r="I19" s="23">
        <v>67.22</v>
      </c>
      <c r="J19" s="23">
        <v>3988</v>
      </c>
      <c r="K19">
        <f t="shared" si="0"/>
        <v>0</v>
      </c>
    </row>
    <row r="20" spans="1:11" ht="17">
      <c r="A20" s="23" t="s">
        <v>256</v>
      </c>
      <c r="B20" s="23">
        <v>71.94</v>
      </c>
      <c r="C20" s="23">
        <v>0.66</v>
      </c>
      <c r="D20" s="23">
        <v>16527</v>
      </c>
      <c r="E20" s="23">
        <v>3768</v>
      </c>
      <c r="F20" s="23">
        <v>2601</v>
      </c>
      <c r="G20" s="23">
        <v>22.8</v>
      </c>
      <c r="H20" s="23">
        <v>15.34</v>
      </c>
      <c r="I20" s="23">
        <v>84.76</v>
      </c>
      <c r="J20" s="23">
        <v>3538</v>
      </c>
      <c r="K20">
        <f t="shared" si="0"/>
        <v>0</v>
      </c>
    </row>
    <row r="21" spans="1:11" ht="17">
      <c r="A21" s="23" t="s">
        <v>203</v>
      </c>
      <c r="B21" s="23">
        <v>79.41</v>
      </c>
      <c r="C21" s="23">
        <v>0.66</v>
      </c>
      <c r="D21" s="23">
        <v>16915</v>
      </c>
      <c r="E21" s="23">
        <v>3853</v>
      </c>
      <c r="F21" s="23">
        <v>3206</v>
      </c>
      <c r="G21" s="23">
        <v>22.78</v>
      </c>
      <c r="H21" s="23">
        <v>18.579999999999998</v>
      </c>
      <c r="I21" s="23">
        <v>84.56</v>
      </c>
      <c r="J21" s="23">
        <v>4480</v>
      </c>
      <c r="K21">
        <f t="shared" si="0"/>
        <v>0</v>
      </c>
    </row>
    <row r="22" spans="1:11" ht="17">
      <c r="A22" s="23" t="s">
        <v>89</v>
      </c>
      <c r="B22" s="23">
        <v>82.31</v>
      </c>
      <c r="C22" s="23">
        <v>0.66</v>
      </c>
      <c r="D22" s="23">
        <v>15755</v>
      </c>
      <c r="E22" s="23">
        <v>3318</v>
      </c>
      <c r="F22" s="23">
        <v>2750</v>
      </c>
      <c r="G22" s="23">
        <v>21.06</v>
      </c>
      <c r="H22" s="23">
        <v>17.05</v>
      </c>
      <c r="I22" s="23">
        <v>82.78</v>
      </c>
      <c r="J22" s="23">
        <v>3278</v>
      </c>
      <c r="K22">
        <f t="shared" si="0"/>
        <v>1.5151515151515164E-2</v>
      </c>
    </row>
    <row r="23" spans="1:11" ht="17">
      <c r="A23" s="23" t="s">
        <v>127</v>
      </c>
      <c r="B23" s="23">
        <v>84.67</v>
      </c>
      <c r="C23" s="23">
        <v>0.67</v>
      </c>
      <c r="D23" s="23">
        <v>16102</v>
      </c>
      <c r="E23" s="23">
        <v>2502</v>
      </c>
      <c r="F23" s="23">
        <v>1951</v>
      </c>
      <c r="G23" s="23">
        <v>15.54</v>
      </c>
      <c r="H23" s="23">
        <v>11.73</v>
      </c>
      <c r="I23" s="23">
        <v>83.65</v>
      </c>
      <c r="J23" s="23">
        <v>4139</v>
      </c>
      <c r="K23">
        <f t="shared" si="0"/>
        <v>0</v>
      </c>
    </row>
    <row r="24" spans="1:11" ht="17">
      <c r="A24" s="23" t="s">
        <v>88</v>
      </c>
      <c r="B24" s="23">
        <v>89.75</v>
      </c>
      <c r="C24" s="23">
        <v>0.67</v>
      </c>
      <c r="D24" s="23">
        <v>16518</v>
      </c>
      <c r="E24" s="23">
        <v>3771</v>
      </c>
      <c r="F24" s="23">
        <v>2714</v>
      </c>
      <c r="G24" s="23">
        <v>22.83</v>
      </c>
      <c r="H24" s="23">
        <v>16.05</v>
      </c>
      <c r="I24" s="23">
        <v>76.17</v>
      </c>
      <c r="J24" s="23">
        <v>3025</v>
      </c>
      <c r="K24">
        <f t="shared" si="0"/>
        <v>0</v>
      </c>
    </row>
    <row r="25" spans="1:11" ht="17">
      <c r="A25" s="23" t="s">
        <v>24</v>
      </c>
      <c r="B25" s="23">
        <v>84.08</v>
      </c>
      <c r="C25" s="23">
        <v>0.67</v>
      </c>
      <c r="D25" s="23">
        <v>16856</v>
      </c>
      <c r="E25" s="23">
        <v>3875</v>
      </c>
      <c r="F25" s="23">
        <v>7875</v>
      </c>
      <c r="G25" s="23">
        <v>22.99</v>
      </c>
      <c r="H25" s="23">
        <v>46.36</v>
      </c>
      <c r="I25" s="23">
        <v>75.489999999999995</v>
      </c>
      <c r="J25" s="23">
        <v>3000</v>
      </c>
      <c r="K25">
        <f t="shared" si="0"/>
        <v>0</v>
      </c>
    </row>
    <row r="26" spans="1:11" ht="17">
      <c r="A26" s="23" t="s">
        <v>55</v>
      </c>
      <c r="B26" s="23">
        <v>89.85</v>
      </c>
      <c r="C26" s="23">
        <v>0.67</v>
      </c>
      <c r="D26" s="23">
        <v>15605</v>
      </c>
      <c r="E26" s="23">
        <v>3360</v>
      </c>
      <c r="F26" s="23">
        <v>2522</v>
      </c>
      <c r="G26" s="23">
        <v>21.53</v>
      </c>
      <c r="H26" s="23">
        <v>15.78</v>
      </c>
      <c r="I26" s="23">
        <v>77.430000000000007</v>
      </c>
      <c r="J26" s="23">
        <v>3040</v>
      </c>
      <c r="K26">
        <f t="shared" si="0"/>
        <v>2.9850746268656577E-2</v>
      </c>
    </row>
    <row r="27" spans="1:11" ht="17">
      <c r="A27" s="23" t="s">
        <v>183</v>
      </c>
      <c r="B27" s="23">
        <v>87.15</v>
      </c>
      <c r="C27" s="23">
        <v>0.69</v>
      </c>
      <c r="D27" s="23">
        <v>16079</v>
      </c>
      <c r="E27" s="23">
        <v>2949</v>
      </c>
      <c r="F27" s="23">
        <v>2215</v>
      </c>
      <c r="G27" s="23">
        <v>18.34</v>
      </c>
      <c r="H27" s="23">
        <v>13.38</v>
      </c>
      <c r="I27" s="23">
        <v>74.8</v>
      </c>
      <c r="J27" s="23">
        <v>3688</v>
      </c>
      <c r="K27">
        <f t="shared" si="0"/>
        <v>0</v>
      </c>
    </row>
    <row r="28" spans="1:11" ht="17">
      <c r="A28" s="23" t="s">
        <v>34</v>
      </c>
      <c r="B28" s="23">
        <v>90.98</v>
      </c>
      <c r="C28" s="23">
        <v>0.69</v>
      </c>
      <c r="D28" s="23">
        <v>16653</v>
      </c>
      <c r="E28" s="23">
        <v>3735</v>
      </c>
      <c r="F28" s="23">
        <v>2853</v>
      </c>
      <c r="G28" s="23">
        <v>22.43</v>
      </c>
      <c r="H28" s="23">
        <v>16.760000000000002</v>
      </c>
      <c r="I28" s="23">
        <v>73.12</v>
      </c>
      <c r="J28" s="23">
        <v>3631</v>
      </c>
      <c r="K28">
        <f t="shared" si="0"/>
        <v>0</v>
      </c>
    </row>
    <row r="29" spans="1:11" ht="17">
      <c r="A29" s="23" t="s">
        <v>173</v>
      </c>
      <c r="B29" s="23">
        <v>91.88</v>
      </c>
      <c r="C29" s="23">
        <v>0.69</v>
      </c>
      <c r="D29" s="23">
        <v>17395</v>
      </c>
      <c r="E29" s="23">
        <v>4003</v>
      </c>
      <c r="F29" s="23">
        <v>2495</v>
      </c>
      <c r="G29" s="23">
        <v>23.01</v>
      </c>
      <c r="H29" s="23">
        <v>13.99</v>
      </c>
      <c r="I29" s="23">
        <v>72.489999999999995</v>
      </c>
      <c r="J29" s="23">
        <v>3684</v>
      </c>
      <c r="K29">
        <f t="shared" si="0"/>
        <v>0</v>
      </c>
    </row>
    <row r="30" spans="1:11" ht="17">
      <c r="A30" s="23" t="s">
        <v>282</v>
      </c>
      <c r="B30" s="23">
        <v>79.28</v>
      </c>
      <c r="C30" s="23">
        <v>0.69</v>
      </c>
      <c r="D30" s="23">
        <v>16281</v>
      </c>
      <c r="E30" s="23">
        <v>3296</v>
      </c>
      <c r="F30" s="23">
        <v>2511</v>
      </c>
      <c r="G30" s="23">
        <v>20.239999999999998</v>
      </c>
      <c r="H30" s="23">
        <v>14.97</v>
      </c>
      <c r="I30" s="23">
        <v>72.83</v>
      </c>
      <c r="J30" s="23">
        <v>3353</v>
      </c>
      <c r="K30">
        <f t="shared" si="0"/>
        <v>4.3478260869565258E-2</v>
      </c>
    </row>
    <row r="31" spans="1:11" ht="17">
      <c r="A31" s="23" t="s">
        <v>110</v>
      </c>
      <c r="B31" s="23">
        <v>78.06</v>
      </c>
      <c r="C31" s="23">
        <v>0.72</v>
      </c>
      <c r="D31" s="23">
        <v>16503</v>
      </c>
      <c r="E31" s="23">
        <v>2677</v>
      </c>
      <c r="F31" s="23">
        <v>1891</v>
      </c>
      <c r="G31" s="23">
        <v>16.22</v>
      </c>
      <c r="H31" s="23">
        <v>11.05</v>
      </c>
      <c r="I31" s="23">
        <v>73.36</v>
      </c>
      <c r="J31" s="23">
        <v>4199</v>
      </c>
      <c r="K31">
        <f t="shared" si="0"/>
        <v>0</v>
      </c>
    </row>
    <row r="32" spans="1:11" ht="17">
      <c r="A32" s="23" t="s">
        <v>52</v>
      </c>
      <c r="B32" s="23">
        <v>83.23</v>
      </c>
      <c r="C32" s="23">
        <v>0.72</v>
      </c>
      <c r="D32" s="23">
        <v>16690</v>
      </c>
      <c r="E32" s="23">
        <v>3554</v>
      </c>
      <c r="F32" s="23">
        <v>3199</v>
      </c>
      <c r="G32" s="23">
        <v>21.29</v>
      </c>
      <c r="H32" s="23">
        <v>18.77</v>
      </c>
      <c r="I32" s="23">
        <v>75.91</v>
      </c>
      <c r="J32" s="23">
        <v>3567</v>
      </c>
      <c r="K32">
        <f t="shared" si="0"/>
        <v>0</v>
      </c>
    </row>
    <row r="33" spans="1:11" ht="17">
      <c r="A33" s="23" t="s">
        <v>107</v>
      </c>
      <c r="B33" s="23">
        <v>91.92</v>
      </c>
      <c r="C33" s="23">
        <v>0.72</v>
      </c>
      <c r="D33" s="23">
        <v>17438</v>
      </c>
      <c r="E33" s="23">
        <v>3896</v>
      </c>
      <c r="F33" s="23">
        <v>3194</v>
      </c>
      <c r="G33" s="23">
        <v>22.34</v>
      </c>
      <c r="H33" s="23">
        <v>17.940000000000001</v>
      </c>
      <c r="I33" s="23">
        <v>73.459999999999994</v>
      </c>
      <c r="J33" s="23">
        <v>4007</v>
      </c>
      <c r="K33">
        <f t="shared" si="0"/>
        <v>0</v>
      </c>
    </row>
    <row r="34" spans="1:11" ht="17">
      <c r="A34" s="23" t="s">
        <v>18</v>
      </c>
      <c r="B34" s="23">
        <v>104.05</v>
      </c>
      <c r="C34" s="23">
        <v>0.72</v>
      </c>
      <c r="D34" s="23">
        <v>16462</v>
      </c>
      <c r="E34" s="23">
        <v>3229</v>
      </c>
      <c r="F34" s="23">
        <v>2745</v>
      </c>
      <c r="G34" s="23">
        <v>19.61</v>
      </c>
      <c r="H34" s="23">
        <v>16.29</v>
      </c>
      <c r="I34" s="23">
        <v>69.13</v>
      </c>
      <c r="J34" s="23">
        <v>3517</v>
      </c>
      <c r="K34">
        <f t="shared" si="0"/>
        <v>4.1666666666666706E-2</v>
      </c>
    </row>
    <row r="35" spans="1:11" ht="17">
      <c r="A35" s="23" t="s">
        <v>222</v>
      </c>
      <c r="B35" s="23">
        <v>109.65</v>
      </c>
      <c r="C35" s="23">
        <v>0.75</v>
      </c>
      <c r="D35" s="23">
        <v>17094</v>
      </c>
      <c r="E35" s="23">
        <v>3153</v>
      </c>
      <c r="F35" s="23">
        <v>-5241</v>
      </c>
      <c r="G35" s="23">
        <v>18.45</v>
      </c>
      <c r="H35" s="23">
        <v>-31.06</v>
      </c>
      <c r="I35" s="23">
        <v>68.14</v>
      </c>
      <c r="J35" s="23">
        <v>4151</v>
      </c>
      <c r="K35">
        <f t="shared" si="0"/>
        <v>0</v>
      </c>
    </row>
    <row r="36" spans="1:11" ht="17">
      <c r="A36" s="23" t="s">
        <v>170</v>
      </c>
      <c r="B36" s="23">
        <v>124.38</v>
      </c>
      <c r="C36" s="23">
        <v>0.75</v>
      </c>
      <c r="D36" s="23">
        <v>17798</v>
      </c>
      <c r="E36" s="23">
        <v>4290</v>
      </c>
      <c r="F36" s="23">
        <v>3593</v>
      </c>
      <c r="G36" s="23">
        <v>24.1</v>
      </c>
      <c r="H36" s="23">
        <v>19.82</v>
      </c>
      <c r="I36" s="23">
        <v>202.62</v>
      </c>
      <c r="J36" s="23">
        <v>4169</v>
      </c>
      <c r="K36">
        <f t="shared" si="0"/>
        <v>0</v>
      </c>
    </row>
    <row r="37" spans="1:11" ht="17">
      <c r="A37" s="23" t="s">
        <v>250</v>
      </c>
      <c r="B37" s="23">
        <v>124.9</v>
      </c>
      <c r="C37" s="23">
        <v>0.75</v>
      </c>
      <c r="D37" s="23">
        <v>18240</v>
      </c>
      <c r="E37" s="23">
        <v>4482</v>
      </c>
      <c r="F37" s="23">
        <v>3717</v>
      </c>
      <c r="G37" s="23">
        <v>24.57</v>
      </c>
      <c r="H37" s="23">
        <v>20.03</v>
      </c>
      <c r="I37" s="23">
        <v>186.38</v>
      </c>
      <c r="J37" s="23">
        <v>4364</v>
      </c>
      <c r="K37">
        <f t="shared" si="0"/>
        <v>0</v>
      </c>
    </row>
    <row r="38" spans="1:11" ht="17">
      <c r="A38" s="23" t="s">
        <v>126</v>
      </c>
      <c r="B38" s="23">
        <v>110</v>
      </c>
      <c r="C38" s="23">
        <v>0.75</v>
      </c>
      <c r="D38" s="23">
        <v>17214</v>
      </c>
      <c r="E38" s="23">
        <v>3453</v>
      </c>
      <c r="F38" s="23">
        <v>2917</v>
      </c>
      <c r="G38" s="23">
        <v>20.059999999999999</v>
      </c>
      <c r="H38" s="23">
        <v>16.57</v>
      </c>
      <c r="I38" s="23">
        <v>167.89</v>
      </c>
      <c r="J38" s="23">
        <v>4064</v>
      </c>
      <c r="K38">
        <f t="shared" si="0"/>
        <v>5.3333333333333378E-2</v>
      </c>
    </row>
    <row r="39" spans="1:11" ht="17">
      <c r="A39" s="23" t="s">
        <v>161</v>
      </c>
      <c r="B39" s="23">
        <v>119.57</v>
      </c>
      <c r="C39" s="23">
        <v>0.79</v>
      </c>
      <c r="D39" s="23">
        <v>17698</v>
      </c>
      <c r="E39" s="23">
        <v>3481</v>
      </c>
      <c r="F39" s="23">
        <v>2800</v>
      </c>
      <c r="G39" s="23">
        <v>19.670000000000002</v>
      </c>
      <c r="H39" s="23">
        <v>15.43</v>
      </c>
      <c r="I39" s="23">
        <v>162.15</v>
      </c>
      <c r="J39" s="23">
        <v>4806</v>
      </c>
      <c r="K39">
        <f t="shared" si="0"/>
        <v>0</v>
      </c>
    </row>
    <row r="40" spans="1:11" ht="17">
      <c r="A40" s="23" t="s">
        <v>28</v>
      </c>
      <c r="B40" s="23">
        <v>138.99</v>
      </c>
      <c r="C40" s="23">
        <v>0.79</v>
      </c>
      <c r="D40" s="23">
        <v>19318</v>
      </c>
      <c r="E40" s="23">
        <v>5281</v>
      </c>
      <c r="F40" s="23">
        <v>4277</v>
      </c>
      <c r="G40" s="23">
        <v>27.34</v>
      </c>
      <c r="H40" s="23">
        <v>21.8</v>
      </c>
      <c r="I40" s="23">
        <v>61.06</v>
      </c>
      <c r="J40" s="23">
        <v>4739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3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4" t="s">
        <v>273</v>
      </c>
      <c r="B1" s="24" t="s">
        <v>262</v>
      </c>
      <c r="C1" s="24" t="s">
        <v>223</v>
      </c>
      <c r="D1" s="24" t="s">
        <v>259</v>
      </c>
      <c r="E1" s="24" t="s">
        <v>258</v>
      </c>
      <c r="F1" s="24" t="s">
        <v>27</v>
      </c>
      <c r="G1" s="24" t="s">
        <v>77</v>
      </c>
      <c r="H1" s="24" t="s">
        <v>278</v>
      </c>
      <c r="I1" s="24" t="s">
        <v>128</v>
      </c>
      <c r="J1" s="24" t="s">
        <v>308</v>
      </c>
    </row>
    <row r="2" spans="1:11" ht="17">
      <c r="A2" s="24" t="s">
        <v>32</v>
      </c>
      <c r="B2" s="24">
        <v>49.164999999999999</v>
      </c>
      <c r="C2" s="24">
        <v>0.19</v>
      </c>
      <c r="D2" s="24">
        <v>4490</v>
      </c>
      <c r="E2" s="24">
        <v>1325</v>
      </c>
      <c r="F2" s="24">
        <v>639</v>
      </c>
      <c r="G2" s="24">
        <v>29.51</v>
      </c>
      <c r="H2" s="24">
        <v>14.23</v>
      </c>
      <c r="I2" s="24">
        <v>24.44</v>
      </c>
      <c r="J2" s="24">
        <v>1294</v>
      </c>
      <c r="K2">
        <f t="shared" ref="K2:K39" si="0">(C3-C2)/C3</f>
        <v>0.20833333333333329</v>
      </c>
    </row>
    <row r="3" spans="1:11" ht="17">
      <c r="A3" s="24" t="s">
        <v>79</v>
      </c>
      <c r="B3" s="24">
        <v>52.2</v>
      </c>
      <c r="C3" s="24">
        <v>0.24</v>
      </c>
      <c r="D3" s="24">
        <v>4858</v>
      </c>
      <c r="E3" s="24">
        <v>1588</v>
      </c>
      <c r="F3" s="24">
        <v>785</v>
      </c>
      <c r="G3" s="24">
        <v>32.69</v>
      </c>
      <c r="H3" s="24">
        <v>16.16</v>
      </c>
      <c r="I3" s="24">
        <v>26.08</v>
      </c>
      <c r="J3" s="24">
        <v>1346</v>
      </c>
      <c r="K3">
        <f t="shared" si="0"/>
        <v>0</v>
      </c>
    </row>
    <row r="4" spans="1:11" ht="17">
      <c r="A4" s="24" t="s">
        <v>181</v>
      </c>
      <c r="B4" s="24">
        <v>40.835000000000001</v>
      </c>
      <c r="C4" s="24">
        <v>0.24</v>
      </c>
      <c r="D4" s="24">
        <v>5101</v>
      </c>
      <c r="E4" s="24">
        <v>1785</v>
      </c>
      <c r="F4" s="24">
        <v>904</v>
      </c>
      <c r="G4" s="24">
        <v>34.99</v>
      </c>
      <c r="H4" s="24">
        <v>17.72</v>
      </c>
      <c r="I4" s="24">
        <v>27.19</v>
      </c>
      <c r="J4" s="24">
        <v>1694</v>
      </c>
      <c r="K4">
        <f t="shared" si="0"/>
        <v>0.2</v>
      </c>
    </row>
    <row r="5" spans="1:11" ht="17">
      <c r="A5" s="24" t="s">
        <v>217</v>
      </c>
      <c r="B5" s="24">
        <v>52.97</v>
      </c>
      <c r="C5" s="24">
        <v>0.3</v>
      </c>
      <c r="D5" s="24">
        <v>5108</v>
      </c>
      <c r="E5" s="24">
        <v>1026</v>
      </c>
      <c r="F5" s="24">
        <v>964</v>
      </c>
      <c r="G5" s="24">
        <v>20.09</v>
      </c>
      <c r="H5" s="24">
        <v>18.87</v>
      </c>
      <c r="I5" s="24">
        <v>27.19</v>
      </c>
      <c r="J5" s="24">
        <v>1539</v>
      </c>
      <c r="K5">
        <f t="shared" si="0"/>
        <v>0</v>
      </c>
    </row>
    <row r="6" spans="1:11" ht="17">
      <c r="A6" s="24" t="s">
        <v>162</v>
      </c>
      <c r="B6" s="24">
        <v>53.74</v>
      </c>
      <c r="C6" s="24">
        <v>0.3</v>
      </c>
      <c r="D6" s="24">
        <v>5112</v>
      </c>
      <c r="E6" s="24">
        <v>1510</v>
      </c>
      <c r="F6" s="24">
        <v>863</v>
      </c>
      <c r="G6" s="24">
        <v>29.54</v>
      </c>
      <c r="H6" s="24">
        <v>16.88</v>
      </c>
      <c r="I6" s="24">
        <v>28.72</v>
      </c>
      <c r="J6" s="24">
        <v>1404</v>
      </c>
      <c r="K6">
        <f t="shared" si="0"/>
        <v>0</v>
      </c>
    </row>
    <row r="7" spans="1:11" ht="17">
      <c r="A7" s="24" t="s">
        <v>64</v>
      </c>
      <c r="B7" s="24">
        <v>59.655000000000001</v>
      </c>
      <c r="C7" s="24">
        <v>0.3</v>
      </c>
      <c r="D7" s="24">
        <v>5221</v>
      </c>
      <c r="E7" s="24">
        <v>1724</v>
      </c>
      <c r="F7" s="24">
        <v>1002</v>
      </c>
      <c r="G7" s="24">
        <v>33.020000000000003</v>
      </c>
      <c r="H7" s="24">
        <v>19.190000000000001</v>
      </c>
      <c r="I7" s="24">
        <v>29.78</v>
      </c>
      <c r="J7" s="24">
        <v>1372</v>
      </c>
      <c r="K7">
        <f t="shared" si="0"/>
        <v>0</v>
      </c>
    </row>
    <row r="8" spans="1:11" ht="17">
      <c r="A8" s="24" t="s">
        <v>226</v>
      </c>
      <c r="B8" s="24">
        <v>59.35</v>
      </c>
      <c r="C8" s="24">
        <v>0.3</v>
      </c>
      <c r="D8" s="24">
        <v>5343</v>
      </c>
      <c r="E8" s="24">
        <v>1786</v>
      </c>
      <c r="F8" s="24">
        <v>1042</v>
      </c>
      <c r="G8" s="24">
        <v>33.43</v>
      </c>
      <c r="H8" s="24">
        <v>19.5</v>
      </c>
      <c r="I8" s="24">
        <v>29.47</v>
      </c>
      <c r="J8" s="24">
        <v>1590</v>
      </c>
      <c r="K8">
        <f t="shared" si="0"/>
        <v>0.14285714285714282</v>
      </c>
    </row>
    <row r="9" spans="1:11" ht="17">
      <c r="A9" s="24" t="s">
        <v>247</v>
      </c>
      <c r="B9" s="24">
        <v>62.86</v>
      </c>
      <c r="C9" s="24">
        <v>0.35</v>
      </c>
      <c r="D9" s="24">
        <v>5250</v>
      </c>
      <c r="E9" s="24">
        <v>1725</v>
      </c>
      <c r="F9" s="24">
        <v>1036</v>
      </c>
      <c r="G9" s="24">
        <v>32.86</v>
      </c>
      <c r="H9" s="24">
        <v>19.73</v>
      </c>
      <c r="I9" s="24">
        <v>30.11</v>
      </c>
      <c r="J9" s="24">
        <v>1795</v>
      </c>
      <c r="K9">
        <f t="shared" si="0"/>
        <v>0</v>
      </c>
    </row>
    <row r="10" spans="1:11" ht="17">
      <c r="A10" s="24" t="s">
        <v>19</v>
      </c>
      <c r="B10" s="24">
        <v>71.204999999999998</v>
      </c>
      <c r="C10" s="24">
        <v>0.35</v>
      </c>
      <c r="D10" s="24">
        <v>5290</v>
      </c>
      <c r="E10" s="24">
        <v>1633</v>
      </c>
      <c r="F10" s="24">
        <v>957</v>
      </c>
      <c r="G10" s="24">
        <v>30.87</v>
      </c>
      <c r="H10" s="24">
        <v>18.09</v>
      </c>
      <c r="I10" s="24">
        <v>30.11</v>
      </c>
      <c r="J10" s="24">
        <v>1524</v>
      </c>
      <c r="K10">
        <f t="shared" si="0"/>
        <v>0</v>
      </c>
    </row>
    <row r="11" spans="1:11" ht="17">
      <c r="A11" s="24" t="s">
        <v>192</v>
      </c>
      <c r="B11" s="24">
        <v>77.14</v>
      </c>
      <c r="C11" s="24">
        <v>0.35</v>
      </c>
      <c r="D11" s="24">
        <v>5470</v>
      </c>
      <c r="E11" s="24">
        <v>1878</v>
      </c>
      <c r="F11" s="24">
        <v>1106</v>
      </c>
      <c r="G11" s="24">
        <v>34.33</v>
      </c>
      <c r="H11" s="24">
        <v>20.22</v>
      </c>
      <c r="I11" s="24">
        <v>30.32</v>
      </c>
      <c r="J11" s="24">
        <v>1694</v>
      </c>
      <c r="K11">
        <f t="shared" si="0"/>
        <v>0.12500000000000011</v>
      </c>
    </row>
    <row r="12" spans="1:11" ht="17">
      <c r="A12" s="24" t="s">
        <v>160</v>
      </c>
      <c r="B12" s="24">
        <v>77.67</v>
      </c>
      <c r="C12" s="24">
        <v>0.4</v>
      </c>
      <c r="D12" s="24">
        <v>5573</v>
      </c>
      <c r="E12" s="24">
        <v>1962</v>
      </c>
      <c r="F12" s="24">
        <v>1151</v>
      </c>
      <c r="G12" s="24">
        <v>35.21</v>
      </c>
      <c r="H12" s="24">
        <v>20.65</v>
      </c>
      <c r="I12" s="24">
        <v>30.41</v>
      </c>
      <c r="J12" s="24">
        <v>1663</v>
      </c>
      <c r="K12">
        <f t="shared" si="0"/>
        <v>0</v>
      </c>
    </row>
    <row r="13" spans="1:11" ht="17">
      <c r="A13" s="24" t="s">
        <v>168</v>
      </c>
      <c r="B13" s="24">
        <v>84</v>
      </c>
      <c r="C13" s="24">
        <v>0.4</v>
      </c>
      <c r="D13" s="24">
        <v>5630</v>
      </c>
      <c r="E13" s="24">
        <v>1973</v>
      </c>
      <c r="F13" s="24">
        <v>1174</v>
      </c>
      <c r="G13" s="24">
        <v>35.04</v>
      </c>
      <c r="H13" s="24">
        <v>20.85</v>
      </c>
      <c r="I13" s="24">
        <v>31.53</v>
      </c>
      <c r="J13" s="24">
        <v>1942</v>
      </c>
      <c r="K13">
        <f t="shared" si="0"/>
        <v>0.13043478260869565</v>
      </c>
    </row>
    <row r="14" spans="1:11" ht="17">
      <c r="A14" s="24" t="s">
        <v>63</v>
      </c>
      <c r="B14" s="24">
        <v>93.83</v>
      </c>
      <c r="C14" s="24">
        <v>0.46</v>
      </c>
      <c r="D14" s="24">
        <v>5638</v>
      </c>
      <c r="E14" s="24">
        <v>1854</v>
      </c>
      <c r="F14" s="24">
        <v>1088</v>
      </c>
      <c r="G14" s="24">
        <v>32.880000000000003</v>
      </c>
      <c r="H14" s="24">
        <v>19.3</v>
      </c>
      <c r="I14" s="24">
        <v>31.42</v>
      </c>
      <c r="J14" s="24">
        <v>1767</v>
      </c>
      <c r="K14">
        <f t="shared" si="0"/>
        <v>0</v>
      </c>
    </row>
    <row r="15" spans="1:11" ht="17">
      <c r="A15" s="24" t="s">
        <v>14</v>
      </c>
      <c r="B15" s="24">
        <v>99.75</v>
      </c>
      <c r="C15" s="24">
        <v>0.46</v>
      </c>
      <c r="D15" s="24">
        <v>6015</v>
      </c>
      <c r="E15" s="24">
        <v>2196</v>
      </c>
      <c r="F15" s="24">
        <v>1291</v>
      </c>
      <c r="G15" s="24">
        <v>36.51</v>
      </c>
      <c r="H15" s="24">
        <v>21.46</v>
      </c>
      <c r="I15" s="24">
        <v>32.549999999999997</v>
      </c>
      <c r="J15" s="24">
        <v>1454</v>
      </c>
      <c r="K15">
        <f t="shared" si="0"/>
        <v>7.999999999999996E-2</v>
      </c>
    </row>
    <row r="16" spans="1:11" ht="17">
      <c r="A16" s="24" t="s">
        <v>288</v>
      </c>
      <c r="B16" s="24">
        <v>108.42</v>
      </c>
      <c r="C16" s="24">
        <v>0.5</v>
      </c>
      <c r="D16" s="24">
        <v>6182</v>
      </c>
      <c r="E16" s="24">
        <v>2330</v>
      </c>
      <c r="F16" s="24">
        <v>1370</v>
      </c>
      <c r="G16" s="24">
        <v>37.69</v>
      </c>
      <c r="H16" s="24">
        <v>22.16</v>
      </c>
      <c r="I16" s="24">
        <v>33.14</v>
      </c>
      <c r="J16" s="24">
        <v>2137</v>
      </c>
      <c r="K16">
        <f t="shared" si="0"/>
        <v>0</v>
      </c>
    </row>
    <row r="17" spans="1:11" ht="17">
      <c r="A17" s="24" t="s">
        <v>133</v>
      </c>
      <c r="B17" s="24">
        <v>119.13</v>
      </c>
      <c r="C17" s="24">
        <v>0.5</v>
      </c>
      <c r="D17" s="24">
        <v>6153</v>
      </c>
      <c r="E17" s="24">
        <v>2373</v>
      </c>
      <c r="F17" s="24">
        <v>1431</v>
      </c>
      <c r="G17" s="24">
        <v>38.57</v>
      </c>
      <c r="H17" s="24">
        <v>23.26</v>
      </c>
      <c r="I17" s="24">
        <v>33.36</v>
      </c>
      <c r="J17" s="24">
        <v>2027</v>
      </c>
      <c r="K17">
        <f t="shared" si="0"/>
        <v>9.0909090909090981E-2</v>
      </c>
    </row>
    <row r="18" spans="1:11" ht="17">
      <c r="A18" s="24" t="s">
        <v>36</v>
      </c>
      <c r="B18" s="24">
        <v>108.31</v>
      </c>
      <c r="C18" s="24">
        <v>0.55000000000000004</v>
      </c>
      <c r="D18" s="24">
        <v>5614</v>
      </c>
      <c r="E18" s="24">
        <v>1977</v>
      </c>
      <c r="F18" s="24">
        <v>1151</v>
      </c>
      <c r="G18" s="24">
        <v>35.22</v>
      </c>
      <c r="H18" s="24">
        <v>20.5</v>
      </c>
      <c r="I18" s="24">
        <v>33.22</v>
      </c>
      <c r="J18" s="24">
        <v>2064</v>
      </c>
      <c r="K18">
        <f t="shared" si="0"/>
        <v>0</v>
      </c>
    </row>
    <row r="19" spans="1:11" ht="17">
      <c r="A19" s="24" t="s">
        <v>190</v>
      </c>
      <c r="B19" s="24">
        <v>95.37</v>
      </c>
      <c r="C19" s="24">
        <v>0.55000000000000004</v>
      </c>
      <c r="D19" s="24">
        <v>5429</v>
      </c>
      <c r="E19" s="24">
        <v>1949</v>
      </c>
      <c r="F19" s="24">
        <v>1204</v>
      </c>
      <c r="G19" s="24">
        <v>35.9</v>
      </c>
      <c r="H19" s="24">
        <v>22.18</v>
      </c>
      <c r="I19" s="24">
        <v>34.22</v>
      </c>
      <c r="J19" s="24">
        <v>1709</v>
      </c>
      <c r="K19">
        <f t="shared" si="0"/>
        <v>0</v>
      </c>
    </row>
    <row r="20" spans="1:11" ht="17">
      <c r="A20" s="24" t="s">
        <v>256</v>
      </c>
      <c r="B20" s="24">
        <v>88.41</v>
      </c>
      <c r="C20" s="24">
        <v>0.55000000000000004</v>
      </c>
      <c r="D20" s="24">
        <v>5562</v>
      </c>
      <c r="E20" s="24">
        <v>2208</v>
      </c>
      <c r="F20" s="24">
        <v>1300</v>
      </c>
      <c r="G20" s="24">
        <v>39.700000000000003</v>
      </c>
      <c r="H20" s="24">
        <v>23.37</v>
      </c>
      <c r="I20" s="24">
        <v>36.14</v>
      </c>
      <c r="J20" s="24">
        <v>1852</v>
      </c>
      <c r="K20">
        <f t="shared" si="0"/>
        <v>0</v>
      </c>
    </row>
    <row r="21" spans="1:11" ht="17">
      <c r="A21" s="24" t="s">
        <v>203</v>
      </c>
      <c r="B21" s="24">
        <v>78.2</v>
      </c>
      <c r="C21" s="24">
        <v>0.55000000000000004</v>
      </c>
      <c r="D21" s="24">
        <v>5208</v>
      </c>
      <c r="E21" s="24">
        <v>1918</v>
      </c>
      <c r="F21" s="24">
        <v>1117</v>
      </c>
      <c r="G21" s="24">
        <v>36.83</v>
      </c>
      <c r="H21" s="24">
        <v>21.45</v>
      </c>
      <c r="I21" s="24">
        <v>37.130000000000003</v>
      </c>
      <c r="J21" s="24">
        <v>1719</v>
      </c>
      <c r="K21">
        <f t="shared" si="0"/>
        <v>0</v>
      </c>
    </row>
    <row r="22" spans="1:11" ht="17">
      <c r="A22" s="24" t="s">
        <v>89</v>
      </c>
      <c r="B22" s="24">
        <v>79.55</v>
      </c>
      <c r="C22" s="24">
        <v>0.55000000000000004</v>
      </c>
      <c r="D22" s="24">
        <v>4829</v>
      </c>
      <c r="E22" s="24">
        <v>1687</v>
      </c>
      <c r="F22" s="24">
        <v>979</v>
      </c>
      <c r="G22" s="24">
        <v>34.93</v>
      </c>
      <c r="H22" s="24">
        <v>20.27</v>
      </c>
      <c r="I22" s="24">
        <v>40.07</v>
      </c>
      <c r="J22" s="24">
        <v>2173</v>
      </c>
      <c r="K22">
        <f t="shared" si="0"/>
        <v>0</v>
      </c>
    </row>
    <row r="23" spans="1:11" ht="17">
      <c r="A23" s="24" t="s">
        <v>127</v>
      </c>
      <c r="B23" s="24">
        <v>87.25</v>
      </c>
      <c r="C23" s="24">
        <v>0.55000000000000004</v>
      </c>
      <c r="D23" s="24">
        <v>4770</v>
      </c>
      <c r="E23" s="24">
        <v>1660</v>
      </c>
      <c r="F23" s="24">
        <v>979</v>
      </c>
      <c r="G23" s="24">
        <v>34.799999999999997</v>
      </c>
      <c r="H23" s="24">
        <v>20.52</v>
      </c>
      <c r="I23" s="24">
        <v>41.12</v>
      </c>
      <c r="J23" s="24">
        <v>1352</v>
      </c>
      <c r="K23">
        <f t="shared" si="0"/>
        <v>0</v>
      </c>
    </row>
    <row r="24" spans="1:11" ht="17">
      <c r="A24" s="24" t="s">
        <v>88</v>
      </c>
      <c r="B24" s="24">
        <v>97.53</v>
      </c>
      <c r="C24" s="24">
        <v>0.55000000000000004</v>
      </c>
      <c r="D24" s="24">
        <v>5174</v>
      </c>
      <c r="E24" s="24">
        <v>1960</v>
      </c>
      <c r="F24" s="24">
        <v>1131</v>
      </c>
      <c r="G24" s="24">
        <v>37.880000000000003</v>
      </c>
      <c r="H24" s="24">
        <v>21.86</v>
      </c>
      <c r="I24" s="24">
        <v>42.88</v>
      </c>
      <c r="J24" s="24">
        <v>1942</v>
      </c>
      <c r="K24">
        <f t="shared" si="0"/>
        <v>9.8360655737704819E-2</v>
      </c>
    </row>
    <row r="25" spans="1:11" ht="17">
      <c r="A25" s="24" t="s">
        <v>24</v>
      </c>
      <c r="B25" s="24">
        <v>103.68</v>
      </c>
      <c r="C25" s="24">
        <v>0.61</v>
      </c>
      <c r="D25" s="24">
        <v>5168</v>
      </c>
      <c r="E25" s="24">
        <v>1965</v>
      </c>
      <c r="F25" s="24">
        <v>1144</v>
      </c>
      <c r="G25" s="24">
        <v>38.020000000000003</v>
      </c>
      <c r="H25" s="24">
        <v>22.14</v>
      </c>
      <c r="I25" s="24">
        <v>44.09</v>
      </c>
      <c r="J25" s="24">
        <v>2058</v>
      </c>
      <c r="K25">
        <f t="shared" si="0"/>
        <v>0</v>
      </c>
    </row>
    <row r="26" spans="1:11" ht="17">
      <c r="A26" s="24" t="s">
        <v>55</v>
      </c>
      <c r="B26" s="24">
        <v>105.92</v>
      </c>
      <c r="C26" s="24">
        <v>0.61</v>
      </c>
      <c r="D26" s="24">
        <v>5132</v>
      </c>
      <c r="E26" s="24">
        <v>1793</v>
      </c>
      <c r="F26" s="24">
        <v>1072</v>
      </c>
      <c r="G26" s="24">
        <v>34.94</v>
      </c>
      <c r="H26" s="24">
        <v>20.89</v>
      </c>
      <c r="I26" s="24">
        <v>44.48</v>
      </c>
      <c r="J26" s="24">
        <v>1883</v>
      </c>
      <c r="K26">
        <f t="shared" si="0"/>
        <v>0</v>
      </c>
    </row>
    <row r="27" spans="1:11" ht="17">
      <c r="A27" s="24" t="s">
        <v>183</v>
      </c>
      <c r="B27" s="24">
        <v>108.91</v>
      </c>
      <c r="C27" s="24">
        <v>0.61</v>
      </c>
      <c r="D27" s="24">
        <v>5250</v>
      </c>
      <c r="E27" s="24">
        <v>2005</v>
      </c>
      <c r="F27" s="24">
        <v>1168</v>
      </c>
      <c r="G27" s="24">
        <v>38.19</v>
      </c>
      <c r="H27" s="24">
        <v>22.25</v>
      </c>
      <c r="I27" s="24">
        <v>44.17</v>
      </c>
      <c r="J27" s="24">
        <v>1576</v>
      </c>
      <c r="K27">
        <f t="shared" si="0"/>
        <v>0</v>
      </c>
    </row>
    <row r="28" spans="1:11" ht="17">
      <c r="A28" s="24" t="s">
        <v>34</v>
      </c>
      <c r="B28" s="24">
        <v>115.97</v>
      </c>
      <c r="C28" s="24">
        <v>0.61</v>
      </c>
      <c r="D28" s="24">
        <v>5408</v>
      </c>
      <c r="E28" s="24">
        <v>2012</v>
      </c>
      <c r="F28" s="24">
        <v>1194</v>
      </c>
      <c r="G28" s="24">
        <v>37.200000000000003</v>
      </c>
      <c r="H28" s="24">
        <v>22.08</v>
      </c>
      <c r="I28" s="24">
        <v>42.92</v>
      </c>
      <c r="J28" s="24">
        <v>1939</v>
      </c>
      <c r="K28">
        <f t="shared" si="0"/>
        <v>8.9552238805970227E-2</v>
      </c>
    </row>
    <row r="29" spans="1:11" ht="17">
      <c r="A29" s="24" t="s">
        <v>173</v>
      </c>
      <c r="B29" s="24">
        <v>134.1</v>
      </c>
      <c r="C29" s="24">
        <v>0.67</v>
      </c>
      <c r="D29" s="24">
        <v>5450</v>
      </c>
      <c r="E29" s="24">
        <v>2251</v>
      </c>
      <c r="F29" s="24">
        <v>7278</v>
      </c>
      <c r="G29" s="24">
        <v>41.3</v>
      </c>
      <c r="H29" s="24">
        <v>133.54</v>
      </c>
      <c r="I29" s="24">
        <v>42.83</v>
      </c>
      <c r="J29" s="24">
        <v>1832</v>
      </c>
      <c r="K29">
        <f t="shared" si="0"/>
        <v>8.2191780821917734E-2</v>
      </c>
    </row>
    <row r="30" spans="1:11" ht="17">
      <c r="A30" s="24" t="s">
        <v>282</v>
      </c>
      <c r="B30" s="24">
        <v>134.43</v>
      </c>
      <c r="C30" s="24">
        <v>0.73</v>
      </c>
      <c r="D30" s="24">
        <v>5475</v>
      </c>
      <c r="E30" s="24">
        <v>1939</v>
      </c>
      <c r="F30" s="24">
        <v>1310</v>
      </c>
      <c r="G30" s="24">
        <v>35.42</v>
      </c>
      <c r="H30" s="24">
        <v>23.93</v>
      </c>
      <c r="I30" s="24">
        <v>18.559999999999999</v>
      </c>
      <c r="J30" s="24">
        <v>1901</v>
      </c>
      <c r="K30">
        <f t="shared" si="0"/>
        <v>0</v>
      </c>
    </row>
    <row r="31" spans="1:11" ht="17">
      <c r="A31" s="24" t="s">
        <v>110</v>
      </c>
      <c r="B31" s="24">
        <v>141.68</v>
      </c>
      <c r="C31" s="24">
        <v>0.73</v>
      </c>
      <c r="D31" s="24">
        <v>5672</v>
      </c>
      <c r="E31" s="24">
        <v>2099</v>
      </c>
      <c r="F31" s="24">
        <v>1509</v>
      </c>
      <c r="G31" s="24">
        <v>37.01</v>
      </c>
      <c r="H31" s="24">
        <v>26.6</v>
      </c>
      <c r="I31" s="24">
        <v>18.989999999999998</v>
      </c>
      <c r="J31" s="24">
        <v>2132</v>
      </c>
      <c r="K31">
        <f t="shared" si="0"/>
        <v>8.7500000000000078E-2</v>
      </c>
    </row>
    <row r="32" spans="1:11" ht="17">
      <c r="A32" s="24" t="s">
        <v>52</v>
      </c>
      <c r="B32" s="24">
        <v>162.83000000000001</v>
      </c>
      <c r="C32" s="24">
        <v>0.8</v>
      </c>
      <c r="D32" s="24">
        <v>5928</v>
      </c>
      <c r="E32" s="24">
        <v>2269</v>
      </c>
      <c r="F32" s="24">
        <v>1593</v>
      </c>
      <c r="G32" s="24">
        <v>38.28</v>
      </c>
      <c r="H32" s="24">
        <v>26.87</v>
      </c>
      <c r="I32" s="24">
        <v>19.16</v>
      </c>
      <c r="J32" s="24">
        <v>2341</v>
      </c>
      <c r="K32">
        <f t="shared" si="0"/>
        <v>0</v>
      </c>
    </row>
    <row r="33" spans="1:11" ht="17">
      <c r="A33" s="24" t="s">
        <v>107</v>
      </c>
      <c r="B33" s="24">
        <v>138.22999999999999</v>
      </c>
      <c r="C33" s="24">
        <v>0.8</v>
      </c>
      <c r="D33" s="24">
        <v>5757</v>
      </c>
      <c r="E33" s="24">
        <v>2210</v>
      </c>
      <c r="F33" s="24">
        <v>1554</v>
      </c>
      <c r="G33" s="24">
        <v>38.39</v>
      </c>
      <c r="H33" s="24">
        <v>26.99</v>
      </c>
      <c r="I33" s="24">
        <v>19.64</v>
      </c>
      <c r="J33" s="24">
        <v>2312</v>
      </c>
      <c r="K33">
        <f t="shared" si="0"/>
        <v>9.090909090909087E-2</v>
      </c>
    </row>
    <row r="34" spans="1:11" ht="17">
      <c r="A34" s="24" t="s">
        <v>18</v>
      </c>
      <c r="B34" s="24">
        <v>167.2</v>
      </c>
      <c r="C34" s="24">
        <v>0.88</v>
      </c>
      <c r="D34" s="24">
        <v>5384</v>
      </c>
      <c r="E34" s="24">
        <v>1960</v>
      </c>
      <c r="F34" s="24">
        <v>1391</v>
      </c>
      <c r="G34" s="24">
        <v>36.4</v>
      </c>
      <c r="H34" s="24">
        <v>25.84</v>
      </c>
      <c r="I34" s="24">
        <v>38.69</v>
      </c>
      <c r="J34" s="24">
        <v>1959</v>
      </c>
      <c r="K34">
        <f t="shared" si="0"/>
        <v>0</v>
      </c>
    </row>
    <row r="35" spans="1:11" ht="17">
      <c r="A35" s="24" t="s">
        <v>222</v>
      </c>
      <c r="B35" s="24">
        <v>169.11</v>
      </c>
      <c r="C35" s="24">
        <v>0.88</v>
      </c>
      <c r="D35" s="24">
        <v>5596</v>
      </c>
      <c r="E35" s="24">
        <v>2260</v>
      </c>
      <c r="F35" s="24">
        <v>1570</v>
      </c>
      <c r="G35" s="24">
        <v>40.39</v>
      </c>
      <c r="H35" s="24">
        <v>28.06</v>
      </c>
      <c r="I35" s="24">
        <v>39.340000000000003</v>
      </c>
      <c r="J35" s="24">
        <v>1941</v>
      </c>
      <c r="K35">
        <f t="shared" si="0"/>
        <v>9.2783505154639151E-2</v>
      </c>
    </row>
    <row r="36" spans="1:11" ht="17">
      <c r="A36" s="24" t="s">
        <v>170</v>
      </c>
      <c r="B36" s="24">
        <v>161.97999999999999</v>
      </c>
      <c r="C36" s="24">
        <v>0.97</v>
      </c>
      <c r="D36" s="24">
        <v>5516</v>
      </c>
      <c r="E36" s="24">
        <v>2234</v>
      </c>
      <c r="F36" s="24">
        <v>1555</v>
      </c>
      <c r="G36" s="24">
        <v>40.5</v>
      </c>
      <c r="H36" s="24">
        <v>28.19</v>
      </c>
      <c r="I36" s="24">
        <v>39.950000000000003</v>
      </c>
      <c r="J36" s="24">
        <v>2364</v>
      </c>
      <c r="K36">
        <f t="shared" si="0"/>
        <v>0</v>
      </c>
    </row>
    <row r="37" spans="1:11" ht="17">
      <c r="A37" s="24" t="s">
        <v>250</v>
      </c>
      <c r="B37" s="24">
        <v>180.79</v>
      </c>
      <c r="C37" s="24">
        <v>0.97</v>
      </c>
      <c r="D37" s="24">
        <v>5212</v>
      </c>
      <c r="E37" s="24">
        <v>2100</v>
      </c>
      <c r="F37" s="24">
        <v>1403</v>
      </c>
      <c r="G37" s="24">
        <v>40.29</v>
      </c>
      <c r="H37" s="24">
        <v>26.92</v>
      </c>
      <c r="I37" s="24">
        <v>41.63</v>
      </c>
      <c r="J37" s="24">
        <v>2345</v>
      </c>
      <c r="K37">
        <f t="shared" si="0"/>
        <v>0</v>
      </c>
    </row>
    <row r="38" spans="1:11" ht="17">
      <c r="A38" s="24" t="s">
        <v>126</v>
      </c>
      <c r="B38" s="24">
        <v>141.04</v>
      </c>
      <c r="C38" s="24">
        <v>0.97</v>
      </c>
      <c r="D38" s="24">
        <v>5229</v>
      </c>
      <c r="E38" s="24">
        <v>2143</v>
      </c>
      <c r="F38" s="24">
        <v>1474</v>
      </c>
      <c r="G38" s="24">
        <v>40.98</v>
      </c>
      <c r="H38" s="24">
        <v>28.19</v>
      </c>
      <c r="I38" s="24">
        <v>44.15</v>
      </c>
      <c r="J38" s="24">
        <v>2155</v>
      </c>
      <c r="K38">
        <f t="shared" si="0"/>
        <v>0</v>
      </c>
    </row>
    <row r="39" spans="1:11" ht="17">
      <c r="A39" s="24" t="s">
        <v>161</v>
      </c>
      <c r="B39" s="24">
        <v>169.07</v>
      </c>
      <c r="C39" s="24">
        <v>0.97</v>
      </c>
      <c r="D39" s="24">
        <v>4244</v>
      </c>
      <c r="E39" s="24">
        <v>1654</v>
      </c>
      <c r="F39" s="24">
        <v>1132</v>
      </c>
      <c r="G39" s="24">
        <v>38.97</v>
      </c>
      <c r="H39" s="24">
        <v>26.67</v>
      </c>
      <c r="I39" s="24">
        <v>44.07</v>
      </c>
      <c r="J39" s="24">
        <v>2237</v>
      </c>
      <c r="K39">
        <f t="shared" si="0"/>
        <v>0</v>
      </c>
    </row>
    <row r="40" spans="1:11" ht="17">
      <c r="A40" s="24" t="s">
        <v>28</v>
      </c>
      <c r="B40" s="24">
        <v>196.87</v>
      </c>
      <c r="C40" s="24">
        <v>0.97</v>
      </c>
      <c r="D40" s="24">
        <v>4919</v>
      </c>
      <c r="E40" s="24">
        <v>2031</v>
      </c>
      <c r="F40" s="24">
        <v>1363</v>
      </c>
      <c r="G40" s="24">
        <v>41.29</v>
      </c>
      <c r="H40" s="24">
        <v>27.71</v>
      </c>
      <c r="I40" s="24">
        <v>48.2</v>
      </c>
      <c r="J40" s="24">
        <v>1601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K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sheetData>
    <row r="1" spans="1:11" ht="17">
      <c r="A1" s="25" t="s">
        <v>273</v>
      </c>
      <c r="B1" s="25" t="s">
        <v>262</v>
      </c>
      <c r="C1" s="25" t="s">
        <v>223</v>
      </c>
      <c r="D1" s="25" t="s">
        <v>259</v>
      </c>
      <c r="E1" s="25" t="s">
        <v>258</v>
      </c>
      <c r="F1" s="25" t="s">
        <v>27</v>
      </c>
      <c r="G1" s="25" t="s">
        <v>77</v>
      </c>
      <c r="H1" s="25" t="s">
        <v>278</v>
      </c>
      <c r="I1" s="25" t="s">
        <v>128</v>
      </c>
      <c r="J1" s="25" t="s">
        <v>308</v>
      </c>
    </row>
    <row r="2" spans="1:11" ht="17">
      <c r="A2" s="25" t="s">
        <v>32</v>
      </c>
      <c r="B2" s="25">
        <v>18.405000000000001</v>
      </c>
      <c r="C2" s="25">
        <v>0.04</v>
      </c>
      <c r="D2" s="25">
        <v>2245</v>
      </c>
      <c r="E2" s="25">
        <v>1383</v>
      </c>
      <c r="F2" s="25">
        <v>881</v>
      </c>
      <c r="G2" s="25">
        <v>61.6</v>
      </c>
      <c r="H2" s="25">
        <v>39.24</v>
      </c>
      <c r="I2" s="25">
        <v>12.28</v>
      </c>
      <c r="J2" s="25">
        <v>603</v>
      </c>
      <c r="K2">
        <f t="shared" ref="K2:K39" si="0">(C3-C2)/C2</f>
        <v>0</v>
      </c>
    </row>
    <row r="3" spans="1:11" ht="17">
      <c r="A3" s="25" t="s">
        <v>79</v>
      </c>
      <c r="B3" s="25">
        <v>21.065000000000001</v>
      </c>
      <c r="C3" s="25">
        <v>0.04</v>
      </c>
      <c r="D3" s="25">
        <v>2322</v>
      </c>
      <c r="E3" s="25">
        <v>1345</v>
      </c>
      <c r="F3" s="25">
        <v>1005</v>
      </c>
      <c r="G3" s="25">
        <v>57.92</v>
      </c>
      <c r="H3" s="25">
        <v>43.28</v>
      </c>
      <c r="I3" s="25">
        <v>11.64</v>
      </c>
      <c r="J3" s="25">
        <v>1395</v>
      </c>
      <c r="K3">
        <f t="shared" si="0"/>
        <v>0</v>
      </c>
    </row>
    <row r="4" spans="1:11" ht="17">
      <c r="A4" s="25" t="s">
        <v>181</v>
      </c>
      <c r="B4" s="25">
        <v>21.43</v>
      </c>
      <c r="C4" s="25">
        <v>0.04</v>
      </c>
      <c r="D4" s="25">
        <v>2383</v>
      </c>
      <c r="E4" s="25">
        <v>1369</v>
      </c>
      <c r="F4" s="25">
        <v>880</v>
      </c>
      <c r="G4" s="25">
        <v>57.45</v>
      </c>
      <c r="H4" s="25">
        <v>36.93</v>
      </c>
      <c r="I4" s="25">
        <v>11.63</v>
      </c>
      <c r="J4" s="25">
        <v>868</v>
      </c>
      <c r="K4">
        <f t="shared" si="0"/>
        <v>0.49999999999999989</v>
      </c>
    </row>
    <row r="5" spans="1:11" ht="17">
      <c r="A5" s="25" t="s">
        <v>217</v>
      </c>
      <c r="B5" s="25">
        <v>25.3825</v>
      </c>
      <c r="C5" s="25">
        <v>0.06</v>
      </c>
      <c r="D5" s="25">
        <v>2547</v>
      </c>
      <c r="E5" s="25">
        <v>1618</v>
      </c>
      <c r="F5" s="25">
        <v>1029</v>
      </c>
      <c r="G5" s="25">
        <v>63.53</v>
      </c>
      <c r="H5" s="25">
        <v>40.4</v>
      </c>
      <c r="I5" s="25">
        <v>11.63</v>
      </c>
      <c r="J5" s="25">
        <v>1286</v>
      </c>
      <c r="K5">
        <f t="shared" si="0"/>
        <v>0</v>
      </c>
    </row>
    <row r="6" spans="1:11" ht="17">
      <c r="A6" s="25" t="s">
        <v>162</v>
      </c>
      <c r="B6" s="25">
        <v>29.5</v>
      </c>
      <c r="C6" s="25">
        <v>0.06</v>
      </c>
      <c r="D6" s="25">
        <v>2578</v>
      </c>
      <c r="E6" s="25">
        <v>1606</v>
      </c>
      <c r="F6" s="25">
        <v>1292</v>
      </c>
      <c r="G6" s="25">
        <v>62.3</v>
      </c>
      <c r="H6" s="25">
        <v>50.12</v>
      </c>
      <c r="I6" s="25">
        <v>12.36</v>
      </c>
      <c r="J6" s="25">
        <v>1097</v>
      </c>
      <c r="K6">
        <f t="shared" si="0"/>
        <v>0</v>
      </c>
    </row>
    <row r="7" spans="1:11" ht="17">
      <c r="A7" s="25" t="s">
        <v>64</v>
      </c>
      <c r="B7" s="25">
        <v>30.907499999999999</v>
      </c>
      <c r="C7" s="25">
        <v>0.06</v>
      </c>
      <c r="D7" s="25">
        <v>2565</v>
      </c>
      <c r="E7" s="25">
        <v>1491</v>
      </c>
      <c r="F7" s="25">
        <v>-1839</v>
      </c>
      <c r="G7" s="25">
        <v>58.13</v>
      </c>
      <c r="H7" s="25">
        <v>-71.7</v>
      </c>
      <c r="I7" s="25">
        <v>12.13</v>
      </c>
      <c r="J7" s="25">
        <v>1257</v>
      </c>
      <c r="K7">
        <f t="shared" si="0"/>
        <v>0</v>
      </c>
    </row>
    <row r="8" spans="1:11" ht="17">
      <c r="A8" s="25" t="s">
        <v>226</v>
      </c>
      <c r="B8" s="25">
        <v>33.57</v>
      </c>
      <c r="C8" s="25">
        <v>0.06</v>
      </c>
      <c r="D8" s="25">
        <v>2731</v>
      </c>
      <c r="E8" s="25">
        <v>1524</v>
      </c>
      <c r="F8" s="25">
        <v>1662</v>
      </c>
      <c r="G8" s="25">
        <v>55.8</v>
      </c>
      <c r="H8" s="25">
        <v>60.6</v>
      </c>
      <c r="I8" s="25">
        <v>40.909999999999997</v>
      </c>
      <c r="J8" s="25">
        <v>1369</v>
      </c>
      <c r="K8">
        <f t="shared" si="0"/>
        <v>0.33333333333333343</v>
      </c>
    </row>
    <row r="9" spans="1:11" ht="17">
      <c r="A9" s="25" t="s">
        <v>247</v>
      </c>
      <c r="B9" s="25">
        <v>37.895000000000003</v>
      </c>
      <c r="C9" s="25">
        <v>0.08</v>
      </c>
      <c r="D9" s="25">
        <v>2846</v>
      </c>
      <c r="E9" s="25">
        <v>1803</v>
      </c>
      <c r="F9" s="25">
        <v>1293</v>
      </c>
      <c r="G9" s="25">
        <v>63.35</v>
      </c>
      <c r="H9" s="25">
        <v>45.26</v>
      </c>
      <c r="I9" s="25">
        <v>27.5</v>
      </c>
      <c r="J9" s="25">
        <v>-2824</v>
      </c>
      <c r="K9">
        <f t="shared" si="0"/>
        <v>0</v>
      </c>
    </row>
    <row r="10" spans="1:11" ht="17">
      <c r="A10" s="25" t="s">
        <v>19</v>
      </c>
      <c r="B10" s="25">
        <v>42.46</v>
      </c>
      <c r="C10" s="25">
        <v>0.08</v>
      </c>
      <c r="D10" s="25">
        <v>2958</v>
      </c>
      <c r="E10" s="25">
        <v>1861</v>
      </c>
      <c r="F10" s="25">
        <v>1270</v>
      </c>
      <c r="G10" s="25">
        <v>62.91</v>
      </c>
      <c r="H10" s="25">
        <v>42.77</v>
      </c>
      <c r="I10" s="25">
        <v>27.5</v>
      </c>
      <c r="J10" s="25">
        <v>1644</v>
      </c>
      <c r="K10">
        <f t="shared" si="0"/>
        <v>0</v>
      </c>
    </row>
    <row r="11" spans="1:11" ht="17">
      <c r="A11" s="25" t="s">
        <v>192</v>
      </c>
      <c r="B11" s="25">
        <v>45.6875</v>
      </c>
      <c r="C11" s="25">
        <v>0.08</v>
      </c>
      <c r="D11" s="25">
        <v>3001</v>
      </c>
      <c r="E11" s="25">
        <v>1827</v>
      </c>
      <c r="F11" s="25">
        <v>1225</v>
      </c>
      <c r="G11" s="25">
        <v>60.88</v>
      </c>
      <c r="H11" s="25">
        <v>40.65</v>
      </c>
      <c r="I11" s="25">
        <v>30.39</v>
      </c>
      <c r="J11" s="25">
        <v>2157</v>
      </c>
      <c r="K11">
        <f t="shared" si="0"/>
        <v>0</v>
      </c>
    </row>
    <row r="12" spans="1:11" ht="17">
      <c r="A12" s="25" t="s">
        <v>160</v>
      </c>
      <c r="B12" s="25">
        <v>47.774999999999999</v>
      </c>
      <c r="C12" s="25">
        <v>0.08</v>
      </c>
      <c r="D12" s="25">
        <v>2973</v>
      </c>
      <c r="E12" s="25">
        <v>1751</v>
      </c>
      <c r="F12" s="25">
        <v>1192</v>
      </c>
      <c r="G12" s="25">
        <v>58.9</v>
      </c>
      <c r="H12" s="25">
        <v>39.93</v>
      </c>
      <c r="I12" s="25">
        <v>14.77</v>
      </c>
      <c r="J12" s="25">
        <v>2045</v>
      </c>
      <c r="K12">
        <f t="shared" si="0"/>
        <v>0.25000000000000006</v>
      </c>
    </row>
    <row r="13" spans="1:11" ht="17">
      <c r="A13" s="25" t="s">
        <v>168</v>
      </c>
      <c r="B13" s="25">
        <v>55.67</v>
      </c>
      <c r="C13" s="25">
        <v>0.1</v>
      </c>
      <c r="D13" s="25">
        <v>3155</v>
      </c>
      <c r="E13" s="25">
        <v>2077</v>
      </c>
      <c r="F13" s="25">
        <v>1407</v>
      </c>
      <c r="G13" s="25">
        <v>65.83</v>
      </c>
      <c r="H13" s="25">
        <v>44.44</v>
      </c>
      <c r="I13" s="25">
        <v>17.39</v>
      </c>
      <c r="J13" s="25">
        <v>1541</v>
      </c>
      <c r="K13">
        <f t="shared" si="0"/>
        <v>0</v>
      </c>
    </row>
    <row r="14" spans="1:11" ht="17">
      <c r="A14" s="25" t="s">
        <v>63</v>
      </c>
      <c r="B14" s="25">
        <v>53.965000000000003</v>
      </c>
      <c r="C14" s="25">
        <v>0.1</v>
      </c>
      <c r="D14" s="25">
        <v>3163</v>
      </c>
      <c r="E14" s="25">
        <v>2048</v>
      </c>
      <c r="F14" s="25">
        <v>1598</v>
      </c>
      <c r="G14" s="25">
        <v>64.75</v>
      </c>
      <c r="H14" s="25">
        <v>50.36</v>
      </c>
      <c r="I14" s="25">
        <v>17.68</v>
      </c>
      <c r="J14" s="25">
        <v>1929</v>
      </c>
      <c r="K14">
        <f t="shared" si="0"/>
        <v>0</v>
      </c>
    </row>
    <row r="15" spans="1:11" ht="17">
      <c r="A15" s="25" t="s">
        <v>14</v>
      </c>
      <c r="B15" s="25">
        <v>52.677500000000002</v>
      </c>
      <c r="C15" s="25">
        <v>0.1</v>
      </c>
      <c r="D15" s="25">
        <v>3155</v>
      </c>
      <c r="E15" s="25">
        <v>2020</v>
      </c>
      <c r="F15" s="25">
        <v>1360</v>
      </c>
      <c r="G15" s="25">
        <v>64.03</v>
      </c>
      <c r="H15" s="25">
        <v>42.98</v>
      </c>
      <c r="I15" s="25">
        <v>17.28</v>
      </c>
      <c r="J15" s="25">
        <v>1942</v>
      </c>
      <c r="K15">
        <f t="shared" si="0"/>
        <v>0</v>
      </c>
    </row>
    <row r="16" spans="1:11" ht="17">
      <c r="A16" s="25" t="s">
        <v>288</v>
      </c>
      <c r="B16" s="25">
        <v>53.342500000000001</v>
      </c>
      <c r="C16" s="25">
        <v>0.1</v>
      </c>
      <c r="D16" s="25">
        <v>3229</v>
      </c>
      <c r="E16" s="25">
        <v>2005</v>
      </c>
      <c r="F16" s="25">
        <v>1073</v>
      </c>
      <c r="G16" s="25">
        <v>62.09</v>
      </c>
      <c r="H16" s="25">
        <v>33.11</v>
      </c>
      <c r="I16" s="25">
        <v>17.510000000000002</v>
      </c>
      <c r="J16" s="25">
        <v>1793</v>
      </c>
      <c r="K16">
        <f t="shared" si="0"/>
        <v>0.1999999999999999</v>
      </c>
    </row>
    <row r="17" spans="1:11" ht="17">
      <c r="A17" s="25" t="s">
        <v>133</v>
      </c>
      <c r="B17" s="25">
        <v>65.55</v>
      </c>
      <c r="C17" s="25">
        <v>0.12</v>
      </c>
      <c r="D17" s="25">
        <v>3382</v>
      </c>
      <c r="E17" s="25">
        <v>2238</v>
      </c>
      <c r="F17" s="25">
        <v>1569</v>
      </c>
      <c r="G17" s="25">
        <v>66.17</v>
      </c>
      <c r="H17" s="25">
        <v>46.27</v>
      </c>
      <c r="I17" s="25">
        <v>18.559999999999999</v>
      </c>
      <c r="J17" s="25">
        <v>1761</v>
      </c>
      <c r="K17">
        <f t="shared" si="0"/>
        <v>0</v>
      </c>
    </row>
    <row r="18" spans="1:11" ht="17">
      <c r="A18" s="25" t="s">
        <v>36</v>
      </c>
      <c r="B18" s="25">
        <v>65.41</v>
      </c>
      <c r="C18" s="25">
        <v>0.12</v>
      </c>
      <c r="D18" s="25">
        <v>3409</v>
      </c>
      <c r="E18" s="25">
        <v>2284</v>
      </c>
      <c r="F18" s="25">
        <v>1550</v>
      </c>
      <c r="G18" s="25">
        <v>67</v>
      </c>
      <c r="H18" s="25">
        <v>45.35</v>
      </c>
      <c r="I18" s="25">
        <v>18.77</v>
      </c>
      <c r="J18" s="25">
        <v>978</v>
      </c>
      <c r="K18">
        <f t="shared" si="0"/>
        <v>0</v>
      </c>
    </row>
    <row r="19" spans="1:11" ht="17">
      <c r="A19" s="25" t="s">
        <v>190</v>
      </c>
      <c r="B19" s="25">
        <v>67.150000000000006</v>
      </c>
      <c r="C19" s="25">
        <v>0.12</v>
      </c>
      <c r="D19" s="25">
        <v>3518</v>
      </c>
      <c r="E19" s="25">
        <v>2262</v>
      </c>
      <c r="F19" s="25">
        <v>1697</v>
      </c>
      <c r="G19" s="25">
        <v>64.3</v>
      </c>
      <c r="H19" s="25">
        <v>48.12</v>
      </c>
      <c r="I19" s="25">
        <v>19.690000000000001</v>
      </c>
      <c r="J19" s="25">
        <v>2111</v>
      </c>
      <c r="K19">
        <f t="shared" si="0"/>
        <v>0</v>
      </c>
    </row>
    <row r="20" spans="1:11" ht="17">
      <c r="A20" s="25" t="s">
        <v>256</v>
      </c>
      <c r="B20" s="25">
        <v>69.66</v>
      </c>
      <c r="C20" s="25">
        <v>0.12</v>
      </c>
      <c r="D20" s="25">
        <v>3571</v>
      </c>
      <c r="E20" s="25">
        <v>2294</v>
      </c>
      <c r="F20" s="25">
        <v>1512</v>
      </c>
      <c r="G20" s="25">
        <v>64.239999999999995</v>
      </c>
      <c r="H20" s="25">
        <v>42.26</v>
      </c>
      <c r="I20" s="25">
        <v>19.23</v>
      </c>
      <c r="J20" s="25">
        <v>1734</v>
      </c>
      <c r="K20">
        <f t="shared" si="0"/>
        <v>0.16666666666666682</v>
      </c>
    </row>
    <row r="21" spans="1:11" ht="17">
      <c r="A21" s="25" t="s">
        <v>203</v>
      </c>
      <c r="B21" s="25">
        <v>77.55</v>
      </c>
      <c r="C21" s="25">
        <v>0.14000000000000001</v>
      </c>
      <c r="D21" s="25">
        <v>3565</v>
      </c>
      <c r="E21" s="25">
        <v>2396</v>
      </c>
      <c r="F21" s="25">
        <v>1941</v>
      </c>
      <c r="G21" s="25">
        <v>67.209999999999994</v>
      </c>
      <c r="H21" s="25">
        <v>54.33</v>
      </c>
      <c r="I21" s="25">
        <v>18.600000000000001</v>
      </c>
      <c r="J21" s="25">
        <v>1979</v>
      </c>
      <c r="K21">
        <f t="shared" si="0"/>
        <v>0</v>
      </c>
    </row>
    <row r="22" spans="1:11" ht="17">
      <c r="A22" s="25" t="s">
        <v>89</v>
      </c>
      <c r="B22" s="25">
        <v>76.48</v>
      </c>
      <c r="C22" s="25">
        <v>0.14000000000000001</v>
      </c>
      <c r="D22" s="25">
        <v>3626</v>
      </c>
      <c r="E22" s="25">
        <v>2435</v>
      </c>
      <c r="F22" s="25">
        <v>1707</v>
      </c>
      <c r="G22" s="25">
        <v>67.150000000000006</v>
      </c>
      <c r="H22" s="25">
        <v>46.97</v>
      </c>
      <c r="I22" s="25">
        <v>18.18</v>
      </c>
      <c r="J22" s="25">
        <v>840</v>
      </c>
      <c r="K22">
        <f t="shared" si="0"/>
        <v>0</v>
      </c>
    </row>
    <row r="23" spans="1:11" ht="17">
      <c r="A23" s="25" t="s">
        <v>127</v>
      </c>
      <c r="B23" s="25">
        <v>74.17</v>
      </c>
      <c r="C23" s="25">
        <v>0.14000000000000001</v>
      </c>
      <c r="D23" s="25">
        <v>3630</v>
      </c>
      <c r="E23" s="25">
        <v>2305</v>
      </c>
      <c r="F23" s="25">
        <v>412</v>
      </c>
      <c r="G23" s="25">
        <v>63.5</v>
      </c>
      <c r="H23" s="25">
        <v>11.32</v>
      </c>
      <c r="I23" s="25">
        <v>18.440000000000001</v>
      </c>
      <c r="J23" s="25">
        <v>303</v>
      </c>
      <c r="K23">
        <f t="shared" si="0"/>
        <v>0</v>
      </c>
    </row>
    <row r="24" spans="1:11" ht="17">
      <c r="A24" s="25" t="s">
        <v>88</v>
      </c>
      <c r="B24" s="25">
        <v>82.7</v>
      </c>
      <c r="C24" s="25">
        <v>0.14000000000000001</v>
      </c>
      <c r="D24" s="25">
        <v>4261</v>
      </c>
      <c r="E24" s="25">
        <v>2626</v>
      </c>
      <c r="F24" s="25">
        <v>1931</v>
      </c>
      <c r="G24" s="25">
        <v>61.63</v>
      </c>
      <c r="H24" s="25">
        <v>44.07</v>
      </c>
      <c r="I24" s="25">
        <v>23.38</v>
      </c>
      <c r="J24" s="25">
        <v>2452</v>
      </c>
      <c r="K24">
        <f t="shared" si="0"/>
        <v>0.21428571428571425</v>
      </c>
    </row>
    <row r="25" spans="1:11" ht="17">
      <c r="A25" s="25" t="s">
        <v>24</v>
      </c>
      <c r="B25" s="25">
        <v>78.02</v>
      </c>
      <c r="C25" s="25">
        <v>0.17</v>
      </c>
      <c r="D25" s="25">
        <v>4461</v>
      </c>
      <c r="E25" s="25">
        <v>3115</v>
      </c>
      <c r="F25" s="25">
        <v>2070</v>
      </c>
      <c r="G25" s="25">
        <v>69.83</v>
      </c>
      <c r="H25" s="25">
        <v>44.79</v>
      </c>
      <c r="I25" s="25">
        <v>22.58</v>
      </c>
      <c r="J25" s="25">
        <v>2508</v>
      </c>
      <c r="K25">
        <f t="shared" si="0"/>
        <v>0</v>
      </c>
    </row>
    <row r="26" spans="1:11" ht="17">
      <c r="A26" s="25" t="s">
        <v>55</v>
      </c>
      <c r="B26" s="25">
        <v>88.87</v>
      </c>
      <c r="C26" s="25">
        <v>0.17</v>
      </c>
      <c r="D26" s="25">
        <v>4477</v>
      </c>
      <c r="E26" s="25">
        <v>2810</v>
      </c>
      <c r="F26" s="25">
        <v>430</v>
      </c>
      <c r="G26" s="25">
        <v>62.77</v>
      </c>
      <c r="H26" s="25">
        <v>9.27</v>
      </c>
      <c r="I26" s="25">
        <v>23.03</v>
      </c>
      <c r="J26" s="25">
        <v>396</v>
      </c>
      <c r="K26">
        <f t="shared" si="0"/>
        <v>0</v>
      </c>
    </row>
    <row r="27" spans="1:11" ht="17">
      <c r="A27" s="25" t="s">
        <v>183</v>
      </c>
      <c r="B27" s="25">
        <v>93.78</v>
      </c>
      <c r="C27" s="25">
        <v>0.17</v>
      </c>
      <c r="D27" s="25">
        <v>4565</v>
      </c>
      <c r="E27" s="25">
        <v>3024</v>
      </c>
      <c r="F27" s="25">
        <v>2059</v>
      </c>
      <c r="G27" s="25">
        <v>66.239999999999995</v>
      </c>
      <c r="H27" s="25">
        <v>43.55</v>
      </c>
      <c r="I27" s="25">
        <v>30.35</v>
      </c>
      <c r="J27" s="25">
        <v>3537</v>
      </c>
      <c r="K27">
        <f t="shared" si="0"/>
        <v>0</v>
      </c>
    </row>
    <row r="28" spans="1:11" ht="17">
      <c r="A28" s="25" t="s">
        <v>34</v>
      </c>
      <c r="B28" s="25">
        <v>105.24</v>
      </c>
      <c r="C28" s="25">
        <v>0.17</v>
      </c>
      <c r="D28" s="25">
        <v>4855</v>
      </c>
      <c r="E28" s="25">
        <v>3214</v>
      </c>
      <c r="F28" s="25">
        <v>2140</v>
      </c>
      <c r="G28" s="25">
        <v>66.2</v>
      </c>
      <c r="H28" s="25">
        <v>42.53</v>
      </c>
      <c r="I28" s="25">
        <v>23.61</v>
      </c>
      <c r="J28" s="25">
        <v>2767</v>
      </c>
      <c r="K28">
        <f t="shared" si="0"/>
        <v>0.1764705882352941</v>
      </c>
    </row>
    <row r="29" spans="1:11" ht="17">
      <c r="A29" s="25" t="s">
        <v>173</v>
      </c>
      <c r="B29" s="25">
        <v>114.02</v>
      </c>
      <c r="C29" s="25">
        <v>0.2</v>
      </c>
      <c r="D29" s="25">
        <v>4862</v>
      </c>
      <c r="E29" s="25">
        <v>3327</v>
      </c>
      <c r="F29" s="25">
        <v>2522</v>
      </c>
      <c r="G29" s="25">
        <v>68.430000000000007</v>
      </c>
      <c r="H29" s="25">
        <v>50.06</v>
      </c>
      <c r="I29" s="25">
        <v>23.57</v>
      </c>
      <c r="J29" s="25">
        <v>2762</v>
      </c>
      <c r="K29">
        <f t="shared" si="0"/>
        <v>4.9999999999999906E-2</v>
      </c>
    </row>
    <row r="30" spans="1:11" ht="17">
      <c r="A30" s="25" t="s">
        <v>282</v>
      </c>
      <c r="B30" s="25">
        <v>119.62</v>
      </c>
      <c r="C30" s="25">
        <v>0.21</v>
      </c>
      <c r="D30" s="25">
        <v>5073</v>
      </c>
      <c r="E30" s="25">
        <v>3336</v>
      </c>
      <c r="F30" s="25">
        <v>2605</v>
      </c>
      <c r="G30" s="25">
        <v>65.760000000000005</v>
      </c>
      <c r="H30" s="25">
        <v>49.56</v>
      </c>
      <c r="I30" s="25">
        <v>22.92</v>
      </c>
      <c r="J30" s="25">
        <v>2820</v>
      </c>
      <c r="K30">
        <f t="shared" si="0"/>
        <v>0</v>
      </c>
    </row>
    <row r="31" spans="1:11" ht="17">
      <c r="A31" s="25" t="s">
        <v>110</v>
      </c>
      <c r="B31" s="25">
        <v>132.44999999999999</v>
      </c>
      <c r="C31" s="25">
        <v>0.21</v>
      </c>
      <c r="D31" s="25">
        <v>5240</v>
      </c>
      <c r="E31" s="25">
        <v>3485</v>
      </c>
      <c r="F31" s="25">
        <v>2329</v>
      </c>
      <c r="G31" s="25">
        <v>66.510000000000005</v>
      </c>
      <c r="H31" s="25">
        <v>42.9</v>
      </c>
      <c r="I31" s="25">
        <v>18.61</v>
      </c>
      <c r="J31" s="25">
        <v>3637</v>
      </c>
      <c r="K31">
        <f t="shared" si="0"/>
        <v>0</v>
      </c>
    </row>
    <row r="32" spans="1:11" ht="17">
      <c r="A32" s="25" t="s">
        <v>52</v>
      </c>
      <c r="B32" s="25">
        <v>150.09</v>
      </c>
      <c r="C32" s="25">
        <v>0.21</v>
      </c>
      <c r="D32" s="25">
        <v>5434</v>
      </c>
      <c r="E32" s="25">
        <v>3413</v>
      </c>
      <c r="F32" s="25">
        <v>2845</v>
      </c>
      <c r="G32" s="25">
        <v>62.81</v>
      </c>
      <c r="H32" s="25">
        <v>50.5</v>
      </c>
      <c r="I32" s="25">
        <v>19.07</v>
      </c>
      <c r="J32" s="25">
        <v>3494</v>
      </c>
      <c r="K32">
        <f t="shared" si="0"/>
        <v>0.19047619047619052</v>
      </c>
    </row>
    <row r="33" spans="1:11" ht="17">
      <c r="A33" s="25" t="s">
        <v>107</v>
      </c>
      <c r="B33" s="25">
        <v>131.94</v>
      </c>
      <c r="C33" s="25">
        <v>0.25</v>
      </c>
      <c r="D33" s="25">
        <v>5506</v>
      </c>
      <c r="E33" s="25">
        <v>3724</v>
      </c>
      <c r="F33" s="25">
        <v>2977</v>
      </c>
      <c r="G33" s="25">
        <v>67.64</v>
      </c>
      <c r="H33" s="25">
        <v>52.16</v>
      </c>
      <c r="I33" s="25">
        <v>18.670000000000002</v>
      </c>
      <c r="J33" s="25">
        <v>3294</v>
      </c>
      <c r="K33">
        <f t="shared" si="0"/>
        <v>0</v>
      </c>
    </row>
    <row r="34" spans="1:11" ht="17">
      <c r="A34" s="25" t="s">
        <v>18</v>
      </c>
      <c r="B34" s="25">
        <v>156.19</v>
      </c>
      <c r="C34" s="25">
        <v>0.25</v>
      </c>
      <c r="D34" s="25">
        <v>5494</v>
      </c>
      <c r="E34" s="25">
        <v>3663</v>
      </c>
      <c r="F34" s="25">
        <v>2977</v>
      </c>
      <c r="G34" s="25">
        <v>66.67</v>
      </c>
      <c r="H34" s="25">
        <v>54.19</v>
      </c>
      <c r="I34" s="25">
        <v>18.920000000000002</v>
      </c>
      <c r="J34" s="25">
        <v>2064</v>
      </c>
      <c r="K34">
        <f t="shared" si="0"/>
        <v>0</v>
      </c>
    </row>
    <row r="35" spans="1:11" ht="17">
      <c r="A35" s="25" t="s">
        <v>222</v>
      </c>
      <c r="B35" s="25">
        <v>173.55</v>
      </c>
      <c r="C35" s="25">
        <v>0.25</v>
      </c>
      <c r="D35" s="25">
        <v>5840</v>
      </c>
      <c r="E35" s="25">
        <v>3909</v>
      </c>
      <c r="F35" s="25">
        <v>3101</v>
      </c>
      <c r="G35" s="25">
        <v>66.930000000000007</v>
      </c>
      <c r="H35" s="25">
        <v>53.1</v>
      </c>
      <c r="I35" s="25">
        <v>19.010000000000002</v>
      </c>
      <c r="J35" s="25">
        <v>3384</v>
      </c>
      <c r="K35">
        <f t="shared" si="0"/>
        <v>0</v>
      </c>
    </row>
    <row r="36" spans="1:11" ht="17">
      <c r="A36" s="25" t="s">
        <v>170</v>
      </c>
      <c r="B36" s="25">
        <v>172.01</v>
      </c>
      <c r="C36" s="25">
        <v>0.25</v>
      </c>
      <c r="D36" s="25">
        <v>6137</v>
      </c>
      <c r="E36" s="25">
        <v>4105</v>
      </c>
      <c r="F36" s="25">
        <v>3025</v>
      </c>
      <c r="G36" s="25">
        <v>66.89</v>
      </c>
      <c r="H36" s="25">
        <v>49.29</v>
      </c>
      <c r="I36" s="25">
        <v>18.46</v>
      </c>
      <c r="J36" s="25">
        <v>4042</v>
      </c>
      <c r="K36">
        <f t="shared" si="0"/>
        <v>0.19999999999999996</v>
      </c>
    </row>
    <row r="37" spans="1:11" ht="17">
      <c r="A37" s="25" t="s">
        <v>250</v>
      </c>
      <c r="B37" s="25">
        <v>187.9</v>
      </c>
      <c r="C37" s="25">
        <v>0.3</v>
      </c>
      <c r="D37" s="25">
        <v>6054</v>
      </c>
      <c r="E37" s="25">
        <v>4016</v>
      </c>
      <c r="F37" s="25">
        <v>3272</v>
      </c>
      <c r="G37" s="25">
        <v>66.34</v>
      </c>
      <c r="H37" s="25">
        <v>54.05</v>
      </c>
      <c r="I37" s="25">
        <v>18.8</v>
      </c>
      <c r="J37" s="25">
        <v>3875</v>
      </c>
      <c r="K37">
        <f t="shared" si="0"/>
        <v>0</v>
      </c>
    </row>
    <row r="38" spans="1:11" ht="17">
      <c r="A38" s="25" t="s">
        <v>126</v>
      </c>
      <c r="B38" s="25">
        <v>161.12</v>
      </c>
      <c r="C38" s="25">
        <v>0.3</v>
      </c>
      <c r="D38" s="25">
        <v>5854</v>
      </c>
      <c r="E38" s="25">
        <v>3932</v>
      </c>
      <c r="F38" s="25">
        <v>3084</v>
      </c>
      <c r="G38" s="25">
        <v>67.17</v>
      </c>
      <c r="H38" s="25">
        <v>52.68</v>
      </c>
      <c r="I38" s="25">
        <v>19.16</v>
      </c>
      <c r="J38" s="25">
        <v>1467</v>
      </c>
      <c r="K38">
        <f t="shared" si="0"/>
        <v>0</v>
      </c>
    </row>
    <row r="39" spans="1:11" ht="17">
      <c r="A39" s="25" t="s">
        <v>161</v>
      </c>
      <c r="B39" s="25">
        <v>193.17</v>
      </c>
      <c r="C39" s="25">
        <v>0.3</v>
      </c>
      <c r="D39" s="25">
        <v>4837</v>
      </c>
      <c r="E39" s="25">
        <v>3000</v>
      </c>
      <c r="F39" s="25">
        <v>2373</v>
      </c>
      <c r="G39" s="25">
        <v>62.02</v>
      </c>
      <c r="H39" s="25">
        <v>49.06</v>
      </c>
      <c r="I39" s="25">
        <v>19.78</v>
      </c>
      <c r="J39" s="25">
        <v>3002</v>
      </c>
      <c r="K39">
        <f t="shared" si="0"/>
        <v>0</v>
      </c>
    </row>
    <row r="40" spans="1:11" ht="17">
      <c r="A40" s="25" t="s">
        <v>28</v>
      </c>
      <c r="B40" s="25">
        <v>199.97</v>
      </c>
      <c r="C40" s="25">
        <v>0.3</v>
      </c>
      <c r="D40" s="25">
        <v>5101</v>
      </c>
      <c r="E40" s="25">
        <v>3144</v>
      </c>
      <c r="F40" s="25">
        <v>2137</v>
      </c>
      <c r="G40" s="25">
        <v>61.63</v>
      </c>
      <c r="H40" s="25">
        <v>41.89</v>
      </c>
      <c r="I40" s="25">
        <v>21.86</v>
      </c>
      <c r="J40" s="25">
        <v>2096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opLeftCell="A51" workbookViewId="0">
      <pane xSplit="1" ySplit="3" topLeftCell="B154" activePane="bottomRight" state="frozen"/>
      <selection activeCell="A51" sqref="A51"/>
      <selection pane="topRight" activeCell="B51" sqref="B51"/>
      <selection pane="bottomLeft" activeCell="A54" sqref="A54"/>
      <selection pane="bottomRight" activeCell="G165" sqref="G165"/>
    </sheetView>
  </sheetViews>
  <sheetFormatPr baseColWidth="10" defaultColWidth="8.83203125" defaultRowHeight="15"/>
  <cols>
    <col min="1" max="1" width="24.6640625" bestFit="1" customWidth="1"/>
    <col min="2" max="5" width="13.83203125" customWidth="1"/>
    <col min="6" max="6" width="22" bestFit="1" customWidth="1"/>
    <col min="7" max="7" width="22" customWidth="1"/>
    <col min="8" max="8" width="1" style="47" customWidth="1"/>
    <col min="9" max="9" width="19.6640625" customWidth="1"/>
    <col min="10" max="10" width="11" bestFit="1" customWidth="1"/>
    <col min="11" max="11" width="10.33203125" bestFit="1" customWidth="1"/>
    <col min="12" max="12" width="12" bestFit="1" customWidth="1"/>
    <col min="13" max="13" width="14.6640625" bestFit="1" customWidth="1"/>
    <col min="14" max="14" width="18.83203125" customWidth="1"/>
    <col min="15" max="15" width="10" bestFit="1" customWidth="1"/>
  </cols>
  <sheetData>
    <row r="1" spans="1:15" ht="17">
      <c r="A1" s="119" t="s">
        <v>474</v>
      </c>
      <c r="I1" s="61" t="s">
        <v>475</v>
      </c>
      <c r="J1" s="61" t="s">
        <v>472</v>
      </c>
      <c r="K1" s="61" t="s">
        <v>321</v>
      </c>
      <c r="L1" s="37">
        <f>M3/J3</f>
        <v>1.0628006339599685</v>
      </c>
    </row>
    <row r="2" spans="1:15">
      <c r="A2" s="36" t="s">
        <v>473</v>
      </c>
      <c r="B2" s="36" t="s">
        <v>334</v>
      </c>
      <c r="C2" s="36" t="s">
        <v>309</v>
      </c>
      <c r="D2" s="36" t="s">
        <v>310</v>
      </c>
      <c r="E2" s="36" t="s">
        <v>320</v>
      </c>
      <c r="F2" s="36" t="s">
        <v>311</v>
      </c>
      <c r="J2" s="61" t="s">
        <v>470</v>
      </c>
      <c r="M2" s="61" t="s">
        <v>471</v>
      </c>
    </row>
    <row r="3" spans="1:15">
      <c r="A3" s="34" t="s">
        <v>312</v>
      </c>
      <c r="B3" s="44">
        <v>2847</v>
      </c>
      <c r="C3" s="126">
        <v>5.76</v>
      </c>
      <c r="D3" s="44">
        <v>2910</v>
      </c>
      <c r="E3" s="35">
        <f>D3-SUM(B3:C3)</f>
        <v>57.239999999999782</v>
      </c>
      <c r="F3" s="37">
        <f>D3/SUM(B3:C3)-1</f>
        <v>2.0064779371555819E-2</v>
      </c>
      <c r="J3" s="28">
        <f>SUM(J5:J34)/SUM(K5:K34)</f>
        <v>1116.7945916418291</v>
      </c>
      <c r="M3" s="28">
        <f>SUM(M5:M33)/SUM(N5:N33)</f>
        <v>1186.93</v>
      </c>
    </row>
    <row r="4" spans="1:15">
      <c r="A4" s="34" t="s">
        <v>313</v>
      </c>
      <c r="B4" s="44">
        <v>3329.9</v>
      </c>
      <c r="C4" s="126">
        <v>6.67</v>
      </c>
      <c r="D4" s="44">
        <v>3336.6</v>
      </c>
      <c r="E4" s="35">
        <f t="shared" ref="E4:E12" si="0">D4-SUM(B4:C4)</f>
        <v>2.9999999999745341E-2</v>
      </c>
      <c r="F4" s="37">
        <f>D4/SUM(B4:C4)-1</f>
        <v>8.9912694771765445E-6</v>
      </c>
      <c r="J4" s="85" t="s">
        <v>477</v>
      </c>
      <c r="K4" s="61" t="s">
        <v>476</v>
      </c>
      <c r="M4" s="85" t="s">
        <v>477</v>
      </c>
      <c r="N4" s="61" t="s">
        <v>476</v>
      </c>
    </row>
    <row r="5" spans="1:15">
      <c r="A5" s="34" t="s">
        <v>314</v>
      </c>
      <c r="B5" s="46">
        <v>490000</v>
      </c>
      <c r="C5" s="127">
        <v>1008</v>
      </c>
      <c r="D5" s="46">
        <v>518000</v>
      </c>
      <c r="E5" s="39">
        <f t="shared" si="0"/>
        <v>26992</v>
      </c>
      <c r="F5" s="37">
        <f>D5/SUM(B5:C5)-1</f>
        <v>5.4972627737226221E-2</v>
      </c>
      <c r="G5" s="36" t="s">
        <v>322</v>
      </c>
      <c r="H5" s="121"/>
      <c r="I5" s="61" t="s">
        <v>478</v>
      </c>
      <c r="J5" s="106">
        <v>1999990</v>
      </c>
      <c r="K5" s="27">
        <v>1736.48</v>
      </c>
      <c r="L5" s="1">
        <f>SUM(J5:J7)/SUM(K5:K7)</f>
        <v>1057.2841337428451</v>
      </c>
      <c r="M5">
        <v>5934650</v>
      </c>
      <c r="N5">
        <v>5000</v>
      </c>
      <c r="O5" s="1">
        <f>SUM(M5)/SUM(N5)</f>
        <v>1186.93</v>
      </c>
    </row>
    <row r="6" spans="1:15">
      <c r="A6" s="36" t="s">
        <v>315</v>
      </c>
      <c r="B6" s="44">
        <v>3226</v>
      </c>
      <c r="C6" s="126">
        <v>6.7</v>
      </c>
      <c r="D6" s="44">
        <v>3460</v>
      </c>
      <c r="E6" s="35">
        <f t="shared" si="0"/>
        <v>227.30000000000018</v>
      </c>
      <c r="F6" s="37">
        <f t="shared" ref="F6:F21" si="1">D6/SUM(B6:C6)-1</f>
        <v>7.0312741671048951E-2</v>
      </c>
      <c r="I6" s="61" t="s">
        <v>479</v>
      </c>
      <c r="J6" s="106">
        <v>4599997</v>
      </c>
      <c r="K6" s="27">
        <v>3993.92</v>
      </c>
      <c r="L6" s="1"/>
    </row>
    <row r="7" spans="1:15">
      <c r="A7" s="36" t="s">
        <v>316</v>
      </c>
      <c r="B7" s="44">
        <v>3009</v>
      </c>
      <c r="C7" s="126">
        <v>6.63</v>
      </c>
      <c r="D7" s="44">
        <v>3611.5</v>
      </c>
      <c r="E7" s="35">
        <f t="shared" si="0"/>
        <v>595.86999999999989</v>
      </c>
      <c r="F7" s="37">
        <f t="shared" si="1"/>
        <v>0.19759386927441369</v>
      </c>
      <c r="J7" s="106">
        <v>-541326</v>
      </c>
      <c r="K7" s="27"/>
      <c r="L7" s="1"/>
    </row>
    <row r="8" spans="1:15">
      <c r="A8" s="36" t="s">
        <v>317</v>
      </c>
      <c r="B8" s="44">
        <v>3491.4</v>
      </c>
      <c r="C8" s="126">
        <v>6.44</v>
      </c>
      <c r="D8" s="44">
        <v>4199.91</v>
      </c>
      <c r="E8" s="35">
        <f t="shared" si="0"/>
        <v>702.06999999999971</v>
      </c>
      <c r="F8" s="37">
        <f t="shared" si="1"/>
        <v>0.20071529858426906</v>
      </c>
      <c r="J8" s="106">
        <v>5999997</v>
      </c>
      <c r="K8" s="27">
        <v>5202.37</v>
      </c>
      <c r="L8" s="1">
        <f>SUM(J8:J9)/SUM(K8:K9)</f>
        <v>1088.0198832455208</v>
      </c>
    </row>
    <row r="9" spans="1:15">
      <c r="A9" s="36" t="s">
        <v>318</v>
      </c>
      <c r="B9" s="44">
        <v>2996.55</v>
      </c>
      <c r="C9" s="126">
        <v>5.45</v>
      </c>
      <c r="D9" s="44">
        <v>3487.5</v>
      </c>
      <c r="E9" s="35">
        <f t="shared" si="0"/>
        <v>485.5</v>
      </c>
      <c r="F9" s="37">
        <f t="shared" si="1"/>
        <v>0.1617255163224518</v>
      </c>
      <c r="J9" s="106">
        <v>-339715</v>
      </c>
      <c r="K9" s="27"/>
      <c r="L9" s="1"/>
    </row>
    <row r="10" spans="1:15">
      <c r="A10" s="36" t="s">
        <v>319</v>
      </c>
      <c r="B10" s="44">
        <v>2460</v>
      </c>
      <c r="C10" s="126">
        <v>4.1900000000000004</v>
      </c>
      <c r="D10" s="44">
        <v>2469</v>
      </c>
      <c r="E10" s="35">
        <f t="shared" si="0"/>
        <v>4.8099999999999454</v>
      </c>
      <c r="F10" s="37">
        <f t="shared" si="1"/>
        <v>1.9519598732240517E-3</v>
      </c>
      <c r="J10" s="106">
        <v>2179993</v>
      </c>
      <c r="K10" s="27">
        <v>1890.19</v>
      </c>
      <c r="L10" s="1">
        <f>SUM(J10:J11)/SUM(K10:K11)</f>
        <v>1095.0195482993772</v>
      </c>
    </row>
    <row r="11" spans="1:15">
      <c r="A11" s="36" t="s">
        <v>347</v>
      </c>
      <c r="B11" s="44">
        <v>3084.6</v>
      </c>
      <c r="C11" s="126">
        <v>5.5</v>
      </c>
      <c r="D11" s="44">
        <v>3430.8</v>
      </c>
      <c r="E11" s="35">
        <f t="shared" ref="E11" si="2">D11-SUM(B11:C11)</f>
        <v>340.70000000000027</v>
      </c>
      <c r="F11" s="37">
        <f t="shared" ref="F11" si="3">D11/SUM(B11:C11)-1</f>
        <v>0.11025533154266864</v>
      </c>
      <c r="J11" s="106">
        <v>-110198</v>
      </c>
      <c r="K11" s="27"/>
      <c r="L11" s="1"/>
    </row>
    <row r="12" spans="1:15">
      <c r="A12" s="36" t="s">
        <v>348</v>
      </c>
      <c r="B12" s="44">
        <v>313.44</v>
      </c>
      <c r="C12" s="126">
        <v>0.55000000000000004</v>
      </c>
      <c r="D12" s="44">
        <v>342.32</v>
      </c>
      <c r="E12" s="35">
        <f t="shared" si="0"/>
        <v>28.329999999999984</v>
      </c>
      <c r="F12" s="37">
        <f t="shared" si="1"/>
        <v>9.0225803369534008E-2</v>
      </c>
      <c r="J12" s="106">
        <v>3309995</v>
      </c>
      <c r="K12" s="27">
        <v>2998.13</v>
      </c>
      <c r="L12" s="1">
        <f>SUM(J12)/SUM(K12)</f>
        <v>1104.0198390329972</v>
      </c>
    </row>
    <row r="13" spans="1:15">
      <c r="A13" s="36" t="s">
        <v>349</v>
      </c>
      <c r="B13" s="44">
        <v>1389.66</v>
      </c>
      <c r="C13" s="126">
        <v>2.37</v>
      </c>
      <c r="D13" s="44">
        <v>1399.5</v>
      </c>
      <c r="E13" s="35">
        <f t="shared" ref="E13:E17" si="4">D13-SUM(B13:C13)</f>
        <v>7.4700000000000273</v>
      </c>
      <c r="F13" s="37">
        <f t="shared" ref="F13:F17" si="5">D13/SUM(B13:C13)-1</f>
        <v>5.3662636581108814E-3</v>
      </c>
      <c r="J13" s="106">
        <v>1599998</v>
      </c>
      <c r="K13" s="27">
        <v>1350.05</v>
      </c>
      <c r="L13" s="1">
        <f>SUM(J13:J14)/SUM(K13:K14)</f>
        <v>1120.529610014444</v>
      </c>
    </row>
    <row r="14" spans="1:15">
      <c r="A14" s="36" t="s">
        <v>350</v>
      </c>
      <c r="B14" s="44">
        <v>2117.6</v>
      </c>
      <c r="C14" s="126">
        <v>3.85</v>
      </c>
      <c r="D14" s="44">
        <v>2484</v>
      </c>
      <c r="E14" s="35">
        <f t="shared" ref="E14" si="6">D14-SUM(B14:C14)</f>
        <v>362.55000000000018</v>
      </c>
      <c r="F14" s="37">
        <f t="shared" ref="F14" si="7">D14/SUM(B14:C14)-1</f>
        <v>0.1708972636640036</v>
      </c>
      <c r="J14" s="106">
        <v>-87227</v>
      </c>
      <c r="K14" s="27"/>
      <c r="L14" s="1"/>
    </row>
    <row r="15" spans="1:15">
      <c r="A15" s="36" t="s">
        <v>312</v>
      </c>
      <c r="B15" s="44">
        <v>4815.41</v>
      </c>
      <c r="C15" s="126">
        <v>7.08</v>
      </c>
      <c r="D15" s="44">
        <v>4186.8</v>
      </c>
      <c r="E15" s="35">
        <f t="shared" si="4"/>
        <v>-635.6899999999996</v>
      </c>
      <c r="F15" s="37">
        <f t="shared" si="5"/>
        <v>-0.13181779537127081</v>
      </c>
      <c r="J15" s="106">
        <v>5149994</v>
      </c>
      <c r="K15" s="27">
        <v>4320.6099999999997</v>
      </c>
      <c r="L15" s="1">
        <f>SUM(J15:J16)/SUM(K15:K16)</f>
        <v>1118.529790932299</v>
      </c>
    </row>
    <row r="16" spans="1:15">
      <c r="A16" s="36" t="s">
        <v>351</v>
      </c>
      <c r="B16" s="44">
        <v>2890.4</v>
      </c>
      <c r="C16" s="126">
        <v>5.25</v>
      </c>
      <c r="D16" s="44">
        <v>3356.8</v>
      </c>
      <c r="E16" s="35">
        <f t="shared" ref="E16" si="8">D16-SUM(B16:C16)</f>
        <v>461.15000000000009</v>
      </c>
      <c r="F16" s="37">
        <f t="shared" ref="F16" si="9">D16/SUM(B16:C16)-1</f>
        <v>0.15925612556766189</v>
      </c>
      <c r="J16" s="106">
        <v>-317263</v>
      </c>
      <c r="K16" s="27"/>
      <c r="L16" s="1"/>
    </row>
    <row r="17" spans="1:15">
      <c r="A17" s="36" t="s">
        <v>312</v>
      </c>
      <c r="B17" s="44">
        <v>2675.23</v>
      </c>
      <c r="C17" s="126">
        <v>4.0199999999999996</v>
      </c>
      <c r="D17" s="44">
        <v>2451</v>
      </c>
      <c r="E17" s="35">
        <f t="shared" si="4"/>
        <v>-228.25</v>
      </c>
      <c r="F17" s="37">
        <f t="shared" si="5"/>
        <v>-8.5191751422972861E-2</v>
      </c>
      <c r="J17" s="106">
        <v>1249991</v>
      </c>
      <c r="K17" s="27">
        <v>1064.72</v>
      </c>
      <c r="L17" s="1">
        <f>SUM(J17:J18)/SUM(K17:K18)</f>
        <v>1107.5296791644751</v>
      </c>
    </row>
    <row r="18" spans="1:15">
      <c r="A18" s="36" t="s">
        <v>352</v>
      </c>
      <c r="B18" s="44">
        <v>6202.63</v>
      </c>
      <c r="C18" s="126">
        <v>8.1300000000000008</v>
      </c>
      <c r="D18" s="44">
        <v>4302</v>
      </c>
      <c r="E18" s="35">
        <f t="shared" ref="E18" si="10">D18-SUM(B18:C18)</f>
        <v>-1908.7600000000002</v>
      </c>
      <c r="F18" s="37">
        <f t="shared" ref="F18" si="11">D18/SUM(B18:C18)-1</f>
        <v>-0.30733114787884253</v>
      </c>
      <c r="J18" s="106">
        <v>-70782</v>
      </c>
      <c r="K18" s="27"/>
      <c r="L18" s="1"/>
    </row>
    <row r="19" spans="1:15" s="33" customFormat="1">
      <c r="A19" s="40" t="s">
        <v>323</v>
      </c>
      <c r="B19" s="41"/>
      <c r="C19" s="41"/>
      <c r="D19" s="43">
        <v>1266.07</v>
      </c>
      <c r="E19" s="41">
        <f>D19</f>
        <v>1266.07</v>
      </c>
      <c r="F19" s="42"/>
      <c r="H19" s="47"/>
      <c r="I19"/>
      <c r="J19" s="106">
        <v>2999998</v>
      </c>
      <c r="K19" s="27">
        <v>2511.11</v>
      </c>
      <c r="L19" s="1">
        <f>SUM(J19:J20)/SUM(K19:K20)</f>
        <v>1129.5399245751878</v>
      </c>
      <c r="M19"/>
      <c r="N19"/>
      <c r="O19"/>
    </row>
    <row r="20" spans="1:15" s="33" customFormat="1">
      <c r="A20" s="40" t="s">
        <v>326</v>
      </c>
      <c r="B20" s="41">
        <f>SUM(B3:B19)-B5</f>
        <v>44848.819999999949</v>
      </c>
      <c r="C20" s="41">
        <f>SUM(C3:C19)-C5</f>
        <v>78.589999999999918</v>
      </c>
      <c r="D20" s="41">
        <f>SUM(D3:D19)-D5</f>
        <v>46693.800000000047</v>
      </c>
      <c r="E20" s="41">
        <f>(SUM(E3:E19)-E5)</f>
        <v>1766.3900000000067</v>
      </c>
      <c r="F20" s="42">
        <f t="shared" si="1"/>
        <v>3.9316533047422553E-2</v>
      </c>
      <c r="H20" s="47"/>
      <c r="I20"/>
      <c r="J20" s="106">
        <v>-163599</v>
      </c>
      <c r="K20" s="27"/>
      <c r="L20" s="1"/>
      <c r="M20"/>
      <c r="N20"/>
      <c r="O20"/>
    </row>
    <row r="21" spans="1:15" s="48" customFormat="1" ht="16" thickBot="1">
      <c r="A21" s="128" t="s">
        <v>327</v>
      </c>
      <c r="B21" s="129">
        <f>B20*J3</f>
        <v>50086919.617517844</v>
      </c>
      <c r="C21" s="129">
        <f>C20*J3</f>
        <v>87768.886957131253</v>
      </c>
      <c r="D21" s="129">
        <f>D20*M3</f>
        <v>55422272.034000061</v>
      </c>
      <c r="E21" s="129">
        <f t="shared" ref="E21" si="12">D21-SUM(B21:C21)</f>
        <v>5247583.5295250863</v>
      </c>
      <c r="F21" s="130">
        <f t="shared" si="1"/>
        <v>0.10458627020787703</v>
      </c>
      <c r="G21" s="128"/>
      <c r="H21" s="122"/>
      <c r="I21"/>
      <c r="J21" s="106">
        <v>2999997</v>
      </c>
      <c r="K21" s="27">
        <v>2666.83</v>
      </c>
      <c r="L21" s="1">
        <f>SUM(J21)/SUM(K21)</f>
        <v>1124.9299730391515</v>
      </c>
      <c r="M21"/>
      <c r="N21"/>
      <c r="O21"/>
    </row>
    <row r="22" spans="1:15" ht="16" thickTop="1">
      <c r="A22" s="34" t="s">
        <v>332</v>
      </c>
      <c r="B22" s="38">
        <f t="shared" ref="B22:B24" si="13">D22-E22</f>
        <v>1537837.4074074074</v>
      </c>
      <c r="C22" s="35"/>
      <c r="D22" s="38">
        <f t="shared" ref="D22:D24" si="14">E22/F22</f>
        <v>1497407.4074074074</v>
      </c>
      <c r="E22" s="46">
        <v>-40430</v>
      </c>
      <c r="F22" s="45">
        <v>-2.7E-2</v>
      </c>
      <c r="J22" s="106">
        <v>5699997</v>
      </c>
      <c r="K22" s="27">
        <v>5024.0600000000004</v>
      </c>
      <c r="L22" s="1">
        <f>SUM(J22)/SUM(K22)</f>
        <v>1134.5399935510322</v>
      </c>
    </row>
    <row r="23" spans="1:15">
      <c r="A23" s="36" t="s">
        <v>331</v>
      </c>
      <c r="B23" s="38">
        <f t="shared" si="13"/>
        <v>8304545.1438848916</v>
      </c>
      <c r="C23" s="35"/>
      <c r="D23" s="38">
        <f t="shared" si="14"/>
        <v>8924820.1438848916</v>
      </c>
      <c r="E23" s="46">
        <v>620275</v>
      </c>
      <c r="F23" s="45">
        <v>6.9500000000000006E-2</v>
      </c>
      <c r="J23" s="106">
        <v>1999997</v>
      </c>
      <c r="K23" s="27">
        <v>1692.06</v>
      </c>
      <c r="L23" s="1">
        <f>SUM(J23:J24)/SUM(K23:K24)</f>
        <v>1117.0295379596469</v>
      </c>
    </row>
    <row r="24" spans="1:15">
      <c r="A24" s="36" t="s">
        <v>330</v>
      </c>
      <c r="B24" s="38">
        <f t="shared" si="13"/>
        <v>2040536.5889872173</v>
      </c>
      <c r="C24" s="35"/>
      <c r="D24" s="38">
        <f t="shared" si="14"/>
        <v>2271553.5889872173</v>
      </c>
      <c r="E24" s="46">
        <v>231017</v>
      </c>
      <c r="F24" s="45">
        <v>0.1017</v>
      </c>
      <c r="J24" s="106">
        <v>-109916</v>
      </c>
      <c r="K24" s="27"/>
      <c r="L24" s="1"/>
    </row>
    <row r="25" spans="1:15">
      <c r="A25" s="36" t="s">
        <v>324</v>
      </c>
      <c r="B25" s="38">
        <f>D25-E25</f>
        <v>4920867.823529412</v>
      </c>
      <c r="C25" s="35"/>
      <c r="D25" s="38">
        <f>E25/F25</f>
        <v>4954558.823529412</v>
      </c>
      <c r="E25" s="46">
        <v>33691</v>
      </c>
      <c r="F25" s="45">
        <v>6.7999999999999996E-3</v>
      </c>
      <c r="J25" s="106">
        <v>5999996</v>
      </c>
      <c r="K25" s="27">
        <v>5035.92</v>
      </c>
      <c r="L25" s="1">
        <f>SUM(J25:J26)/SUM(K25:K26)</f>
        <v>1125.5399212060556</v>
      </c>
    </row>
    <row r="26" spans="1:15">
      <c r="A26" s="36" t="s">
        <v>325</v>
      </c>
      <c r="B26" s="38">
        <f t="shared" ref="B26:B38" si="15">D26-E26</f>
        <v>479025</v>
      </c>
      <c r="C26" s="35"/>
      <c r="D26" s="38">
        <f t="shared" ref="D26:D38" si="16">E26/F26</f>
        <v>510960</v>
      </c>
      <c r="E26" s="46">
        <v>31935</v>
      </c>
      <c r="F26" s="45">
        <v>6.25E-2</v>
      </c>
      <c r="J26" s="106">
        <v>-331867</v>
      </c>
      <c r="K26" s="27"/>
      <c r="L26" s="1"/>
    </row>
    <row r="27" spans="1:15">
      <c r="B27" s="38">
        <f t="shared" si="15"/>
        <v>210855</v>
      </c>
      <c r="C27" s="35"/>
      <c r="D27" s="38">
        <f t="shared" si="16"/>
        <v>224912</v>
      </c>
      <c r="E27" s="46">
        <v>14057</v>
      </c>
      <c r="F27" s="45">
        <v>6.25E-2</v>
      </c>
      <c r="J27" s="106">
        <v>300000</v>
      </c>
      <c r="K27" s="27">
        <v>251</v>
      </c>
      <c r="L27" s="1">
        <f>SUM(J27:J28)/SUM(K27:K28)</f>
        <v>1132.0398406374502</v>
      </c>
    </row>
    <row r="28" spans="1:15">
      <c r="B28" s="38">
        <f t="shared" si="15"/>
        <v>884735.83276450518</v>
      </c>
      <c r="C28" s="35"/>
      <c r="D28" s="38">
        <f t="shared" si="16"/>
        <v>1002192.8327645052</v>
      </c>
      <c r="E28" s="46">
        <v>117457</v>
      </c>
      <c r="F28" s="45">
        <v>0.1172</v>
      </c>
      <c r="J28" s="106">
        <v>-15858</v>
      </c>
      <c r="K28" s="27"/>
      <c r="L28" s="1"/>
    </row>
    <row r="29" spans="1:15">
      <c r="B29" s="38">
        <f t="shared" si="15"/>
        <v>117332.12617220802</v>
      </c>
      <c r="C29" s="35"/>
      <c r="D29" s="38">
        <f t="shared" si="16"/>
        <v>132924.12617220802</v>
      </c>
      <c r="E29" s="46">
        <v>15592</v>
      </c>
      <c r="F29" s="45">
        <v>0.1173</v>
      </c>
      <c r="J29" s="106">
        <v>3599992</v>
      </c>
      <c r="K29" s="27">
        <v>3235.57</v>
      </c>
      <c r="L29" s="1">
        <f>SUM(J29)/SUM(K29)</f>
        <v>1112.6299230120194</v>
      </c>
    </row>
    <row r="30" spans="1:15">
      <c r="B30" s="38">
        <f t="shared" si="15"/>
        <v>660503.09270216955</v>
      </c>
      <c r="C30" s="35"/>
      <c r="D30" s="38">
        <f t="shared" si="16"/>
        <v>695779.09270216955</v>
      </c>
      <c r="E30" s="46">
        <v>35276</v>
      </c>
      <c r="F30" s="45">
        <v>5.0700000000000002E-2</v>
      </c>
      <c r="J30" s="106">
        <v>19299993</v>
      </c>
      <c r="K30" s="27">
        <v>16070.07</v>
      </c>
      <c r="L30" s="1">
        <f>SUM(J30:J31)/SUM(K30:K31)</f>
        <v>1132.5399951587019</v>
      </c>
    </row>
    <row r="31" spans="1:15">
      <c r="A31" s="36" t="s">
        <v>346</v>
      </c>
      <c r="B31" s="38">
        <f>D31-E31</f>
        <v>1103315.2625189682</v>
      </c>
      <c r="C31" s="35"/>
      <c r="D31" s="38">
        <f>E31/F31</f>
        <v>1181153.2625189682</v>
      </c>
      <c r="E31" s="46">
        <v>77838</v>
      </c>
      <c r="F31" s="45">
        <v>6.59E-2</v>
      </c>
      <c r="J31" s="106">
        <v>-1099996</v>
      </c>
      <c r="K31" s="27"/>
      <c r="L31" s="1"/>
    </row>
    <row r="32" spans="1:15">
      <c r="B32" s="38">
        <f t="shared" ref="B32" si="17">D32-E32</f>
        <v>282063.45454545459</v>
      </c>
      <c r="C32" s="35"/>
      <c r="D32" s="38">
        <f t="shared" ref="D32" si="18">E32/F32</f>
        <v>295045.45454545459</v>
      </c>
      <c r="E32" s="46">
        <v>12982</v>
      </c>
      <c r="F32" s="45">
        <v>4.3999999999999997E-2</v>
      </c>
      <c r="J32" s="106">
        <v>9999999</v>
      </c>
      <c r="K32" s="27">
        <v>8333.75</v>
      </c>
      <c r="L32" s="1">
        <f>SUM(J32:J33)/SUM(K32:K33)</f>
        <v>1131.0399280035999</v>
      </c>
    </row>
    <row r="33" spans="1:12">
      <c r="B33" s="38">
        <f>D33-E33</f>
        <v>277103.89162561577</v>
      </c>
      <c r="C33" s="35"/>
      <c r="D33" s="38">
        <f>E33/F33</f>
        <v>295073.89162561577</v>
      </c>
      <c r="E33" s="46">
        <v>17970</v>
      </c>
      <c r="F33" s="45">
        <v>6.0900000000000003E-2</v>
      </c>
      <c r="J33" s="106">
        <v>-574195</v>
      </c>
      <c r="K33" s="27"/>
    </row>
    <row r="34" spans="1:12">
      <c r="B34" s="38">
        <f t="shared" ref="B34" si="19">D34-E34</f>
        <v>276577.92332268367</v>
      </c>
      <c r="C34" s="35"/>
      <c r="D34" s="38">
        <f t="shared" ref="D34" si="20">E34/F34</f>
        <v>295047.92332268367</v>
      </c>
      <c r="E34" s="46">
        <v>18470</v>
      </c>
      <c r="F34" s="45">
        <v>6.2600000000000003E-2</v>
      </c>
      <c r="J34" s="30">
        <v>599992</v>
      </c>
      <c r="K34" s="120">
        <v>521.03</v>
      </c>
      <c r="L34" s="1">
        <f>SUM(J34)/SUM(K34)</f>
        <v>1151.5498147899355</v>
      </c>
    </row>
    <row r="35" spans="1:12">
      <c r="B35" s="38">
        <f>D35-E35</f>
        <v>1105497.5638629284</v>
      </c>
      <c r="C35" s="35"/>
      <c r="D35" s="38">
        <f>E35/F35</f>
        <v>1181339.5638629284</v>
      </c>
      <c r="E35" s="46">
        <v>75842</v>
      </c>
      <c r="F35" s="45">
        <v>6.4199999999999993E-2</v>
      </c>
    </row>
    <row r="36" spans="1:12">
      <c r="A36" s="36" t="s">
        <v>345</v>
      </c>
      <c r="B36" s="38">
        <f t="shared" si="15"/>
        <v>200766.02654867258</v>
      </c>
      <c r="C36" s="35"/>
      <c r="D36" s="38">
        <f t="shared" si="16"/>
        <v>220719.02654867258</v>
      </c>
      <c r="E36" s="46">
        <v>19953</v>
      </c>
      <c r="F36" s="45">
        <v>9.0399999999999994E-2</v>
      </c>
    </row>
    <row r="37" spans="1:12">
      <c r="B37" s="38">
        <f t="shared" ref="B37" si="21">D37-E37</f>
        <v>337171.62200956943</v>
      </c>
      <c r="C37" s="35"/>
      <c r="D37" s="38">
        <f t="shared" ref="D37" si="22">E37/F37</f>
        <v>367930.62200956943</v>
      </c>
      <c r="E37" s="46">
        <v>30759</v>
      </c>
      <c r="F37" s="45">
        <v>8.3599999999999994E-2</v>
      </c>
    </row>
    <row r="38" spans="1:12">
      <c r="B38" s="38">
        <f t="shared" si="15"/>
        <v>276171.18416801293</v>
      </c>
      <c r="C38" s="35"/>
      <c r="D38" s="38">
        <f t="shared" si="16"/>
        <v>294394.18416801293</v>
      </c>
      <c r="E38" s="46">
        <v>18223</v>
      </c>
      <c r="F38" s="45">
        <v>6.1899999999999997E-2</v>
      </c>
    </row>
    <row r="39" spans="1:12">
      <c r="B39" s="38">
        <f t="shared" ref="B39" si="23">D39-E39</f>
        <v>279017.56488549616</v>
      </c>
      <c r="C39" s="35"/>
      <c r="D39" s="38">
        <f t="shared" ref="D39" si="24">E39/F39</f>
        <v>294446.56488549616</v>
      </c>
      <c r="E39" s="46">
        <v>15429</v>
      </c>
      <c r="F39" s="45">
        <v>5.2400000000000002E-2</v>
      </c>
    </row>
    <row r="40" spans="1:12">
      <c r="A40" s="36" t="s">
        <v>333</v>
      </c>
      <c r="B40" s="38">
        <f>SUM(B41:B49)</f>
        <v>23837791</v>
      </c>
      <c r="C40" s="35"/>
      <c r="D40" s="38">
        <f>SUM(D41:D49)</f>
        <v>26783231</v>
      </c>
      <c r="E40" s="38">
        <f>SUM(E41:E49)</f>
        <v>2945440</v>
      </c>
      <c r="F40" s="42">
        <f t="shared" ref="F40" si="25">D40/SUM(B40:C40)-1</f>
        <v>0.12356178473080837</v>
      </c>
      <c r="G40" s="36" t="s">
        <v>344</v>
      </c>
      <c r="H40" s="121"/>
    </row>
    <row r="41" spans="1:12">
      <c r="A41" s="36"/>
      <c r="B41" s="38">
        <f t="shared" ref="B41:B48" si="26">D41-E41</f>
        <v>924000</v>
      </c>
      <c r="C41" s="35"/>
      <c r="D41" s="58">
        <v>1764571</v>
      </c>
      <c r="E41" s="46">
        <v>840571</v>
      </c>
      <c r="F41" s="42">
        <f t="shared" ref="F41:F48" si="27">D41/SUM(B41:C41)-1</f>
        <v>0.90970887445887438</v>
      </c>
      <c r="G41" s="36" t="s">
        <v>335</v>
      </c>
      <c r="H41" s="121"/>
    </row>
    <row r="42" spans="1:12">
      <c r="A42" s="36"/>
      <c r="B42" s="38">
        <f t="shared" si="26"/>
        <v>16708617</v>
      </c>
      <c r="C42" s="35"/>
      <c r="D42" s="58">
        <f>161000+16483500+321000</f>
        <v>16965500</v>
      </c>
      <c r="E42" s="46">
        <v>256883</v>
      </c>
      <c r="F42" s="42">
        <f t="shared" si="27"/>
        <v>1.5374282623151769E-2</v>
      </c>
      <c r="G42" s="36" t="s">
        <v>336</v>
      </c>
      <c r="H42" s="121"/>
    </row>
    <row r="43" spans="1:12">
      <c r="A43" s="36"/>
      <c r="B43" s="38">
        <f t="shared" ref="B43" si="28">D43-E43</f>
        <v>270000</v>
      </c>
      <c r="C43" s="35"/>
      <c r="D43" s="58">
        <v>489899</v>
      </c>
      <c r="E43" s="46">
        <v>219899</v>
      </c>
      <c r="F43" s="42">
        <f t="shared" ref="F43" si="29">D43/SUM(B43:C43)-1</f>
        <v>0.8144407407407408</v>
      </c>
      <c r="G43" s="36" t="s">
        <v>337</v>
      </c>
      <c r="H43" s="121"/>
    </row>
    <row r="44" spans="1:12">
      <c r="A44" s="36"/>
      <c r="B44" s="38">
        <f t="shared" si="26"/>
        <v>1417320</v>
      </c>
      <c r="C44" s="35"/>
      <c r="D44" s="58">
        <v>2953100</v>
      </c>
      <c r="E44" s="46">
        <v>1535780</v>
      </c>
      <c r="F44" s="42">
        <f t="shared" si="27"/>
        <v>1.0835802782716675</v>
      </c>
      <c r="G44" s="36" t="s">
        <v>338</v>
      </c>
      <c r="H44" s="121"/>
    </row>
    <row r="45" spans="1:12">
      <c r="A45" s="36"/>
      <c r="B45" s="38">
        <f t="shared" ref="B45" si="30">D45-E45</f>
        <v>2495852</v>
      </c>
      <c r="C45" s="35"/>
      <c r="D45" s="58">
        <v>2505000</v>
      </c>
      <c r="E45" s="46">
        <v>9148</v>
      </c>
      <c r="F45" s="42">
        <f t="shared" ref="F45" si="31">D45/SUM(B45:C45)-1</f>
        <v>3.665281434956924E-3</v>
      </c>
      <c r="G45" s="36" t="s">
        <v>339</v>
      </c>
      <c r="H45" s="121"/>
    </row>
    <row r="46" spans="1:12">
      <c r="A46" s="36"/>
      <c r="B46" s="38">
        <f t="shared" si="26"/>
        <v>30000</v>
      </c>
      <c r="C46" s="35"/>
      <c r="D46" s="58">
        <v>101157</v>
      </c>
      <c r="E46" s="46">
        <v>71157</v>
      </c>
      <c r="F46" s="42">
        <f t="shared" si="27"/>
        <v>2.3719000000000001</v>
      </c>
      <c r="G46" s="36" t="s">
        <v>340</v>
      </c>
      <c r="H46" s="121"/>
    </row>
    <row r="47" spans="1:12">
      <c r="A47" s="36"/>
      <c r="B47" s="58">
        <f>498000*4</f>
        <v>1992000</v>
      </c>
      <c r="C47" s="35"/>
      <c r="D47" s="58">
        <f>501000*4</f>
        <v>2004000</v>
      </c>
      <c r="E47" s="60">
        <f>D47-B47</f>
        <v>12000</v>
      </c>
      <c r="F47" s="42">
        <f t="shared" ref="F47" si="32">D47/SUM(B47:C47)-1</f>
        <v>6.0240963855422436E-3</v>
      </c>
      <c r="G47" s="36" t="s">
        <v>341</v>
      </c>
      <c r="H47" s="121"/>
    </row>
    <row r="48" spans="1:12">
      <c r="A48" s="36"/>
      <c r="B48" s="38">
        <f t="shared" si="26"/>
        <v>1</v>
      </c>
      <c r="C48" s="35"/>
      <c r="D48" s="59">
        <v>2</v>
      </c>
      <c r="E48" s="60">
        <v>1</v>
      </c>
      <c r="F48" s="42">
        <f t="shared" si="27"/>
        <v>1</v>
      </c>
      <c r="G48" s="36" t="s">
        <v>342</v>
      </c>
      <c r="H48" s="121"/>
    </row>
    <row r="49" spans="1:15">
      <c r="A49" s="36"/>
      <c r="B49" s="38">
        <f t="shared" ref="B49" si="33">D49-E49</f>
        <v>1</v>
      </c>
      <c r="C49" s="35"/>
      <c r="D49" s="59">
        <v>2</v>
      </c>
      <c r="E49" s="60">
        <v>1</v>
      </c>
      <c r="F49" s="42">
        <f t="shared" ref="F49" si="34">D49/SUM(B49:C49)-1</f>
        <v>1</v>
      </c>
      <c r="G49" s="36" t="s">
        <v>343</v>
      </c>
      <c r="H49" s="121"/>
    </row>
    <row r="50" spans="1:15" s="48" customFormat="1">
      <c r="A50" s="48" t="s">
        <v>328</v>
      </c>
      <c r="B50" s="51">
        <f>SUM(B22:B49)-B40</f>
        <v>47131713.508935213</v>
      </c>
      <c r="D50" s="51">
        <f>SUM(D22:D49)-D40</f>
        <v>51423489.508935213</v>
      </c>
      <c r="E50" s="51">
        <f>SUM(E22:E49)-E40</f>
        <v>4291776</v>
      </c>
      <c r="F50" s="50">
        <f>D50/B50-1</f>
        <v>9.1059197310667805E-2</v>
      </c>
      <c r="H50" s="122"/>
    </row>
    <row r="51" spans="1:15" s="52" customFormat="1">
      <c r="A51" s="52" t="s">
        <v>329</v>
      </c>
      <c r="B51" s="53">
        <f>SUM(B21,B50)</f>
        <v>97218633.126453057</v>
      </c>
      <c r="C51" s="53">
        <f>SUM(C21,C50)</f>
        <v>87768.886957131253</v>
      </c>
      <c r="D51" s="53">
        <f>SUM(D21,D50)</f>
        <v>106845761.54293528</v>
      </c>
      <c r="E51" s="53">
        <f>SUM(E21,E50)</f>
        <v>9539359.5295250863</v>
      </c>
      <c r="F51" s="54">
        <f t="shared" ref="F51" si="35">D51/SUM(B51:C51)-1</f>
        <v>9.803424370999192E-2</v>
      </c>
      <c r="H51" s="122"/>
    </row>
    <row r="52" spans="1:15" ht="17">
      <c r="A52" s="125"/>
      <c r="I52" s="61" t="s">
        <v>475</v>
      </c>
      <c r="J52" s="61" t="s">
        <v>480</v>
      </c>
      <c r="K52" s="61" t="s">
        <v>321</v>
      </c>
      <c r="L52" s="37">
        <f>M54/J54</f>
        <v>1.0280028052363603</v>
      </c>
    </row>
    <row r="53" spans="1:15">
      <c r="A53" s="36" t="s">
        <v>473</v>
      </c>
      <c r="B53" s="36" t="s">
        <v>334</v>
      </c>
      <c r="C53" s="36" t="s">
        <v>309</v>
      </c>
      <c r="D53" s="36" t="s">
        <v>310</v>
      </c>
      <c r="E53" s="36" t="s">
        <v>320</v>
      </c>
      <c r="F53" s="36" t="s">
        <v>311</v>
      </c>
      <c r="J53" s="61" t="s">
        <v>470</v>
      </c>
      <c r="M53" s="61" t="s">
        <v>471</v>
      </c>
    </row>
    <row r="54" spans="1:15">
      <c r="A54" s="61" t="s">
        <v>485</v>
      </c>
      <c r="B54" s="44">
        <v>10533.3</v>
      </c>
      <c r="C54" s="44">
        <v>19.440000000000001</v>
      </c>
      <c r="D54" s="44">
        <v>12667.2</v>
      </c>
      <c r="E54" s="35">
        <f t="shared" ref="E54:E60" si="36">D54-SUM(B54:C54)</f>
        <v>2114.4600000000009</v>
      </c>
      <c r="F54" s="37">
        <f t="shared" ref="F54:F60" si="37">D54/SUM(B54:C54)-1</f>
        <v>0.20037070940817281</v>
      </c>
      <c r="J54" s="28">
        <f>SUM(J56:J91)/SUM(K56:K91)</f>
        <v>1160.466136334104</v>
      </c>
      <c r="M54" s="28">
        <f>SUM(M56:M91)/SUM(N56:N91)</f>
        <v>1192.9624435332596</v>
      </c>
    </row>
    <row r="55" spans="1:15">
      <c r="A55" s="61" t="s">
        <v>486</v>
      </c>
      <c r="B55" s="44">
        <v>1836.3</v>
      </c>
      <c r="C55" s="44">
        <v>3.28</v>
      </c>
      <c r="D55" s="44">
        <v>2061</v>
      </c>
      <c r="E55" s="35">
        <f t="shared" si="36"/>
        <v>221.42000000000007</v>
      </c>
      <c r="F55" s="37">
        <f t="shared" si="37"/>
        <v>0.12036443101142646</v>
      </c>
      <c r="J55" s="85" t="s">
        <v>477</v>
      </c>
      <c r="K55" s="61" t="s">
        <v>476</v>
      </c>
      <c r="M55" s="85" t="s">
        <v>477</v>
      </c>
      <c r="N55" s="61" t="s">
        <v>476</v>
      </c>
    </row>
    <row r="56" spans="1:15">
      <c r="A56" s="61" t="s">
        <v>487</v>
      </c>
      <c r="B56" s="44">
        <v>3355.89</v>
      </c>
      <c r="C56" s="44">
        <v>5.93</v>
      </c>
      <c r="D56" s="44">
        <v>3940.11</v>
      </c>
      <c r="E56" s="35">
        <f t="shared" si="36"/>
        <v>578.29000000000042</v>
      </c>
      <c r="F56" s="37">
        <f t="shared" si="37"/>
        <v>0.17201694320338401</v>
      </c>
      <c r="G56" s="36"/>
      <c r="I56" s="61" t="s">
        <v>478</v>
      </c>
      <c r="J56" s="56">
        <f>SUM(J5:J34)</f>
        <v>75827974</v>
      </c>
      <c r="K56" s="56">
        <f>SUM(K5:K34)</f>
        <v>67897.87</v>
      </c>
      <c r="L56" s="61" t="s">
        <v>503</v>
      </c>
      <c r="M56" s="56">
        <v>13510200</v>
      </c>
      <c r="N56" s="111">
        <v>12000</v>
      </c>
      <c r="O56" s="111">
        <f>SUM(M56:M57)/SUM(N56:N57)</f>
        <v>1200.42</v>
      </c>
    </row>
    <row r="57" spans="1:15">
      <c r="A57" s="36" t="s">
        <v>378</v>
      </c>
      <c r="B57" s="44">
        <v>280.72000000000003</v>
      </c>
      <c r="C57" s="44">
        <v>0.54</v>
      </c>
      <c r="D57" s="44">
        <v>359.6</v>
      </c>
      <c r="E57" s="35">
        <f t="shared" si="36"/>
        <v>78.339999999999975</v>
      </c>
      <c r="F57" s="37">
        <f t="shared" si="37"/>
        <v>0.27853231885088525</v>
      </c>
      <c r="H57" s="123"/>
      <c r="I57" s="61" t="s">
        <v>479</v>
      </c>
      <c r="J57" s="56"/>
      <c r="L57" s="61" t="s">
        <v>479</v>
      </c>
      <c r="M57" s="56">
        <v>894840</v>
      </c>
      <c r="N57" s="111"/>
      <c r="O57" s="111"/>
    </row>
    <row r="58" spans="1:15">
      <c r="A58" s="36" t="s">
        <v>312</v>
      </c>
      <c r="B58" s="145">
        <f>26.75*100</f>
        <v>2675</v>
      </c>
      <c r="C58" s="44">
        <v>1.9</v>
      </c>
      <c r="D58" s="44">
        <f>27.26*100</f>
        <v>2726</v>
      </c>
      <c r="E58" s="35">
        <f t="shared" si="36"/>
        <v>49.099999999999909</v>
      </c>
      <c r="F58" s="37">
        <f t="shared" si="37"/>
        <v>1.8342112144644984E-2</v>
      </c>
      <c r="M58" s="56">
        <v>3595560</v>
      </c>
      <c r="N58" s="111">
        <v>3000</v>
      </c>
      <c r="O58" s="111">
        <f>SUM(M58)/SUM(N58)</f>
        <v>1198.52</v>
      </c>
    </row>
    <row r="59" spans="1:15">
      <c r="A59" s="36" t="s">
        <v>312</v>
      </c>
      <c r="B59" s="44">
        <f>26.75*50</f>
        <v>1337.5</v>
      </c>
      <c r="C59" s="44">
        <v>0.96</v>
      </c>
      <c r="D59" s="44">
        <f>27.43*50</f>
        <v>1371.5</v>
      </c>
      <c r="E59" s="35">
        <f t="shared" si="36"/>
        <v>33.039999999999964</v>
      </c>
      <c r="F59" s="37">
        <f t="shared" si="37"/>
        <v>2.4685085844926125E-2</v>
      </c>
      <c r="M59" s="56">
        <v>6510616</v>
      </c>
      <c r="N59" s="111">
        <v>5800</v>
      </c>
      <c r="O59" s="111">
        <f>SUM(M59:M60)/SUM(N59:N60)</f>
        <v>1193.83</v>
      </c>
    </row>
    <row r="60" spans="1:15">
      <c r="A60" s="36" t="s">
        <v>515</v>
      </c>
      <c r="B60" s="44">
        <f>26.08*110</f>
        <v>2868.7999999999997</v>
      </c>
      <c r="C60" s="44">
        <v>2.16</v>
      </c>
      <c r="D60" s="44">
        <f>28.16*110</f>
        <v>3097.6</v>
      </c>
      <c r="E60" s="35">
        <f t="shared" si="36"/>
        <v>226.64000000000033</v>
      </c>
      <c r="F60" s="37">
        <f t="shared" si="37"/>
        <v>7.8942235349848344E-2</v>
      </c>
      <c r="M60" s="56">
        <v>413598</v>
      </c>
      <c r="N60" s="111"/>
      <c r="O60" s="111"/>
    </row>
    <row r="61" spans="1:15">
      <c r="A61" s="36" t="s">
        <v>378</v>
      </c>
      <c r="B61" s="44">
        <f>140.36*3</f>
        <v>421.08000000000004</v>
      </c>
      <c r="C61" s="44">
        <v>0.72</v>
      </c>
      <c r="D61" s="44">
        <f>174.06*3</f>
        <v>522.18000000000006</v>
      </c>
      <c r="E61" s="35">
        <f t="shared" ref="E61:E63" si="38">D61-SUM(B61:C61)</f>
        <v>100.38</v>
      </c>
      <c r="F61" s="37">
        <f t="shared" ref="F61:F63" si="39">D61/SUM(B61:C61)-1</f>
        <v>0.23798008534850634</v>
      </c>
      <c r="M61" s="56">
        <v>5970650</v>
      </c>
      <c r="N61" s="111">
        <v>5000</v>
      </c>
      <c r="O61" s="111">
        <f>SUM(M61)/SUM(N61)</f>
        <v>1194.1300000000001</v>
      </c>
    </row>
    <row r="62" spans="1:15">
      <c r="A62" s="36" t="s">
        <v>487</v>
      </c>
      <c r="B62" s="44">
        <f>372.88*15</f>
        <v>5593.2</v>
      </c>
      <c r="C62" s="44">
        <f>4.31*2</f>
        <v>8.6199999999999992</v>
      </c>
      <c r="D62" s="44">
        <f>411.39*15</f>
        <v>6170.8499999999995</v>
      </c>
      <c r="E62" s="35">
        <f t="shared" si="38"/>
        <v>569.02999999999975</v>
      </c>
      <c r="F62" s="37">
        <f t="shared" si="39"/>
        <v>0.10157948666683314</v>
      </c>
      <c r="M62" s="56">
        <v>8400840</v>
      </c>
      <c r="N62" s="111">
        <v>7000</v>
      </c>
      <c r="O62" s="111">
        <f>SUM(M62)/SUM(N62)</f>
        <v>1200.1199999999999</v>
      </c>
    </row>
    <row r="63" spans="1:15">
      <c r="A63" s="36" t="s">
        <v>349</v>
      </c>
      <c r="B63" s="44">
        <f>231.61*10</f>
        <v>2316.1000000000004</v>
      </c>
      <c r="C63" s="44">
        <f>1.44*2</f>
        <v>2.88</v>
      </c>
      <c r="D63" s="44">
        <f>205.72*10</f>
        <v>2057.1999999999998</v>
      </c>
      <c r="E63" s="35">
        <f t="shared" si="38"/>
        <v>-261.78000000000065</v>
      </c>
      <c r="F63" s="37">
        <f t="shared" si="39"/>
        <v>-0.11288583773900618</v>
      </c>
      <c r="M63" s="56">
        <v>7888230</v>
      </c>
      <c r="N63" s="111">
        <v>7000</v>
      </c>
      <c r="O63" s="111">
        <f>SUM(M63:M64)/SUM(N63:N64)</f>
        <v>1197.23</v>
      </c>
    </row>
    <row r="64" spans="1:15">
      <c r="A64" s="36" t="s">
        <v>317</v>
      </c>
      <c r="B64" s="44">
        <f>131.97*11</f>
        <v>1451.67</v>
      </c>
      <c r="C64" s="44">
        <f>0.83*2</f>
        <v>1.66</v>
      </c>
      <c r="D64" s="44">
        <f>108.05*11</f>
        <v>1188.55</v>
      </c>
      <c r="E64" s="35">
        <f t="shared" ref="E64" si="40">D64-SUM(B64:C64)</f>
        <v>-264.7800000000002</v>
      </c>
      <c r="F64" s="37">
        <f t="shared" ref="F64" si="41">D64/SUM(B64:C64)-1</f>
        <v>-0.18218849125800762</v>
      </c>
      <c r="M64" s="56">
        <v>492380</v>
      </c>
      <c r="N64" s="111"/>
      <c r="O64" s="111"/>
    </row>
    <row r="65" spans="1:15">
      <c r="A65" s="36" t="s">
        <v>317</v>
      </c>
      <c r="B65" s="44">
        <f>131.97*2</f>
        <v>263.94</v>
      </c>
      <c r="C65" s="44">
        <f>0.2*2</f>
        <v>0.4</v>
      </c>
      <c r="D65" s="44">
        <f>108.4*2</f>
        <v>216.8</v>
      </c>
      <c r="E65" s="35">
        <f t="shared" ref="E65" si="42">D65-SUM(B65:C65)</f>
        <v>-47.539999999999964</v>
      </c>
      <c r="F65" s="37">
        <f t="shared" ref="F65" si="43">D65/SUM(B65:C65)-1</f>
        <v>-0.17984414012256933</v>
      </c>
      <c r="M65" s="56">
        <v>3753852</v>
      </c>
      <c r="N65" s="111">
        <v>3100</v>
      </c>
      <c r="O65" s="111">
        <f>SUM(M65:M66)/SUM(N65:N66)</f>
        <v>1218.2591111111112</v>
      </c>
    </row>
    <row r="66" spans="1:15">
      <c r="A66" s="36" t="s">
        <v>349</v>
      </c>
      <c r="B66" s="44">
        <f>231.61*13</f>
        <v>3010.9300000000003</v>
      </c>
      <c r="C66" s="44">
        <f>1.94*2</f>
        <v>3.88</v>
      </c>
      <c r="D66" s="44">
        <f>213.3*13</f>
        <v>2772.9</v>
      </c>
      <c r="E66" s="35">
        <f t="shared" ref="E66" si="44">D66-SUM(B66:C66)</f>
        <v>-241.91000000000031</v>
      </c>
      <c r="F66" s="37">
        <f t="shared" ref="F66:F67" si="45">D66/SUM(B66:C66)-1</f>
        <v>-8.0240545838709654E-2</v>
      </c>
      <c r="M66" s="56">
        <v>1728314</v>
      </c>
      <c r="N66" s="111">
        <v>1400</v>
      </c>
      <c r="O66" s="111">
        <f>SUM(M66:M67)/SUM(N66:N67)</f>
        <v>1234.51</v>
      </c>
    </row>
    <row r="67" spans="1:15">
      <c r="A67" s="36" t="s">
        <v>317</v>
      </c>
      <c r="B67" s="44">
        <f>131.97*13</f>
        <v>1715.61</v>
      </c>
      <c r="C67" s="44">
        <f>1.01*2</f>
        <v>2.02</v>
      </c>
      <c r="D67" s="44">
        <f>110.99*13</f>
        <v>1442.87</v>
      </c>
      <c r="E67" s="35">
        <f t="shared" ref="E67" si="46">D67-SUM(B67:C67)</f>
        <v>-274.76</v>
      </c>
      <c r="F67" s="37">
        <f t="shared" si="45"/>
        <v>-0.15996460238817445</v>
      </c>
      <c r="J67" s="56">
        <v>19999989</v>
      </c>
      <c r="K67" s="56">
        <v>15478.55</v>
      </c>
      <c r="M67" s="56"/>
      <c r="N67" s="111"/>
      <c r="O67" s="111"/>
    </row>
    <row r="68" spans="1:15">
      <c r="A68" s="36" t="s">
        <v>379</v>
      </c>
      <c r="B68" s="44">
        <f>39.18*46</f>
        <v>1802.28</v>
      </c>
      <c r="C68" s="44">
        <f>1.1*2</f>
        <v>2.2000000000000002</v>
      </c>
      <c r="D68" s="44">
        <f>34.45*46</f>
        <v>1584.7</v>
      </c>
      <c r="E68" s="35">
        <f t="shared" ref="E68" si="47">D68-SUM(B68:C68)</f>
        <v>-219.77999999999997</v>
      </c>
      <c r="F68" s="37">
        <f t="shared" ref="F68" si="48">D68/SUM(B68:C68)-1</f>
        <v>-0.12179686114559318</v>
      </c>
      <c r="J68">
        <v>9999992</v>
      </c>
      <c r="K68" s="56">
        <v>7817.93</v>
      </c>
      <c r="M68" s="56"/>
      <c r="N68" s="111"/>
      <c r="O68" s="111"/>
    </row>
    <row r="69" spans="1:15">
      <c r="A69" s="36" t="s">
        <v>532</v>
      </c>
      <c r="B69" s="44">
        <f>57.26*50</f>
        <v>2863</v>
      </c>
      <c r="C69" s="44">
        <f>1.85*2</f>
        <v>3.7</v>
      </c>
      <c r="D69" s="44">
        <f>53.034*50</f>
        <v>2651.7</v>
      </c>
      <c r="E69" s="35">
        <f t="shared" ref="E69:E70" si="49">D69-SUM(B69:C69)</f>
        <v>-215</v>
      </c>
      <c r="F69" s="37">
        <f t="shared" ref="F69:F70" si="50">D69/SUM(B69:C69)-1</f>
        <v>-7.499912791711727E-2</v>
      </c>
      <c r="M69" s="56"/>
      <c r="N69" s="111"/>
      <c r="O69" s="111"/>
    </row>
    <row r="70" spans="1:15">
      <c r="A70" s="36" t="s">
        <v>379</v>
      </c>
      <c r="B70" s="44">
        <f>39.18*46</f>
        <v>1802.28</v>
      </c>
      <c r="C70" s="44">
        <f>1.1*2</f>
        <v>2.2000000000000002</v>
      </c>
      <c r="D70" s="44">
        <f>34.25*46</f>
        <v>1575.5</v>
      </c>
      <c r="E70" s="35">
        <f t="shared" si="49"/>
        <v>-228.98000000000002</v>
      </c>
      <c r="F70" s="37">
        <f t="shared" si="50"/>
        <v>-0.12689528285156948</v>
      </c>
      <c r="M70" s="56"/>
      <c r="N70" s="111"/>
      <c r="O70" s="111"/>
    </row>
    <row r="71" spans="1:15">
      <c r="A71" s="36" t="s">
        <v>485</v>
      </c>
      <c r="B71" s="44">
        <f>47.29*50</f>
        <v>2364.5</v>
      </c>
      <c r="C71" s="44">
        <f>1.68*2</f>
        <v>3.36</v>
      </c>
      <c r="D71" s="44">
        <f>48.16*50</f>
        <v>2408</v>
      </c>
      <c r="E71" s="35">
        <f t="shared" ref="E71:E74" si="51">D71-SUM(B71:C71)</f>
        <v>40.139999999999873</v>
      </c>
      <c r="F71" s="37">
        <f t="shared" ref="F71:F74" si="52">D71/SUM(B71:C71)-1</f>
        <v>1.6952015744174043E-2</v>
      </c>
      <c r="M71" s="56"/>
      <c r="N71" s="111"/>
      <c r="O71" s="111"/>
    </row>
    <row r="72" spans="1:15">
      <c r="A72" s="36" t="s">
        <v>532</v>
      </c>
      <c r="B72" s="44">
        <f>57.26*50</f>
        <v>2863</v>
      </c>
      <c r="C72" s="44">
        <f>1.91*2</f>
        <v>3.82</v>
      </c>
      <c r="D72" s="44">
        <f>54.59*50</f>
        <v>2729.5</v>
      </c>
      <c r="E72" s="35">
        <f t="shared" si="51"/>
        <v>-137.32000000000016</v>
      </c>
      <c r="F72" s="37">
        <f t="shared" si="52"/>
        <v>-4.7899763501022097E-2</v>
      </c>
      <c r="M72" s="56"/>
      <c r="N72" s="111"/>
      <c r="O72" s="111"/>
    </row>
    <row r="73" spans="1:15">
      <c r="A73" s="36" t="s">
        <v>312</v>
      </c>
      <c r="B73" s="44">
        <f>26.75*35</f>
        <v>936.25</v>
      </c>
      <c r="C73" s="44">
        <f>0.6*2</f>
        <v>1.2</v>
      </c>
      <c r="D73" s="44">
        <f>23.25*35</f>
        <v>813.75</v>
      </c>
      <c r="E73" s="35">
        <f t="shared" si="51"/>
        <v>-123.70000000000005</v>
      </c>
      <c r="F73" s="37">
        <f t="shared" si="52"/>
        <v>-0.13195370419755725</v>
      </c>
      <c r="M73" s="56"/>
      <c r="N73" s="111"/>
      <c r="O73" s="111"/>
    </row>
    <row r="74" spans="1:15">
      <c r="A74" s="36" t="s">
        <v>312</v>
      </c>
      <c r="B74" s="44">
        <f>26.75*65</f>
        <v>1738.75</v>
      </c>
      <c r="C74" s="44">
        <f>1.06*2</f>
        <v>2.12</v>
      </c>
      <c r="D74" s="44">
        <f>23.2*65</f>
        <v>1508</v>
      </c>
      <c r="E74" s="35">
        <f t="shared" si="51"/>
        <v>-232.86999999999989</v>
      </c>
      <c r="F74" s="37">
        <f t="shared" si="52"/>
        <v>-0.13376645010827914</v>
      </c>
      <c r="M74" s="56"/>
      <c r="N74" s="111"/>
      <c r="O74" s="111"/>
    </row>
    <row r="75" spans="1:15">
      <c r="A75" s="36"/>
      <c r="B75" s="44"/>
      <c r="C75" s="44"/>
      <c r="D75" s="44"/>
      <c r="E75" s="35"/>
      <c r="F75" s="37"/>
      <c r="M75" s="56"/>
      <c r="N75" s="111"/>
      <c r="O75" s="111"/>
    </row>
    <row r="76" spans="1:15">
      <c r="A76" s="36"/>
      <c r="B76" s="44"/>
      <c r="C76" s="44"/>
      <c r="D76" s="44"/>
      <c r="E76" s="35"/>
      <c r="F76" s="37"/>
      <c r="M76" s="56"/>
      <c r="N76" s="111"/>
      <c r="O76" s="111"/>
    </row>
    <row r="77" spans="1:15">
      <c r="A77" s="40" t="s">
        <v>323</v>
      </c>
      <c r="B77" s="41"/>
      <c r="C77" s="41"/>
      <c r="D77" s="43">
        <v>291.07</v>
      </c>
      <c r="E77" s="41">
        <f>D77</f>
        <v>291.07</v>
      </c>
      <c r="F77" s="42"/>
      <c r="G77" s="33"/>
      <c r="I77" s="56"/>
      <c r="L77" s="56"/>
      <c r="M77" s="56"/>
      <c r="N77" s="111"/>
      <c r="O77" s="111"/>
    </row>
    <row r="78" spans="1:15">
      <c r="A78" s="40" t="s">
        <v>326</v>
      </c>
      <c r="B78" s="41">
        <f>SUM(B54:B77)</f>
        <v>52030.1</v>
      </c>
      <c r="C78" s="41">
        <f>SUM(C54:C77)</f>
        <v>72.990000000000009</v>
      </c>
      <c r="D78" s="41">
        <f>SUM(D54:D77)</f>
        <v>54156.58</v>
      </c>
      <c r="E78" s="41">
        <f>SUM(E54:E77)</f>
        <v>2053.4900000000002</v>
      </c>
      <c r="F78" s="42">
        <f t="shared" ref="F78:F79" si="53">D78/SUM(B78:C78)-1</f>
        <v>3.9412057902899811E-2</v>
      </c>
      <c r="G78" s="56"/>
      <c r="I78" s="56"/>
      <c r="L78" s="56"/>
      <c r="M78" s="56"/>
      <c r="N78" s="111"/>
      <c r="O78" s="111"/>
    </row>
    <row r="79" spans="1:15" ht="16" thickBot="1">
      <c r="A79" s="29" t="s">
        <v>482</v>
      </c>
      <c r="B79" s="49">
        <f>B78*J54</f>
        <v>60379169.120077066</v>
      </c>
      <c r="C79" s="49">
        <f>C78*J54</f>
        <v>84702.423291026265</v>
      </c>
      <c r="D79" s="49">
        <f>D78*M54</f>
        <v>64606766.010204457</v>
      </c>
      <c r="E79" s="49">
        <f t="shared" ref="E79" si="54">D79-SUM(B79:C79)</f>
        <v>4142894.4668363631</v>
      </c>
      <c r="F79" s="50">
        <f t="shared" si="53"/>
        <v>6.851851132067921E-2</v>
      </c>
      <c r="G79" s="56"/>
      <c r="I79" s="56"/>
      <c r="L79" s="56"/>
      <c r="M79" s="56"/>
      <c r="N79" s="111"/>
      <c r="O79" s="111"/>
    </row>
    <row r="80" spans="1:15" ht="18" thickTop="1">
      <c r="A80" s="131" t="s">
        <v>484</v>
      </c>
      <c r="B80" s="132">
        <f t="shared" ref="B80:B81" si="55">D80-E80</f>
        <v>166040.28865979382</v>
      </c>
      <c r="C80" s="133"/>
      <c r="D80" s="132">
        <f t="shared" ref="D80:D81" si="56">E80/F80</f>
        <v>183876.28865979382</v>
      </c>
      <c r="E80" s="134">
        <v>17836</v>
      </c>
      <c r="F80" s="135">
        <v>9.7000000000000003E-2</v>
      </c>
      <c r="G80" s="136"/>
      <c r="I80" s="56"/>
      <c r="L80" s="56"/>
      <c r="M80" s="56"/>
      <c r="N80" s="111"/>
      <c r="O80" s="111"/>
    </row>
    <row r="81" spans="1:15">
      <c r="A81" s="61" t="s">
        <v>483</v>
      </c>
      <c r="B81" s="38">
        <f t="shared" si="55"/>
        <v>236739.00000000003</v>
      </c>
      <c r="C81" s="35"/>
      <c r="D81" s="38">
        <f t="shared" si="56"/>
        <v>259440.00000000003</v>
      </c>
      <c r="E81" s="46">
        <v>22701</v>
      </c>
      <c r="F81" s="45">
        <v>8.7499999999999994E-2</v>
      </c>
      <c r="I81" s="56"/>
      <c r="L81" s="56"/>
      <c r="M81" s="56"/>
      <c r="N81" s="111"/>
      <c r="O81" s="111"/>
    </row>
    <row r="82" spans="1:15">
      <c r="A82" s="61" t="s">
        <v>483</v>
      </c>
      <c r="B82" s="38">
        <f t="shared" ref="B82" si="57">D82-E82</f>
        <v>264831.15395284328</v>
      </c>
      <c r="C82" s="35"/>
      <c r="D82" s="38">
        <f t="shared" ref="D82" si="58">E82/F82</f>
        <v>285409.15395284328</v>
      </c>
      <c r="E82" s="46">
        <v>20578</v>
      </c>
      <c r="F82" s="45">
        <v>7.2099999999999997E-2</v>
      </c>
      <c r="I82" s="56"/>
      <c r="L82" s="56"/>
      <c r="M82" s="56"/>
      <c r="N82" s="111"/>
      <c r="O82" s="111"/>
    </row>
    <row r="83" spans="1:15">
      <c r="A83" s="36" t="s">
        <v>516</v>
      </c>
      <c r="B83" s="38">
        <f>10223*74</f>
        <v>756502</v>
      </c>
      <c r="C83" s="35">
        <f>B83*0.0003</f>
        <v>226.95059999999998</v>
      </c>
      <c r="D83" s="38">
        <f>10790*74</f>
        <v>798460</v>
      </c>
      <c r="E83" s="56">
        <f t="shared" ref="E83:E84" si="59">D83-SUM(B83:C83)</f>
        <v>41731.049400000018</v>
      </c>
      <c r="F83" s="37">
        <f t="shared" ref="F83:F84" si="60">D83/SUM(B83:C83)-1</f>
        <v>5.5146627292258499E-2</v>
      </c>
      <c r="I83" s="56"/>
      <c r="L83" s="56"/>
      <c r="M83" s="56"/>
      <c r="N83" s="111"/>
      <c r="O83" s="111"/>
    </row>
    <row r="84" spans="1:15">
      <c r="A84" s="36" t="s">
        <v>516</v>
      </c>
      <c r="B84" s="38">
        <f>10223*5</f>
        <v>51115</v>
      </c>
      <c r="C84" s="35">
        <f>B84*0.0003</f>
        <v>15.334499999999998</v>
      </c>
      <c r="D84" s="38">
        <f>10865*5</f>
        <v>54325</v>
      </c>
      <c r="E84" s="56">
        <f t="shared" si="59"/>
        <v>3194.6655000000028</v>
      </c>
      <c r="F84" s="37">
        <f t="shared" si="60"/>
        <v>6.2480825350360369E-2</v>
      </c>
      <c r="I84" s="56"/>
      <c r="L84" s="56"/>
      <c r="M84" s="56"/>
      <c r="N84" s="111"/>
      <c r="O84" s="111"/>
    </row>
    <row r="85" spans="1:15">
      <c r="A85" s="36" t="s">
        <v>483</v>
      </c>
      <c r="B85" s="38">
        <f>12979*44</f>
        <v>571076</v>
      </c>
      <c r="C85" s="35">
        <f t="shared" ref="C85:C89" si="61">B85*0.0003</f>
        <v>171.32279999999997</v>
      </c>
      <c r="D85" s="38">
        <f>14050*44</f>
        <v>618200</v>
      </c>
      <c r="E85" s="56">
        <f t="shared" ref="E85:E87" si="62">D85-SUM(B85:C85)</f>
        <v>46952.677200000035</v>
      </c>
      <c r="F85" s="37">
        <f t="shared" ref="F85:F87" si="63">D85/SUM(B85:C85)-1</f>
        <v>8.2193255575989221E-2</v>
      </c>
      <c r="I85" s="56"/>
      <c r="L85" s="56"/>
      <c r="M85" s="56"/>
      <c r="N85" s="111"/>
      <c r="O85" s="111"/>
    </row>
    <row r="86" spans="1:15">
      <c r="A86" s="36" t="s">
        <v>483</v>
      </c>
      <c r="B86" s="38">
        <f>12979*100</f>
        <v>1297900</v>
      </c>
      <c r="C86" s="35">
        <f t="shared" si="61"/>
        <v>389.36999999999995</v>
      </c>
      <c r="D86" s="38">
        <f>15200*100</f>
        <v>1520000</v>
      </c>
      <c r="E86" s="56">
        <f t="shared" si="62"/>
        <v>221710.62999999989</v>
      </c>
      <c r="F86" s="37">
        <f t="shared" si="63"/>
        <v>0.17077135122811637</v>
      </c>
      <c r="I86" s="56"/>
      <c r="L86" s="56"/>
      <c r="M86" s="56"/>
      <c r="N86" s="111"/>
      <c r="O86" s="111"/>
    </row>
    <row r="87" spans="1:15">
      <c r="A87" s="36" t="s">
        <v>483</v>
      </c>
      <c r="B87" s="38">
        <f>12979*56</f>
        <v>726824</v>
      </c>
      <c r="C87" s="35">
        <f t="shared" si="61"/>
        <v>218.04719999999998</v>
      </c>
      <c r="D87" s="38">
        <f>15300*56</f>
        <v>856800</v>
      </c>
      <c r="E87" s="56">
        <f t="shared" si="62"/>
        <v>129757.95279999997</v>
      </c>
      <c r="F87" s="37">
        <f t="shared" si="63"/>
        <v>0.17847379432830146</v>
      </c>
      <c r="I87" s="56"/>
      <c r="L87" s="56"/>
      <c r="M87" s="56"/>
      <c r="N87" s="111"/>
      <c r="O87" s="111"/>
    </row>
    <row r="88" spans="1:15">
      <c r="A88" s="36" t="s">
        <v>483</v>
      </c>
      <c r="B88" s="38">
        <f>12979*30</f>
        <v>389370</v>
      </c>
      <c r="C88" s="35">
        <f t="shared" si="61"/>
        <v>116.81099999999999</v>
      </c>
      <c r="D88" s="38">
        <f>15500*30</f>
        <v>465000</v>
      </c>
      <c r="E88" s="56">
        <f t="shared" ref="E88" si="64">D88-SUM(B88:C88)</f>
        <v>75513.189000000013</v>
      </c>
      <c r="F88" s="37">
        <f t="shared" ref="F88" si="65">D88/SUM(B88:C88)-1</f>
        <v>0.19387868052867141</v>
      </c>
      <c r="I88" s="56"/>
      <c r="L88" s="56"/>
      <c r="M88" s="56"/>
      <c r="N88" s="111"/>
      <c r="O88" s="111"/>
    </row>
    <row r="89" spans="1:15">
      <c r="A89" s="36" t="s">
        <v>516</v>
      </c>
      <c r="B89" s="38">
        <f>10223*55</f>
        <v>562265</v>
      </c>
      <c r="C89" s="35">
        <f t="shared" si="61"/>
        <v>168.67949999999999</v>
      </c>
      <c r="D89" s="38">
        <f>10820*55</f>
        <v>595100</v>
      </c>
      <c r="E89" s="56">
        <f t="shared" ref="E89" si="66">D89-SUM(B89:C89)</f>
        <v>32666.320500000031</v>
      </c>
      <c r="F89" s="37">
        <f t="shared" ref="F89" si="67">D89/SUM(B89:C89)-1</f>
        <v>5.8080306515499114E-2</v>
      </c>
      <c r="I89" s="56"/>
      <c r="L89" s="56"/>
      <c r="M89" s="111"/>
      <c r="N89" s="111"/>
    </row>
    <row r="90" spans="1:15">
      <c r="A90" s="36" t="s">
        <v>516</v>
      </c>
      <c r="B90" s="38">
        <f>10223*49</f>
        <v>500927</v>
      </c>
      <c r="C90" s="35">
        <f t="shared" ref="C90" si="68">B90*0.0003</f>
        <v>150.27809999999999</v>
      </c>
      <c r="D90" s="38">
        <f>10810*49</f>
        <v>529690</v>
      </c>
      <c r="E90" s="56">
        <f t="shared" ref="E90" si="69">D90-SUM(B90:C90)</f>
        <v>28612.721900000004</v>
      </c>
      <c r="F90" s="37">
        <f t="shared" ref="F90" si="70">D90/SUM(B90:C90)-1</f>
        <v>5.7102413441085575E-2</v>
      </c>
      <c r="I90" s="56"/>
      <c r="L90" s="56"/>
      <c r="M90" s="111"/>
      <c r="N90" s="111"/>
    </row>
    <row r="91" spans="1:15">
      <c r="A91" s="36" t="s">
        <v>516</v>
      </c>
      <c r="B91" s="38">
        <f>10223*50</f>
        <v>511150</v>
      </c>
      <c r="C91" s="35">
        <f t="shared" ref="C91" si="71">B91*0.0003</f>
        <v>153.345</v>
      </c>
      <c r="D91" s="38">
        <f>10850*50</f>
        <v>542500</v>
      </c>
      <c r="E91" s="56">
        <f t="shared" ref="E91" si="72">D91-SUM(B91:C91)</f>
        <v>31196.655000000028</v>
      </c>
      <c r="F91" s="37">
        <f t="shared" ref="F91" si="73">D91/SUM(B91:C91)-1</f>
        <v>6.1013985738739951E-2</v>
      </c>
      <c r="I91" s="56"/>
      <c r="L91" s="56"/>
      <c r="M91" s="56">
        <f>N91*O91</f>
        <v>11100450.431765238</v>
      </c>
      <c r="N91" s="111">
        <f>D78-D77-SUM(N56:N90)</f>
        <v>9565.510000000002</v>
      </c>
      <c r="O91" s="159">
        <f>J54</f>
        <v>1160.466136334104</v>
      </c>
    </row>
    <row r="92" spans="1:15">
      <c r="A92" s="36" t="s">
        <v>516</v>
      </c>
      <c r="B92" s="38">
        <f>10223*57</f>
        <v>582711</v>
      </c>
      <c r="C92" s="35">
        <f t="shared" ref="C92" si="74">B92*0.0003</f>
        <v>174.8133</v>
      </c>
      <c r="D92" s="38">
        <f>10950*57</f>
        <v>624150</v>
      </c>
      <c r="E92" s="56">
        <f t="shared" ref="E92" si="75">D92-SUM(B92:C92)</f>
        <v>41264.186699999962</v>
      </c>
      <c r="F92" s="37">
        <f t="shared" ref="F92" si="76">D92/SUM(B92:C92)-1</f>
        <v>7.0792916482875778E-2</v>
      </c>
      <c r="I92" s="56"/>
      <c r="L92" s="56"/>
      <c r="M92" s="111"/>
      <c r="N92" s="111"/>
    </row>
    <row r="93" spans="1:15">
      <c r="A93" s="36" t="s">
        <v>516</v>
      </c>
      <c r="B93" s="38">
        <f>10223*48</f>
        <v>490704</v>
      </c>
      <c r="C93" s="35">
        <f t="shared" ref="C93" si="77">B93*0.0003</f>
        <v>147.21119999999999</v>
      </c>
      <c r="D93" s="38">
        <f>10965*48</f>
        <v>526320</v>
      </c>
      <c r="E93" s="56">
        <f t="shared" ref="E93" si="78">D93-SUM(B93:C93)</f>
        <v>35468.78879999998</v>
      </c>
      <c r="F93" s="37">
        <f t="shared" ref="F93" si="79">D93/SUM(B93:C93)-1</f>
        <v>7.2259756094495975E-2</v>
      </c>
      <c r="I93" s="56"/>
      <c r="L93" s="56"/>
    </row>
    <row r="94" spans="1:15">
      <c r="A94" s="36" t="s">
        <v>516</v>
      </c>
      <c r="B94" s="38">
        <f>10223*43</f>
        <v>439589</v>
      </c>
      <c r="C94" s="35">
        <f t="shared" ref="C94" si="80">B94*0.0003</f>
        <v>131.8767</v>
      </c>
      <c r="D94" s="38">
        <f>10970*43</f>
        <v>471710</v>
      </c>
      <c r="E94" s="56">
        <f t="shared" ref="E94" si="81">D94-SUM(B94:C94)</f>
        <v>31989.123299999977</v>
      </c>
      <c r="F94" s="37">
        <f t="shared" ref="F94" si="82">D94/SUM(B94:C94)-1</f>
        <v>7.2748702631702855E-2</v>
      </c>
      <c r="I94" s="56"/>
      <c r="L94" s="56"/>
    </row>
    <row r="95" spans="1:15">
      <c r="A95" s="36" t="s">
        <v>516</v>
      </c>
      <c r="B95" s="38">
        <f>10223*48</f>
        <v>490704</v>
      </c>
      <c r="C95" s="35">
        <f t="shared" ref="C95" si="83">B95*0.0003</f>
        <v>147.21119999999999</v>
      </c>
      <c r="D95" s="38">
        <f>11075*48</f>
        <v>531600</v>
      </c>
      <c r="E95" s="56">
        <f t="shared" ref="E95" si="84">D95-SUM(B95:C95)</f>
        <v>40748.78879999998</v>
      </c>
      <c r="F95" s="37">
        <f t="shared" ref="F95" si="85">D95/SUM(B95:C95)-1</f>
        <v>8.3016579913045563E-2</v>
      </c>
      <c r="I95" s="56"/>
      <c r="L95" s="56"/>
    </row>
    <row r="96" spans="1:15">
      <c r="A96" s="36" t="s">
        <v>516</v>
      </c>
      <c r="B96" s="38">
        <f>10223*47</f>
        <v>480481</v>
      </c>
      <c r="C96" s="35">
        <f t="shared" ref="C96:C97" si="86">B96*0.0003</f>
        <v>144.14429999999999</v>
      </c>
      <c r="D96" s="38">
        <f>11145*47</f>
        <v>523815</v>
      </c>
      <c r="E96" s="56">
        <f t="shared" ref="E96:E97" si="87">D96-SUM(B96:C96)</f>
        <v>43189.855700000015</v>
      </c>
      <c r="F96" s="37">
        <f t="shared" ref="F96:F97" si="88">D96/SUM(B96:C96)-1</f>
        <v>8.9861831433940775E-2</v>
      </c>
    </row>
    <row r="97" spans="1:6">
      <c r="A97" s="36" t="s">
        <v>518</v>
      </c>
      <c r="B97" s="38">
        <f>25866*21</f>
        <v>543186</v>
      </c>
      <c r="C97" s="35">
        <f t="shared" si="86"/>
        <v>162.95579999999998</v>
      </c>
      <c r="D97" s="38">
        <f>28600*21</f>
        <v>600600</v>
      </c>
      <c r="E97" s="56">
        <f t="shared" si="87"/>
        <v>57251.044200000004</v>
      </c>
      <c r="F97" s="37">
        <f t="shared" si="88"/>
        <v>0.10536699038227915</v>
      </c>
    </row>
    <row r="98" spans="1:6">
      <c r="A98" s="36" t="s">
        <v>516</v>
      </c>
      <c r="B98" s="38">
        <f>10223*31</f>
        <v>316913</v>
      </c>
      <c r="C98" s="35">
        <f t="shared" ref="C98:C99" si="89">B98*0.0003</f>
        <v>95.073899999999995</v>
      </c>
      <c r="D98" s="38">
        <f>11000*31</f>
        <v>341000</v>
      </c>
      <c r="E98" s="56">
        <f t="shared" ref="E98:E99" si="90">D98-SUM(B98:C98)</f>
        <v>23991.926099999982</v>
      </c>
      <c r="F98" s="37">
        <f t="shared" ref="F98:F99" si="91">D98/SUM(B98:C98)-1</f>
        <v>7.5682381854943692E-2</v>
      </c>
    </row>
    <row r="99" spans="1:6">
      <c r="A99" s="36" t="s">
        <v>518</v>
      </c>
      <c r="B99" s="38">
        <f>25866*9</f>
        <v>232794</v>
      </c>
      <c r="C99" s="35">
        <f t="shared" si="89"/>
        <v>69.838200000000001</v>
      </c>
      <c r="D99" s="38">
        <f>29000*9</f>
        <v>261000</v>
      </c>
      <c r="E99" s="56">
        <f t="shared" si="90"/>
        <v>28136.161800000002</v>
      </c>
      <c r="F99" s="37">
        <f t="shared" si="91"/>
        <v>0.12082666856944391</v>
      </c>
    </row>
    <row r="100" spans="1:6">
      <c r="A100" s="36" t="s">
        <v>518</v>
      </c>
      <c r="B100" s="38">
        <f>25866*8</f>
        <v>206928</v>
      </c>
      <c r="C100" s="35">
        <f t="shared" ref="C100:C101" si="92">B100*0.0003</f>
        <v>62.078399999999995</v>
      </c>
      <c r="D100" s="38">
        <f>29250*8</f>
        <v>234000</v>
      </c>
      <c r="E100" s="56">
        <f t="shared" ref="E100:E101" si="93">D100-SUM(B100:C100)</f>
        <v>27009.921600000001</v>
      </c>
      <c r="F100" s="37">
        <f t="shared" ref="F100:F101" si="94">D100/SUM(B100:C100)-1</f>
        <v>0.1304889674364218</v>
      </c>
    </row>
    <row r="101" spans="1:6">
      <c r="A101" s="36" t="s">
        <v>516</v>
      </c>
      <c r="B101" s="38">
        <f>10223*2</f>
        <v>20446</v>
      </c>
      <c r="C101" s="35">
        <f t="shared" si="92"/>
        <v>6.133799999999999</v>
      </c>
      <c r="D101" s="38">
        <f>11090*2</f>
        <v>22180</v>
      </c>
      <c r="E101" s="56">
        <f t="shared" si="93"/>
        <v>1727.8662000000004</v>
      </c>
      <c r="F101" s="37">
        <f t="shared" si="94"/>
        <v>8.4483419524665981E-2</v>
      </c>
    </row>
    <row r="102" spans="1:6">
      <c r="A102" s="36" t="s">
        <v>516</v>
      </c>
      <c r="B102" s="38">
        <f>10223*27</f>
        <v>276021</v>
      </c>
      <c r="C102" s="35">
        <f t="shared" ref="C102" si="95">B102*0.0003</f>
        <v>82.806299999999993</v>
      </c>
      <c r="D102" s="38">
        <f>11050*27</f>
        <v>298350</v>
      </c>
      <c r="E102" s="56">
        <f t="shared" ref="E102" si="96">D102-SUM(B102:C102)</f>
        <v>22246.193700000003</v>
      </c>
      <c r="F102" s="37">
        <f t="shared" ref="F102" si="97">D102/SUM(B102:C102)-1</f>
        <v>8.0571847227011606E-2</v>
      </c>
    </row>
    <row r="103" spans="1:6">
      <c r="A103" s="36" t="s">
        <v>516</v>
      </c>
      <c r="B103" s="38">
        <f>10223*32</f>
        <v>327136</v>
      </c>
      <c r="C103" s="35">
        <f t="shared" ref="C103" si="98">B103*0.0003</f>
        <v>98.140799999999984</v>
      </c>
      <c r="D103" s="38">
        <f>11220*32</f>
        <v>359040</v>
      </c>
      <c r="E103" s="56">
        <f t="shared" ref="E103" si="99">D103-SUM(B103:C103)</f>
        <v>31805.859200000006</v>
      </c>
      <c r="F103" s="37">
        <f t="shared" ref="F103" si="100">D103/SUM(B103:C103)-1</f>
        <v>9.7196029492042646E-2</v>
      </c>
    </row>
    <row r="104" spans="1:6">
      <c r="A104" s="36" t="s">
        <v>516</v>
      </c>
      <c r="B104" s="38">
        <f>10223*28</f>
        <v>286244</v>
      </c>
      <c r="C104" s="35">
        <f t="shared" ref="C104" si="101">B104*0.0003</f>
        <v>85.873199999999997</v>
      </c>
      <c r="D104" s="38">
        <f>11235*28</f>
        <v>314580</v>
      </c>
      <c r="E104" s="56">
        <f t="shared" ref="E104" si="102">D104-SUM(B104:C104)</f>
        <v>28250.126800000027</v>
      </c>
      <c r="F104" s="37">
        <f t="shared" ref="F104" si="103">D104/SUM(B104:C104)-1</f>
        <v>9.8662869103663065E-2</v>
      </c>
    </row>
    <row r="105" spans="1:6">
      <c r="A105" s="36" t="s">
        <v>516</v>
      </c>
      <c r="B105" s="38">
        <f>10223*40</f>
        <v>408920</v>
      </c>
      <c r="C105" s="35">
        <f t="shared" ref="C105" si="104">B105*0.0003</f>
        <v>122.67599999999999</v>
      </c>
      <c r="D105" s="38">
        <f>11510*40</f>
        <v>460400</v>
      </c>
      <c r="E105" s="56">
        <f t="shared" ref="E105" si="105">D105-SUM(B105:C105)</f>
        <v>51357.324000000022</v>
      </c>
      <c r="F105" s="37">
        <f t="shared" ref="F105" si="106">D105/SUM(B105:C105)-1</f>
        <v>0.12555492865003659</v>
      </c>
    </row>
    <row r="106" spans="1:6">
      <c r="A106" s="36" t="s">
        <v>554</v>
      </c>
      <c r="B106" s="38">
        <f>2941*504</f>
        <v>1482264</v>
      </c>
      <c r="C106" s="35">
        <f t="shared" ref="C106:C107" si="107">B106*0.0003</f>
        <v>444.67919999999998</v>
      </c>
      <c r="D106" s="38">
        <f>2985*504</f>
        <v>1504440</v>
      </c>
      <c r="E106" s="56">
        <f t="shared" ref="E106:E107" si="108">D106-SUM(B106:C106)</f>
        <v>21731.320800000103</v>
      </c>
      <c r="F106" s="37">
        <f t="shared" ref="F106:F107" si="109">D106/SUM(B106:C106)-1</f>
        <v>1.4656500703648101E-2</v>
      </c>
    </row>
    <row r="107" spans="1:6">
      <c r="A107" s="36" t="s">
        <v>516</v>
      </c>
      <c r="B107" s="38">
        <f>10223*38</f>
        <v>388474</v>
      </c>
      <c r="C107" s="35">
        <f t="shared" si="107"/>
        <v>116.54219999999999</v>
      </c>
      <c r="D107" s="38">
        <f>11540*38</f>
        <v>438520</v>
      </c>
      <c r="E107" s="56">
        <f t="shared" si="108"/>
        <v>49929.457799999975</v>
      </c>
      <c r="F107" s="37">
        <f t="shared" si="109"/>
        <v>0.12848860787327721</v>
      </c>
    </row>
    <row r="108" spans="1:6">
      <c r="A108" s="36" t="s">
        <v>516</v>
      </c>
      <c r="B108" s="38">
        <f>10223*27</f>
        <v>276021</v>
      </c>
      <c r="C108" s="35">
        <f t="shared" ref="C108" si="110">B108*0.0003</f>
        <v>82.806299999999993</v>
      </c>
      <c r="D108" s="38">
        <f>11990*27</f>
        <v>323730</v>
      </c>
      <c r="E108" s="56">
        <f t="shared" ref="E108" si="111">D108-SUM(B108:C108)</f>
        <v>47626.193700000003</v>
      </c>
      <c r="F108" s="37">
        <f t="shared" ref="F108" si="112">D108/SUM(B108:C108)-1</f>
        <v>0.17249379622188865</v>
      </c>
    </row>
    <row r="109" spans="1:6">
      <c r="A109" s="36" t="s">
        <v>556</v>
      </c>
      <c r="B109" s="38">
        <f>84500*4</f>
        <v>338000</v>
      </c>
      <c r="C109" s="35">
        <f t="shared" ref="C109:C110" si="113">B109*0.0003</f>
        <v>101.39999999999999</v>
      </c>
      <c r="D109" s="38">
        <f>97800*4</f>
        <v>391200</v>
      </c>
      <c r="E109" s="56">
        <f t="shared" ref="E109:E110" si="114">D109-SUM(B109:C109)</f>
        <v>53098.599999999977</v>
      </c>
      <c r="F109" s="37">
        <f t="shared" ref="F109:F110" si="115">D109/SUM(B109:C109)-1</f>
        <v>0.15704933490367079</v>
      </c>
    </row>
    <row r="110" spans="1:6">
      <c r="A110" s="36" t="s">
        <v>516</v>
      </c>
      <c r="B110" s="38">
        <f>10223*22</f>
        <v>224906</v>
      </c>
      <c r="C110" s="35">
        <f t="shared" si="113"/>
        <v>67.471799999999988</v>
      </c>
      <c r="D110" s="38">
        <f>12115*22</f>
        <v>266530</v>
      </c>
      <c r="E110" s="56">
        <f t="shared" si="114"/>
        <v>41556.528200000001</v>
      </c>
      <c r="F110" s="37">
        <f t="shared" si="115"/>
        <v>0.18471745965205844</v>
      </c>
    </row>
    <row r="111" spans="1:6">
      <c r="A111" s="36" t="s">
        <v>556</v>
      </c>
      <c r="B111" s="38">
        <f>84500*3</f>
        <v>253500</v>
      </c>
      <c r="C111" s="35">
        <f t="shared" ref="C111" si="116">B111*0.0003</f>
        <v>76.05</v>
      </c>
      <c r="D111" s="38">
        <f>100000*3</f>
        <v>300000</v>
      </c>
      <c r="E111" s="56">
        <f t="shared" ref="E111" si="117">D111-SUM(B111:C111)</f>
        <v>46423.950000000012</v>
      </c>
      <c r="F111" s="37">
        <f t="shared" ref="F111" si="118">D111/SUM(B111:C111)-1</f>
        <v>0.18307702955385574</v>
      </c>
    </row>
    <row r="112" spans="1:6">
      <c r="A112" s="36" t="s">
        <v>556</v>
      </c>
      <c r="B112" s="38">
        <f>84500*3</f>
        <v>253500</v>
      </c>
      <c r="C112" s="35">
        <f t="shared" ref="C112:C113" si="119">B112*0.0003</f>
        <v>76.05</v>
      </c>
      <c r="D112" s="38">
        <f>99900*3</f>
        <v>299700</v>
      </c>
      <c r="E112" s="56">
        <f t="shared" ref="E112:E113" si="120">D112-SUM(B112:C112)</f>
        <v>46123.950000000012</v>
      </c>
      <c r="F112" s="37">
        <f t="shared" ref="F112:F113" si="121">D112/SUM(B112:C112)-1</f>
        <v>0.18189395252430196</v>
      </c>
    </row>
    <row r="113" spans="1:7">
      <c r="A113" s="36" t="s">
        <v>483</v>
      </c>
      <c r="B113" s="38">
        <f>12979*29</f>
        <v>376391</v>
      </c>
      <c r="C113" s="35">
        <f t="shared" si="119"/>
        <v>112.91729999999998</v>
      </c>
      <c r="D113" s="38">
        <f>15500*29</f>
        <v>449500</v>
      </c>
      <c r="E113" s="56">
        <f t="shared" si="120"/>
        <v>72996.082700000028</v>
      </c>
      <c r="F113" s="37">
        <f t="shared" si="121"/>
        <v>0.19387868052867141</v>
      </c>
    </row>
    <row r="114" spans="1:7">
      <c r="A114" s="36" t="s">
        <v>556</v>
      </c>
      <c r="B114" s="38">
        <f>84500*4</f>
        <v>338000</v>
      </c>
      <c r="C114" s="35">
        <f t="shared" ref="C114:C116" si="122">B114*0.0003</f>
        <v>101.39999999999999</v>
      </c>
      <c r="D114" s="38">
        <f>105000*4</f>
        <v>420000</v>
      </c>
      <c r="E114" s="56">
        <f t="shared" ref="E114:E116" si="123">D114-SUM(B114:C114)</f>
        <v>81898.599999999977</v>
      </c>
      <c r="F114" s="37">
        <f t="shared" ref="F114:F116" si="124">D114/SUM(B114:C114)-1</f>
        <v>0.24223088103154833</v>
      </c>
    </row>
    <row r="115" spans="1:7">
      <c r="A115" s="36" t="s">
        <v>483</v>
      </c>
      <c r="B115" s="38">
        <f>12979*20</f>
        <v>259580</v>
      </c>
      <c r="C115" s="35">
        <f t="shared" si="122"/>
        <v>77.873999999999995</v>
      </c>
      <c r="D115" s="38">
        <f>15700*20</f>
        <v>314000</v>
      </c>
      <c r="E115" s="56">
        <f t="shared" si="123"/>
        <v>54342.125999999989</v>
      </c>
      <c r="F115" s="37">
        <f t="shared" si="124"/>
        <v>0.20928356672904136</v>
      </c>
    </row>
    <row r="116" spans="1:7">
      <c r="A116" s="36" t="s">
        <v>518</v>
      </c>
      <c r="B116" s="38">
        <f>25866*16</f>
        <v>413856</v>
      </c>
      <c r="C116" s="35">
        <f t="shared" si="122"/>
        <v>124.15679999999999</v>
      </c>
      <c r="D116" s="38">
        <f>30150*16</f>
        <v>482400</v>
      </c>
      <c r="E116" s="56">
        <f t="shared" si="123"/>
        <v>68419.843200000003</v>
      </c>
      <c r="F116" s="37">
        <f t="shared" si="124"/>
        <v>0.16527324335754257</v>
      </c>
    </row>
    <row r="117" spans="1:7">
      <c r="A117" s="36" t="s">
        <v>518</v>
      </c>
      <c r="B117" s="38">
        <f>25866*15</f>
        <v>387990</v>
      </c>
      <c r="C117" s="35">
        <f t="shared" ref="C117" si="125">B117*0.0003</f>
        <v>116.39699999999999</v>
      </c>
      <c r="D117" s="38">
        <f>30600*15</f>
        <v>459000</v>
      </c>
      <c r="E117" s="56">
        <f t="shared" ref="E117" si="126">D117-SUM(B117:C117)</f>
        <v>70893.603000000003</v>
      </c>
      <c r="F117" s="37">
        <f t="shared" ref="F117" si="127">D117/SUM(B117:C117)-1</f>
        <v>0.18266538131810295</v>
      </c>
    </row>
    <row r="118" spans="1:7">
      <c r="A118" s="36" t="s">
        <v>518</v>
      </c>
      <c r="B118" s="38">
        <f>25866*20</f>
        <v>517320</v>
      </c>
      <c r="C118" s="35">
        <f t="shared" ref="C118" si="128">B118*0.0003</f>
        <v>155.196</v>
      </c>
      <c r="D118" s="38">
        <f>31000*20</f>
        <v>620000</v>
      </c>
      <c r="E118" s="56">
        <f t="shared" ref="E118" si="129">D118-SUM(B118:C118)</f>
        <v>102524.804</v>
      </c>
      <c r="F118" s="37">
        <f t="shared" ref="F118" si="130">D118/SUM(B118:C118)-1</f>
        <v>0.19812505950526749</v>
      </c>
    </row>
    <row r="119" spans="1:7">
      <c r="A119" s="36" t="s">
        <v>518</v>
      </c>
      <c r="B119" s="38">
        <f>25866*8</f>
        <v>206928</v>
      </c>
      <c r="C119" s="35">
        <f t="shared" ref="C119" si="131">B119*0.0003</f>
        <v>62.078399999999995</v>
      </c>
      <c r="D119" s="38">
        <f>31200*8</f>
        <v>249600</v>
      </c>
      <c r="E119" s="56">
        <f t="shared" ref="E119" si="132">D119-SUM(B119:C119)</f>
        <v>42609.921600000001</v>
      </c>
      <c r="F119" s="37">
        <f t="shared" ref="F119" si="133">D119/SUM(B119:C119)-1</f>
        <v>0.20585489859884998</v>
      </c>
    </row>
    <row r="120" spans="1:7">
      <c r="A120" s="36" t="s">
        <v>518</v>
      </c>
      <c r="B120" s="38">
        <f>25866*7</f>
        <v>181062</v>
      </c>
      <c r="C120" s="35">
        <f t="shared" ref="C120" si="134">B120*0.0003</f>
        <v>54.318599999999996</v>
      </c>
      <c r="D120" s="38">
        <f>31350*7</f>
        <v>219450</v>
      </c>
      <c r="E120" s="56">
        <f t="shared" ref="E120" si="135">D120-SUM(B120:C120)</f>
        <v>38333.681400000001</v>
      </c>
      <c r="F120" s="37">
        <f t="shared" ref="F120" si="136">D120/SUM(B120:C120)-1</f>
        <v>0.21165227791903662</v>
      </c>
    </row>
    <row r="121" spans="1:7">
      <c r="A121" s="36" t="s">
        <v>598</v>
      </c>
      <c r="B121" s="38">
        <f>12093*110</f>
        <v>1330230</v>
      </c>
      <c r="C121" s="35">
        <f t="shared" ref="C121" si="137">B121*0.0003</f>
        <v>399.06899999999996</v>
      </c>
      <c r="D121" s="38">
        <f>12400*110</f>
        <v>1364000</v>
      </c>
      <c r="E121" s="56">
        <f t="shared" ref="E121" si="138">D121-SUM(B121:C121)</f>
        <v>33370.931000000099</v>
      </c>
      <c r="F121" s="37">
        <f t="shared" ref="F121" si="139">D121/SUM(B121:C121)-1</f>
        <v>2.507906356282974E-2</v>
      </c>
    </row>
    <row r="122" spans="1:7">
      <c r="A122" s="36" t="s">
        <v>598</v>
      </c>
      <c r="B122" s="38">
        <f>12093*40</f>
        <v>483720</v>
      </c>
      <c r="C122" s="35">
        <f t="shared" ref="C122:C123" si="140">B122*0.0003</f>
        <v>145.11599999999999</v>
      </c>
      <c r="D122" s="38">
        <f>12650*40</f>
        <v>506000</v>
      </c>
      <c r="E122" s="56">
        <f t="shared" ref="E122:E123" si="141">D122-SUM(B122:C122)</f>
        <v>22134.88400000002</v>
      </c>
      <c r="F122" s="37">
        <f t="shared" ref="F122:F123" si="142">D122/SUM(B122:C122)-1</f>
        <v>4.5745980166919109E-2</v>
      </c>
    </row>
    <row r="123" spans="1:7">
      <c r="A123" s="36" t="s">
        <v>1463</v>
      </c>
      <c r="B123" s="38">
        <f>420000+356000*2+357000</f>
        <v>1489000</v>
      </c>
      <c r="C123" s="35">
        <f t="shared" si="140"/>
        <v>446.7</v>
      </c>
      <c r="D123" s="38">
        <f>386000*4</f>
        <v>1544000</v>
      </c>
      <c r="E123" s="56">
        <f t="shared" si="141"/>
        <v>54553.300000000047</v>
      </c>
      <c r="F123" s="37">
        <f t="shared" si="142"/>
        <v>3.6626554008277079E-2</v>
      </c>
    </row>
    <row r="124" spans="1:7">
      <c r="B124" s="38"/>
      <c r="C124" s="35"/>
      <c r="D124" s="38"/>
      <c r="E124" s="56"/>
      <c r="F124" s="42"/>
    </row>
    <row r="125" spans="1:7">
      <c r="B125" s="38"/>
      <c r="C125" s="35"/>
      <c r="D125" s="38"/>
      <c r="E125" s="56"/>
      <c r="F125" s="42"/>
    </row>
    <row r="126" spans="1:7">
      <c r="B126" s="38"/>
      <c r="C126" s="35"/>
      <c r="D126" s="38"/>
      <c r="E126" s="56"/>
      <c r="F126" s="42"/>
    </row>
    <row r="127" spans="1:7">
      <c r="B127" s="38"/>
      <c r="C127" s="35"/>
      <c r="D127" s="38"/>
      <c r="E127" s="56"/>
      <c r="F127" s="42"/>
    </row>
    <row r="128" spans="1:7">
      <c r="A128" s="36" t="s">
        <v>333</v>
      </c>
      <c r="B128" s="56">
        <f>SUM(B129:B175)</f>
        <v>7777300</v>
      </c>
      <c r="C128" s="56">
        <f>SUM(C129:C175)</f>
        <v>441387.11111111101</v>
      </c>
      <c r="D128" s="56">
        <f>SUM(D129:D175)</f>
        <v>9789925</v>
      </c>
      <c r="E128" s="56">
        <f>D128-SUM(B128:C128)</f>
        <v>1571237.888888889</v>
      </c>
      <c r="F128" s="42">
        <f t="shared" ref="F128" si="143">D128/SUM(B128:C128)-1</f>
        <v>0.19117869650551378</v>
      </c>
      <c r="G128" s="36" t="s">
        <v>344</v>
      </c>
    </row>
    <row r="129" spans="1:7">
      <c r="A129" s="36" t="s">
        <v>489</v>
      </c>
      <c r="B129" s="56">
        <f>5300*$F129</f>
        <v>5300</v>
      </c>
      <c r="C129" s="56">
        <v>1</v>
      </c>
      <c r="D129" s="56">
        <f>10700*F129</f>
        <v>10700</v>
      </c>
      <c r="E129" s="56">
        <f t="shared" ref="E129:E137" si="144">D129-SUM(B129:C129)</f>
        <v>5399</v>
      </c>
      <c r="F129" s="144">
        <v>1</v>
      </c>
      <c r="G129" s="36" t="s">
        <v>495</v>
      </c>
    </row>
    <row r="130" spans="1:7">
      <c r="A130" s="36" t="s">
        <v>490</v>
      </c>
      <c r="B130" s="56">
        <f>5300*$F130</f>
        <v>31800</v>
      </c>
      <c r="C130" s="56">
        <f>55000000*0.042/12/30*2</f>
        <v>12833.333333333334</v>
      </c>
      <c r="D130" s="56">
        <f>10700*F130</f>
        <v>64200</v>
      </c>
      <c r="E130" s="56">
        <f t="shared" si="144"/>
        <v>19566.666666666664</v>
      </c>
      <c r="F130" s="144">
        <v>6</v>
      </c>
      <c r="G130" s="36" t="s">
        <v>495</v>
      </c>
    </row>
    <row r="131" spans="1:7">
      <c r="A131" s="36" t="s">
        <v>491</v>
      </c>
      <c r="B131" s="56">
        <f>20000*$F131</f>
        <v>40000</v>
      </c>
      <c r="C131" s="56">
        <v>1</v>
      </c>
      <c r="D131" s="56">
        <f>35000*1+52000*1</f>
        <v>87000</v>
      </c>
      <c r="E131" s="56">
        <f t="shared" si="144"/>
        <v>46999</v>
      </c>
      <c r="F131" s="144">
        <v>2</v>
      </c>
      <c r="G131" s="36" t="s">
        <v>488</v>
      </c>
    </row>
    <row r="132" spans="1:7">
      <c r="A132" s="36" t="s">
        <v>492</v>
      </c>
      <c r="B132" s="56">
        <f>20000*$F132</f>
        <v>20000</v>
      </c>
      <c r="C132" s="56">
        <v>1</v>
      </c>
      <c r="D132" s="56">
        <f>24000*$F132</f>
        <v>24000</v>
      </c>
      <c r="E132" s="56">
        <f t="shared" si="144"/>
        <v>3999</v>
      </c>
      <c r="F132" s="144">
        <v>1</v>
      </c>
      <c r="G132" s="36" t="s">
        <v>488</v>
      </c>
    </row>
    <row r="133" spans="1:7">
      <c r="A133" s="36" t="s">
        <v>493</v>
      </c>
      <c r="B133" s="56">
        <f>300000*$F133</f>
        <v>1500000</v>
      </c>
      <c r="C133" s="56">
        <f>55000000*0.042/12/30*2</f>
        <v>12833.333333333334</v>
      </c>
      <c r="D133" s="56">
        <f>500000*1+503000*2+534000*1+539000*1</f>
        <v>2579000</v>
      </c>
      <c r="E133" s="56">
        <f t="shared" si="144"/>
        <v>1066166.6666666667</v>
      </c>
      <c r="F133" s="144">
        <v>5</v>
      </c>
      <c r="G133" s="36" t="s">
        <v>337</v>
      </c>
    </row>
    <row r="134" spans="1:7">
      <c r="A134" s="36" t="s">
        <v>494</v>
      </c>
      <c r="B134" s="56">
        <f>300000*$F134</f>
        <v>300000</v>
      </c>
      <c r="C134" s="56">
        <v>1</v>
      </c>
      <c r="D134" s="56">
        <f>500000*$F134</f>
        <v>500000</v>
      </c>
      <c r="E134" s="56">
        <f t="shared" si="144"/>
        <v>199999</v>
      </c>
      <c r="F134" s="144">
        <v>1</v>
      </c>
      <c r="G134" s="36" t="s">
        <v>488</v>
      </c>
    </row>
    <row r="135" spans="1:7">
      <c r="A135" s="36" t="s">
        <v>501</v>
      </c>
      <c r="B135" s="56">
        <f>13000*$F135</f>
        <v>52000</v>
      </c>
      <c r="C135" s="56">
        <f>55000000*0.042/12/30*4</f>
        <v>25666.666666666668</v>
      </c>
      <c r="D135" s="56">
        <f>22550*$F135</f>
        <v>90200</v>
      </c>
      <c r="E135" s="56">
        <f t="shared" si="144"/>
        <v>12533.333333333328</v>
      </c>
      <c r="F135" s="144">
        <v>4</v>
      </c>
      <c r="G135" s="36" t="s">
        <v>488</v>
      </c>
    </row>
    <row r="136" spans="1:7">
      <c r="A136" s="36" t="s">
        <v>502</v>
      </c>
      <c r="B136" s="56">
        <f>13000*$F136</f>
        <v>13000</v>
      </c>
      <c r="C136" s="56">
        <v>1</v>
      </c>
      <c r="D136" s="56">
        <f>22800*$F136</f>
        <v>22800</v>
      </c>
      <c r="E136" s="56">
        <f t="shared" si="144"/>
        <v>9799</v>
      </c>
      <c r="F136" s="144">
        <v>1</v>
      </c>
      <c r="G136" s="36" t="s">
        <v>488</v>
      </c>
    </row>
    <row r="137" spans="1:7">
      <c r="A137" s="36" t="s">
        <v>531</v>
      </c>
      <c r="B137" s="56">
        <f>2000*$F137</f>
        <v>86000</v>
      </c>
      <c r="C137" s="56">
        <v>1</v>
      </c>
      <c r="D137" s="56">
        <f>2000*$F137</f>
        <v>86000</v>
      </c>
      <c r="E137" s="56">
        <f t="shared" si="144"/>
        <v>-1</v>
      </c>
      <c r="F137" s="56">
        <v>43</v>
      </c>
      <c r="G137" s="36" t="s">
        <v>335</v>
      </c>
    </row>
    <row r="138" spans="1:7">
      <c r="A138" s="36" t="s">
        <v>534</v>
      </c>
      <c r="B138" s="56">
        <f>15000*$F138</f>
        <v>15000</v>
      </c>
      <c r="C138" s="56">
        <v>1</v>
      </c>
      <c r="D138" s="56">
        <f>26600*$F138</f>
        <v>26600</v>
      </c>
      <c r="E138" s="56">
        <f t="shared" ref="E138" si="145">D138-SUM(B138:C138)</f>
        <v>11599</v>
      </c>
      <c r="F138" s="144">
        <v>1</v>
      </c>
      <c r="G138" s="36" t="s">
        <v>533</v>
      </c>
    </row>
    <row r="139" spans="1:7">
      <c r="A139" s="36" t="s">
        <v>535</v>
      </c>
      <c r="B139" s="56">
        <f>15000*$F139</f>
        <v>15000</v>
      </c>
      <c r="C139" s="56">
        <v>1</v>
      </c>
      <c r="D139" s="56">
        <f>15000*$F139</f>
        <v>15000</v>
      </c>
      <c r="E139" s="56">
        <f t="shared" ref="E139" si="146">D139-SUM(B139:C139)</f>
        <v>-1</v>
      </c>
      <c r="F139" s="56">
        <v>1</v>
      </c>
      <c r="G139" s="36" t="s">
        <v>533</v>
      </c>
    </row>
    <row r="140" spans="1:7">
      <c r="A140" s="36" t="s">
        <v>537</v>
      </c>
      <c r="B140" s="56">
        <f>2000*$F140</f>
        <v>302000</v>
      </c>
      <c r="C140" s="56">
        <f>55000000*0.042/12/30*2</f>
        <v>12833.333333333334</v>
      </c>
      <c r="D140" s="56">
        <f>2000*$F140</f>
        <v>302000</v>
      </c>
      <c r="E140" s="56">
        <f t="shared" ref="E140" si="147">D140-SUM(B140:C140)</f>
        <v>-12833.333333333314</v>
      </c>
      <c r="F140" s="56">
        <v>151</v>
      </c>
      <c r="G140" s="36" t="s">
        <v>340</v>
      </c>
    </row>
    <row r="141" spans="1:7">
      <c r="A141" s="36" t="s">
        <v>538</v>
      </c>
      <c r="B141" s="56">
        <f>15200*$F141</f>
        <v>15200</v>
      </c>
      <c r="C141" s="56">
        <v>1</v>
      </c>
      <c r="D141" s="56">
        <f>21850*$F141</f>
        <v>21850</v>
      </c>
      <c r="E141" s="56">
        <f t="shared" ref="E141" si="148">D141-SUM(B141:C141)</f>
        <v>6649</v>
      </c>
      <c r="F141" s="157">
        <v>1</v>
      </c>
      <c r="G141" s="36" t="s">
        <v>337</v>
      </c>
    </row>
    <row r="142" spans="1:7">
      <c r="A142" s="36" t="s">
        <v>542</v>
      </c>
      <c r="B142" s="56">
        <f>5000*$F142</f>
        <v>515000</v>
      </c>
      <c r="C142" s="56">
        <f>57500000*0.042/12/30*4</f>
        <v>26833.333333333332</v>
      </c>
      <c r="D142" s="56">
        <f>5000*$F142</f>
        <v>515000</v>
      </c>
      <c r="E142" s="56">
        <f t="shared" ref="E142:E145" si="149">D142-SUM(B142:C142)</f>
        <v>-26833.333333333372</v>
      </c>
      <c r="F142" s="56">
        <v>103</v>
      </c>
      <c r="G142" s="36" t="s">
        <v>340</v>
      </c>
    </row>
    <row r="143" spans="1:7">
      <c r="A143" s="36" t="s">
        <v>567</v>
      </c>
      <c r="B143" s="56">
        <f>4400*$F143</f>
        <v>13200</v>
      </c>
      <c r="C143" s="56">
        <v>1</v>
      </c>
      <c r="D143" s="56">
        <f>7600*$F143</f>
        <v>22800</v>
      </c>
      <c r="E143" s="56">
        <f t="shared" si="149"/>
        <v>9599</v>
      </c>
      <c r="F143" s="144">
        <v>3</v>
      </c>
      <c r="G143" s="36" t="s">
        <v>566</v>
      </c>
    </row>
    <row r="144" spans="1:7">
      <c r="A144" s="36" t="s">
        <v>568</v>
      </c>
      <c r="B144" s="56">
        <f>16400*$F144</f>
        <v>16400</v>
      </c>
      <c r="C144" s="56">
        <f>16400000*0.042/12/30*3</f>
        <v>5740</v>
      </c>
      <c r="D144" s="56">
        <f>39100*$F144</f>
        <v>39100</v>
      </c>
      <c r="E144" s="56">
        <f t="shared" si="149"/>
        <v>16960</v>
      </c>
      <c r="F144" s="144">
        <v>1</v>
      </c>
      <c r="G144" s="36" t="s">
        <v>335</v>
      </c>
    </row>
    <row r="145" spans="1:7">
      <c r="A145" s="36" t="s">
        <v>569</v>
      </c>
      <c r="B145" s="56">
        <f>16400*$F145</f>
        <v>16400</v>
      </c>
      <c r="C145" s="56">
        <f>16400000*0.042/12/30*3</f>
        <v>5740</v>
      </c>
      <c r="D145" s="56">
        <f>39100*$F145</f>
        <v>39100</v>
      </c>
      <c r="E145" s="56">
        <f t="shared" si="149"/>
        <v>16960</v>
      </c>
      <c r="F145" s="144">
        <v>1</v>
      </c>
      <c r="G145" s="36" t="s">
        <v>335</v>
      </c>
    </row>
    <row r="146" spans="1:7">
      <c r="A146" s="36" t="s">
        <v>753</v>
      </c>
      <c r="B146" s="56">
        <f t="shared" ref="B146:B151" si="150">2000*$F146</f>
        <v>118000</v>
      </c>
      <c r="C146" s="56">
        <f>44000000*0.042/12/30*3</f>
        <v>15400</v>
      </c>
      <c r="D146" s="56">
        <f>3775*$F146</f>
        <v>222725</v>
      </c>
      <c r="E146" s="56">
        <f t="shared" ref="E146" si="151">D146-SUM(B146:C146)</f>
        <v>89325</v>
      </c>
      <c r="F146" s="144">
        <v>59</v>
      </c>
      <c r="G146" s="36" t="s">
        <v>752</v>
      </c>
    </row>
    <row r="147" spans="1:7">
      <c r="A147" s="36" t="s">
        <v>754</v>
      </c>
      <c r="B147" s="56">
        <f t="shared" si="150"/>
        <v>114000</v>
      </c>
      <c r="C147" s="56">
        <f>54000000*0.042/12/30*2</f>
        <v>12600</v>
      </c>
      <c r="D147" s="56">
        <f>2000*$F147</f>
        <v>114000</v>
      </c>
      <c r="E147" s="56">
        <f t="shared" ref="E147:E152" si="152">D147-SUM(B147:C147)</f>
        <v>-12600</v>
      </c>
      <c r="F147" s="56">
        <v>57</v>
      </c>
      <c r="G147" s="36" t="s">
        <v>495</v>
      </c>
    </row>
    <row r="148" spans="1:7">
      <c r="A148" s="36" t="s">
        <v>755</v>
      </c>
      <c r="B148" s="56">
        <f t="shared" si="150"/>
        <v>258000</v>
      </c>
      <c r="C148" s="56">
        <f>60000000*0.042/12/30*1</f>
        <v>7000</v>
      </c>
      <c r="D148" s="56">
        <f>2000*$F148</f>
        <v>258000</v>
      </c>
      <c r="E148" s="56">
        <f t="shared" si="152"/>
        <v>-7000</v>
      </c>
      <c r="F148" s="56">
        <v>129</v>
      </c>
      <c r="G148" s="36" t="s">
        <v>488</v>
      </c>
    </row>
    <row r="149" spans="1:7">
      <c r="A149" s="36" t="s">
        <v>756</v>
      </c>
      <c r="B149" s="56">
        <f t="shared" si="150"/>
        <v>140000</v>
      </c>
      <c r="C149" s="56">
        <f>60000000*0.042/12/30*2</f>
        <v>14000</v>
      </c>
      <c r="D149" s="56">
        <f>2000*$F149</f>
        <v>140000</v>
      </c>
      <c r="E149" s="56">
        <f t="shared" si="152"/>
        <v>-14000</v>
      </c>
      <c r="F149" s="56">
        <v>70</v>
      </c>
      <c r="G149" s="36" t="s">
        <v>566</v>
      </c>
    </row>
    <row r="150" spans="1:7">
      <c r="A150" s="36" t="s">
        <v>757</v>
      </c>
      <c r="B150" s="56">
        <f>17000*$F150</f>
        <v>17000</v>
      </c>
      <c r="C150" s="56">
        <v>1</v>
      </c>
      <c r="D150" s="56">
        <f>50000*$F150</f>
        <v>50000</v>
      </c>
      <c r="E150" s="56">
        <f t="shared" si="152"/>
        <v>32999</v>
      </c>
      <c r="F150" s="144">
        <v>1</v>
      </c>
      <c r="G150" s="36" t="s">
        <v>495</v>
      </c>
    </row>
    <row r="151" spans="1:7">
      <c r="A151" s="36" t="s">
        <v>758</v>
      </c>
      <c r="B151" s="56">
        <f t="shared" si="150"/>
        <v>408000</v>
      </c>
      <c r="C151" s="56">
        <f>90000000*0.042/12/30*2</f>
        <v>21000.000000000004</v>
      </c>
      <c r="D151" s="56">
        <f>2000*$F151</f>
        <v>408000</v>
      </c>
      <c r="E151" s="56">
        <f t="shared" si="152"/>
        <v>-21000</v>
      </c>
      <c r="F151" s="56">
        <v>204</v>
      </c>
      <c r="G151" s="36" t="s">
        <v>759</v>
      </c>
    </row>
    <row r="152" spans="1:7">
      <c r="A152" s="36" t="s">
        <v>764</v>
      </c>
      <c r="B152" s="56">
        <f>15000*$F152</f>
        <v>390000</v>
      </c>
      <c r="C152" s="56">
        <f>52500000*0.042/12/30*3</f>
        <v>18375</v>
      </c>
      <c r="D152" s="56">
        <f>20800*$F152</f>
        <v>540800</v>
      </c>
      <c r="E152" s="56">
        <f t="shared" si="152"/>
        <v>132425</v>
      </c>
      <c r="F152" s="144">
        <v>26</v>
      </c>
      <c r="G152" s="36" t="s">
        <v>335</v>
      </c>
    </row>
    <row r="153" spans="1:7">
      <c r="A153" s="36" t="s">
        <v>766</v>
      </c>
      <c r="B153" s="56">
        <f>5000*$F153</f>
        <v>560000</v>
      </c>
      <c r="C153" s="56">
        <f>57500000*0.042/12/30*4+130000000*0.02/12/30*4</f>
        <v>55722.222222222219</v>
      </c>
      <c r="D153" s="56">
        <f>5000*$F153</f>
        <v>560000</v>
      </c>
      <c r="E153" s="56">
        <f t="shared" ref="E153:E154" si="153">D153-SUM(B153:C153)</f>
        <v>-55722.222222222248</v>
      </c>
      <c r="F153" s="56">
        <v>112</v>
      </c>
      <c r="G153" s="36" t="s">
        <v>339</v>
      </c>
    </row>
    <row r="154" spans="1:7">
      <c r="A154" s="36" t="s">
        <v>769</v>
      </c>
      <c r="B154" s="56">
        <f>2000*$F154</f>
        <v>50000</v>
      </c>
      <c r="C154" s="56">
        <v>1</v>
      </c>
      <c r="D154" s="56">
        <f>2000*$F154</f>
        <v>50000</v>
      </c>
      <c r="E154" s="56">
        <f t="shared" si="153"/>
        <v>-1</v>
      </c>
      <c r="F154" s="56">
        <v>25</v>
      </c>
      <c r="G154" s="36" t="s">
        <v>340</v>
      </c>
    </row>
    <row r="155" spans="1:7">
      <c r="A155" s="36" t="s">
        <v>770</v>
      </c>
      <c r="B155" s="56">
        <f>40000*$F155</f>
        <v>160000</v>
      </c>
      <c r="C155" s="56">
        <f>100000000*0.02/12/30*4</f>
        <v>22222.222222222223</v>
      </c>
      <c r="D155" s="56">
        <f>40000*($F155-2)+52000*2</f>
        <v>184000</v>
      </c>
      <c r="E155" s="56">
        <f t="shared" ref="E155" si="154">D155-SUM(B155:C155)</f>
        <v>1777.777777777781</v>
      </c>
      <c r="F155" s="56">
        <v>4</v>
      </c>
      <c r="G155" s="36" t="s">
        <v>341</v>
      </c>
    </row>
    <row r="156" spans="1:7">
      <c r="A156" s="36" t="s">
        <v>1430</v>
      </c>
      <c r="B156" s="56">
        <f>16000*$F156</f>
        <v>16000</v>
      </c>
      <c r="C156" s="56">
        <v>1</v>
      </c>
      <c r="D156" s="56">
        <f>16000*$F156</f>
        <v>16000</v>
      </c>
      <c r="E156" s="56">
        <f t="shared" ref="E156:E159" si="155">D156-SUM(B156:C156)</f>
        <v>-1</v>
      </c>
      <c r="F156" s="56">
        <v>1</v>
      </c>
      <c r="G156" s="36" t="s">
        <v>339</v>
      </c>
    </row>
    <row r="157" spans="1:7">
      <c r="A157" s="36" t="s">
        <v>1431</v>
      </c>
      <c r="B157" s="56">
        <f>40000*$F157</f>
        <v>400000</v>
      </c>
      <c r="C157" s="56">
        <v>1</v>
      </c>
      <c r="D157" s="56">
        <f>45400*$F157</f>
        <v>454000</v>
      </c>
      <c r="E157" s="56">
        <f t="shared" si="155"/>
        <v>53999</v>
      </c>
      <c r="F157" s="144">
        <v>10</v>
      </c>
      <c r="G157" s="36" t="s">
        <v>495</v>
      </c>
    </row>
    <row r="158" spans="1:7">
      <c r="A158" s="36" t="s">
        <v>1432</v>
      </c>
      <c r="B158" s="56">
        <f>16200*$F158</f>
        <v>162000</v>
      </c>
      <c r="C158" s="56">
        <v>1</v>
      </c>
      <c r="D158" s="56">
        <f>16200*$F158</f>
        <v>162000</v>
      </c>
      <c r="E158" s="56">
        <f t="shared" si="155"/>
        <v>-1</v>
      </c>
      <c r="F158" s="56">
        <v>10</v>
      </c>
      <c r="G158" s="36" t="s">
        <v>566</v>
      </c>
    </row>
    <row r="159" spans="1:7">
      <c r="A159" s="36" t="s">
        <v>1433</v>
      </c>
      <c r="B159" s="56">
        <f>2000*$F159</f>
        <v>362000</v>
      </c>
      <c r="C159" s="56">
        <f>45000000*0.045/12/30*2+75000000*0.02/12/30*2</f>
        <v>19583.333333333336</v>
      </c>
      <c r="D159" s="56">
        <f>2000*$F159</f>
        <v>362000</v>
      </c>
      <c r="E159" s="56">
        <f t="shared" si="155"/>
        <v>-19583.333333333314</v>
      </c>
      <c r="F159" s="56">
        <v>181</v>
      </c>
      <c r="G159" s="36" t="s">
        <v>338</v>
      </c>
    </row>
    <row r="160" spans="1:7">
      <c r="A160" s="36" t="s">
        <v>1443</v>
      </c>
      <c r="B160" s="56">
        <f>2000*$F160</f>
        <v>76000</v>
      </c>
      <c r="C160" s="56">
        <f>10000000*0.05/12/30*2</f>
        <v>2777.7777777777778</v>
      </c>
      <c r="D160" s="56">
        <f>5200*$F160</f>
        <v>197600</v>
      </c>
      <c r="E160" s="56">
        <f t="shared" ref="E160" si="156">D160-SUM(B160:C160)</f>
        <v>118822.22222222222</v>
      </c>
      <c r="F160" s="144">
        <v>38</v>
      </c>
      <c r="G160" s="36" t="s">
        <v>339</v>
      </c>
    </row>
    <row r="161" spans="1:7">
      <c r="A161" s="36" t="s">
        <v>1447</v>
      </c>
      <c r="B161" s="56">
        <f>25000*$F161</f>
        <v>75000</v>
      </c>
      <c r="C161" s="56">
        <v>1</v>
      </c>
      <c r="D161" s="56">
        <f>25000*$F161</f>
        <v>75000</v>
      </c>
      <c r="E161" s="56">
        <f t="shared" ref="E161:E162" si="157">D161-SUM(B161:C161)</f>
        <v>-1</v>
      </c>
      <c r="F161" s="56">
        <v>3</v>
      </c>
      <c r="G161" s="36" t="s">
        <v>340</v>
      </c>
    </row>
    <row r="162" spans="1:7">
      <c r="A162" s="36" t="s">
        <v>1446</v>
      </c>
      <c r="B162" s="56">
        <f>25000*$F162</f>
        <v>25000</v>
      </c>
      <c r="C162" s="56">
        <v>1</v>
      </c>
      <c r="D162" s="56">
        <f>45600*$F162</f>
        <v>45600</v>
      </c>
      <c r="E162" s="56">
        <f t="shared" si="157"/>
        <v>20599</v>
      </c>
      <c r="F162" s="144">
        <v>1</v>
      </c>
      <c r="G162" s="36" t="s">
        <v>341</v>
      </c>
    </row>
    <row r="163" spans="1:7">
      <c r="A163" s="36" t="s">
        <v>1449</v>
      </c>
      <c r="B163" s="56">
        <f>2000*$F163</f>
        <v>270000</v>
      </c>
      <c r="C163" s="56">
        <f>55000000*0.05/12/30*2+15000000*0.02/12/30*2</f>
        <v>16944.444444444445</v>
      </c>
      <c r="D163" s="56">
        <f>2000*$F163</f>
        <v>270000</v>
      </c>
      <c r="E163" s="56">
        <f t="shared" ref="E163:E164" si="158">D163-SUM(B163:C163)</f>
        <v>-16944.444444444438</v>
      </c>
      <c r="F163" s="56">
        <v>135</v>
      </c>
      <c r="G163" s="36" t="s">
        <v>337</v>
      </c>
    </row>
    <row r="164" spans="1:7">
      <c r="A164" s="36" t="s">
        <v>1448</v>
      </c>
      <c r="B164" s="56">
        <f>13000*$F164</f>
        <v>26000</v>
      </c>
      <c r="C164" s="56">
        <v>1</v>
      </c>
      <c r="D164" s="56">
        <f>13000*$F164</f>
        <v>26000</v>
      </c>
      <c r="E164" s="56">
        <f t="shared" si="158"/>
        <v>-1</v>
      </c>
      <c r="F164" s="56">
        <v>2</v>
      </c>
      <c r="G164" s="36" t="s">
        <v>337</v>
      </c>
    </row>
    <row r="165" spans="1:7">
      <c r="A165" s="36" t="s">
        <v>1450</v>
      </c>
      <c r="B165" s="56">
        <f>2000*$F165</f>
        <v>124000</v>
      </c>
      <c r="C165" s="56">
        <f>54000000*0.055/12/30*2+16000000*0.02/12/30*2</f>
        <v>18277.777777777777</v>
      </c>
      <c r="D165" s="56">
        <f>2000*$F165</f>
        <v>124000</v>
      </c>
      <c r="E165" s="56">
        <f t="shared" ref="E165" si="159">D165-SUM(B165:C165)</f>
        <v>-18277.777777777781</v>
      </c>
      <c r="F165" s="56">
        <v>62</v>
      </c>
      <c r="G165" s="36" t="s">
        <v>343</v>
      </c>
    </row>
    <row r="166" spans="1:7">
      <c r="A166" s="36" t="s">
        <v>1458</v>
      </c>
      <c r="B166" s="56">
        <f>2000*$F166</f>
        <v>230000</v>
      </c>
      <c r="C166" s="56">
        <f>49400000*0.055/12/30*2</f>
        <v>15094.444444444443</v>
      </c>
      <c r="D166" s="56">
        <f>2000*$F166</f>
        <v>230000</v>
      </c>
      <c r="E166" s="56">
        <f t="shared" ref="E166:E168" si="160">D166-SUM(B166:C166)</f>
        <v>-15094.444444444438</v>
      </c>
      <c r="F166" s="56">
        <v>115</v>
      </c>
      <c r="G166" s="36" t="s">
        <v>566</v>
      </c>
    </row>
    <row r="167" spans="1:7">
      <c r="A167" s="36" t="s">
        <v>1459</v>
      </c>
      <c r="B167" s="56">
        <f>34000*$F167</f>
        <v>170000</v>
      </c>
      <c r="C167" s="56">
        <v>1</v>
      </c>
      <c r="D167" s="56">
        <f>34000*$F167</f>
        <v>170000</v>
      </c>
      <c r="E167" s="56">
        <f t="shared" si="160"/>
        <v>-1</v>
      </c>
      <c r="F167" s="56">
        <v>5</v>
      </c>
      <c r="G167" s="36" t="s">
        <v>339</v>
      </c>
    </row>
    <row r="168" spans="1:7">
      <c r="A168" s="36" t="s">
        <v>1460</v>
      </c>
      <c r="B168" s="56">
        <f>35000*$F168</f>
        <v>175000</v>
      </c>
      <c r="C168" s="56">
        <v>1</v>
      </c>
      <c r="D168" s="56">
        <f>35000*$F168</f>
        <v>175000</v>
      </c>
      <c r="E168" s="56">
        <f t="shared" si="160"/>
        <v>-1</v>
      </c>
      <c r="F168" s="56">
        <v>5</v>
      </c>
      <c r="G168" s="36" t="s">
        <v>339</v>
      </c>
    </row>
    <row r="169" spans="1:7">
      <c r="A169" s="36" t="s">
        <v>1464</v>
      </c>
      <c r="B169" s="56">
        <f>2000*$F169</f>
        <v>450000</v>
      </c>
      <c r="C169" s="56">
        <f>52000000*0.055/12/30*2</f>
        <v>15888.888888888889</v>
      </c>
      <c r="D169" s="56">
        <f>2000*$F169</f>
        <v>450000</v>
      </c>
      <c r="E169" s="56">
        <f t="shared" ref="E169:E170" si="161">D169-SUM(B169:C169)</f>
        <v>-15888.888888888876</v>
      </c>
      <c r="F169" s="56">
        <v>225</v>
      </c>
      <c r="G169" s="36" t="s">
        <v>533</v>
      </c>
    </row>
    <row r="170" spans="1:7">
      <c r="A170" s="36" t="s">
        <v>1472</v>
      </c>
      <c r="B170" s="56">
        <f>15000*$F170</f>
        <v>45000</v>
      </c>
      <c r="C170" s="56">
        <v>1</v>
      </c>
      <c r="D170" s="56">
        <f>19950*$F170</f>
        <v>59850</v>
      </c>
      <c r="E170" s="56">
        <f t="shared" si="161"/>
        <v>14849</v>
      </c>
      <c r="F170" s="144">
        <v>3</v>
      </c>
      <c r="G170" s="36" t="s">
        <v>488</v>
      </c>
    </row>
    <row r="171" spans="1:7">
      <c r="A171" s="36"/>
      <c r="B171" s="56"/>
      <c r="C171" s="56"/>
      <c r="D171" s="56"/>
      <c r="E171" s="56"/>
      <c r="F171" s="56"/>
      <c r="G171" s="36"/>
    </row>
    <row r="172" spans="1:7">
      <c r="A172" s="36"/>
      <c r="B172" s="56"/>
      <c r="C172" s="56"/>
      <c r="D172" s="56"/>
      <c r="E172" s="56"/>
      <c r="F172" s="56"/>
      <c r="G172" s="36"/>
    </row>
    <row r="173" spans="1:7">
      <c r="A173" s="36"/>
      <c r="B173" s="56"/>
      <c r="C173" s="56"/>
      <c r="D173" s="56"/>
      <c r="E173" s="56"/>
      <c r="F173" s="56"/>
      <c r="G173" s="36"/>
    </row>
    <row r="174" spans="1:7">
      <c r="A174" s="36"/>
      <c r="B174" s="56"/>
      <c r="C174" s="56"/>
      <c r="D174" s="56"/>
      <c r="E174" s="56"/>
      <c r="F174" s="56"/>
      <c r="G174" s="36"/>
    </row>
    <row r="175" spans="1:7">
      <c r="A175" s="36" t="s">
        <v>500</v>
      </c>
      <c r="B175" s="56"/>
      <c r="C175" s="56">
        <f>2000*COUNT(C129:C174)</f>
        <v>84000</v>
      </c>
      <c r="D175" s="56"/>
      <c r="E175" s="56"/>
      <c r="F175" s="42"/>
      <c r="G175" s="36"/>
    </row>
    <row r="176" spans="1:7">
      <c r="A176" s="29" t="s">
        <v>482</v>
      </c>
      <c r="B176" s="51">
        <f>SUM(B80:B175)-B128</f>
        <v>28115558.442612633</v>
      </c>
      <c r="C176" s="51">
        <f>SUM(C80:C175)-C128</f>
        <v>447288.30551111116</v>
      </c>
      <c r="D176" s="51">
        <f>SUM(D80:D175)-D128</f>
        <v>32219540.442612633</v>
      </c>
      <c r="E176" s="141">
        <f>D176-SUM(B176:C176)</f>
        <v>3656693.6944888905</v>
      </c>
      <c r="F176" s="50">
        <f t="shared" ref="F176" si="162">D176/SUM(B176:C176)-1</f>
        <v>0.12802273270359832</v>
      </c>
      <c r="G176" s="48"/>
    </row>
    <row r="177" spans="1:12">
      <c r="A177" s="52" t="s">
        <v>329</v>
      </c>
      <c r="B177" s="53">
        <f>SUM(B79,B176)</f>
        <v>88494727.562689692</v>
      </c>
      <c r="C177" s="53">
        <f>SUM(C79,C176)</f>
        <v>531990.72880213743</v>
      </c>
      <c r="D177" s="53">
        <f>SUM(D79,D176)</f>
        <v>96826306.452817082</v>
      </c>
      <c r="E177" s="53">
        <f>SUM(E79,E176)</f>
        <v>7799588.1613252535</v>
      </c>
      <c r="F177" s="54">
        <f t="shared" ref="F177" si="163">D177/SUM(B177:C177)-1</f>
        <v>8.7609521175292304E-2</v>
      </c>
      <c r="G177" s="52"/>
    </row>
    <row r="179" spans="1:12">
      <c r="E179" s="61"/>
    </row>
    <row r="180" spans="1:12" ht="17">
      <c r="C180" s="166"/>
    </row>
    <row r="183" spans="1:12">
      <c r="H183" s="122"/>
    </row>
    <row r="184" spans="1:12">
      <c r="A184" s="61"/>
    </row>
    <row r="185" spans="1:12">
      <c r="J185" s="56">
        <v>4999997</v>
      </c>
      <c r="K185" s="56">
        <v>528178</v>
      </c>
      <c r="L185" s="111">
        <f>J185/K185</f>
        <v>9.466499929947858</v>
      </c>
    </row>
    <row r="186" spans="1:12">
      <c r="C186" s="56"/>
      <c r="D186" s="61"/>
      <c r="E186" s="61"/>
    </row>
    <row r="187" spans="1:12">
      <c r="A187" s="61"/>
      <c r="C187" s="56"/>
      <c r="D187" s="56"/>
      <c r="E187" s="56"/>
    </row>
    <row r="188" spans="1:12">
      <c r="A188" s="61"/>
      <c r="C188" s="56"/>
      <c r="D188" s="56"/>
      <c r="E188" s="56"/>
    </row>
    <row r="190" spans="1:12">
      <c r="A190" s="61"/>
      <c r="C190" s="56"/>
      <c r="D190" s="56"/>
      <c r="E190" s="56"/>
    </row>
    <row r="192" spans="1:12">
      <c r="A192" s="61"/>
      <c r="C192" s="56"/>
      <c r="D192" s="56"/>
      <c r="E192" s="56"/>
    </row>
    <row r="195" spans="1:5">
      <c r="A195" s="61"/>
      <c r="C195" s="56"/>
      <c r="D195" s="56"/>
      <c r="E195" s="56"/>
    </row>
    <row r="196" spans="1:5">
      <c r="A196" s="61"/>
      <c r="C196" s="56"/>
      <c r="D196" s="56"/>
      <c r="E196" s="56"/>
    </row>
    <row r="212" spans="1:8">
      <c r="H212" s="122"/>
    </row>
    <row r="213" spans="1:8">
      <c r="H213" s="122"/>
    </row>
    <row r="221" spans="1:8">
      <c r="A221" s="56"/>
      <c r="D221" s="56"/>
      <c r="E221" s="111"/>
      <c r="F221" s="111"/>
    </row>
    <row r="222" spans="1:8">
      <c r="A222" s="56"/>
      <c r="D222" s="56"/>
      <c r="E222" s="111"/>
      <c r="F222" s="111"/>
    </row>
    <row r="223" spans="1:8">
      <c r="A223" s="56"/>
      <c r="D223" s="56"/>
      <c r="E223" s="111"/>
      <c r="F223" s="111"/>
    </row>
    <row r="224" spans="1:8">
      <c r="A224" s="56"/>
      <c r="D224" s="56"/>
      <c r="E224" s="111"/>
      <c r="F224" s="111"/>
    </row>
    <row r="225" spans="1:6">
      <c r="A225" s="56"/>
      <c r="D225" s="56"/>
      <c r="E225" s="111"/>
      <c r="F225" s="111"/>
    </row>
    <row r="226" spans="1:6">
      <c r="A226" s="56"/>
      <c r="D226" s="56"/>
      <c r="E226" s="111"/>
      <c r="F226" s="111"/>
    </row>
    <row r="227" spans="1:6">
      <c r="A227" s="56"/>
      <c r="D227" s="56"/>
      <c r="E227" s="111"/>
      <c r="F227" s="111"/>
    </row>
    <row r="228" spans="1:6">
      <c r="A228" s="56"/>
      <c r="D228" s="56"/>
      <c r="E228" s="111"/>
      <c r="F228" s="111"/>
    </row>
    <row r="229" spans="1:6">
      <c r="A229" s="56"/>
      <c r="D229" s="56"/>
      <c r="E229" s="111"/>
      <c r="F229" s="111"/>
    </row>
    <row r="230" spans="1:6">
      <c r="A230" s="56"/>
      <c r="D230" s="56"/>
      <c r="E230" s="111"/>
      <c r="F230" s="111"/>
    </row>
    <row r="231" spans="1:6">
      <c r="A231" s="56"/>
      <c r="D231" s="56"/>
      <c r="E231" s="111"/>
      <c r="F231" s="111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K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79</v>
      </c>
      <c r="B2" s="10">
        <v>15.61</v>
      </c>
      <c r="C2" s="10">
        <v>0.06</v>
      </c>
      <c r="D2" s="10">
        <v>10866</v>
      </c>
      <c r="E2" s="10">
        <v>2214</v>
      </c>
      <c r="F2" s="10">
        <v>1807</v>
      </c>
      <c r="G2" s="10">
        <v>20.38</v>
      </c>
      <c r="H2" s="10">
        <v>16.63</v>
      </c>
      <c r="I2" s="10" t="s">
        <v>240</v>
      </c>
      <c r="J2" s="10">
        <v>2979</v>
      </c>
      <c r="K2">
        <f t="shared" ref="K2:K39" si="0">(C3-C2)/C2</f>
        <v>0</v>
      </c>
    </row>
    <row r="3" spans="1:11">
      <c r="A3" s="10" t="s">
        <v>181</v>
      </c>
      <c r="B3" s="10">
        <v>15.5</v>
      </c>
      <c r="C3" s="10">
        <v>0.06</v>
      </c>
      <c r="D3" s="10">
        <v>11195</v>
      </c>
      <c r="E3" s="10">
        <v>2224</v>
      </c>
      <c r="F3" s="10">
        <v>1232</v>
      </c>
      <c r="G3" s="10">
        <v>19.87</v>
      </c>
      <c r="H3" s="10">
        <v>11</v>
      </c>
      <c r="I3" s="10">
        <v>4.6900000000000004</v>
      </c>
      <c r="J3" s="10">
        <v>2824</v>
      </c>
      <c r="K3">
        <f t="shared" si="0"/>
        <v>0</v>
      </c>
    </row>
    <row r="4" spans="1:11">
      <c r="A4" s="10" t="s">
        <v>217</v>
      </c>
      <c r="B4" s="10">
        <v>18.079999999999998</v>
      </c>
      <c r="C4" s="10">
        <v>0.06</v>
      </c>
      <c r="D4" s="10">
        <v>11256</v>
      </c>
      <c r="E4" s="10">
        <v>2412</v>
      </c>
      <c r="F4" s="10">
        <v>1777</v>
      </c>
      <c r="G4" s="10">
        <v>21.43</v>
      </c>
      <c r="H4" s="10">
        <v>15.79</v>
      </c>
      <c r="I4" s="10">
        <v>15.52</v>
      </c>
      <c r="J4" s="10">
        <v>2333</v>
      </c>
      <c r="K4">
        <f t="shared" si="0"/>
        <v>0</v>
      </c>
    </row>
    <row r="5" spans="1:11">
      <c r="A5" s="10" t="s">
        <v>162</v>
      </c>
      <c r="B5" s="10">
        <v>21.15</v>
      </c>
      <c r="C5" s="10">
        <v>0.06</v>
      </c>
      <c r="D5" s="10">
        <v>11527</v>
      </c>
      <c r="E5" s="10">
        <v>2737</v>
      </c>
      <c r="F5" s="10">
        <v>2182</v>
      </c>
      <c r="G5" s="10">
        <v>23.74</v>
      </c>
      <c r="H5" s="10">
        <v>18.93</v>
      </c>
      <c r="I5" s="10">
        <v>18.600000000000001</v>
      </c>
      <c r="J5" s="10">
        <v>3101</v>
      </c>
      <c r="K5">
        <f t="shared" si="0"/>
        <v>0.33333333333333343</v>
      </c>
    </row>
    <row r="6" spans="1:11">
      <c r="A6" s="10" t="s">
        <v>64</v>
      </c>
      <c r="B6" s="10">
        <v>17.170000000000002</v>
      </c>
      <c r="C6" s="10">
        <v>0.08</v>
      </c>
      <c r="D6" s="10">
        <v>11588</v>
      </c>
      <c r="E6" s="10">
        <v>2770</v>
      </c>
      <c r="F6" s="10">
        <v>2165</v>
      </c>
      <c r="G6" s="10">
        <v>23.9</v>
      </c>
      <c r="H6" s="10">
        <v>18.68</v>
      </c>
      <c r="I6" s="10">
        <v>19.12</v>
      </c>
      <c r="J6" s="10">
        <v>2969</v>
      </c>
      <c r="K6">
        <f t="shared" si="0"/>
        <v>0</v>
      </c>
    </row>
    <row r="7" spans="1:11">
      <c r="A7" s="10" t="s">
        <v>226</v>
      </c>
      <c r="B7" s="10">
        <v>19.094999999999999</v>
      </c>
      <c r="C7" s="10">
        <v>0.08</v>
      </c>
      <c r="D7" s="10">
        <v>11690</v>
      </c>
      <c r="E7" s="10">
        <v>2450</v>
      </c>
      <c r="F7" s="10">
        <v>1917</v>
      </c>
      <c r="G7" s="10">
        <v>20.96</v>
      </c>
      <c r="H7" s="10">
        <v>16.399999999999999</v>
      </c>
      <c r="I7" s="10">
        <v>18.79</v>
      </c>
      <c r="J7" s="10">
        <v>3088</v>
      </c>
      <c r="K7">
        <f t="shared" si="0"/>
        <v>0.75000000000000011</v>
      </c>
    </row>
    <row r="8" spans="1:11">
      <c r="A8" s="10" t="s">
        <v>247</v>
      </c>
      <c r="B8" s="10">
        <v>19.6494</v>
      </c>
      <c r="C8" s="10">
        <v>0.14000000000000001</v>
      </c>
      <c r="D8" s="10">
        <v>11876</v>
      </c>
      <c r="E8" s="10">
        <v>2710</v>
      </c>
      <c r="F8" s="10">
        <v>2092</v>
      </c>
      <c r="G8" s="10">
        <v>22.82</v>
      </c>
      <c r="H8" s="10">
        <v>17.62</v>
      </c>
      <c r="I8" s="10">
        <v>23.23</v>
      </c>
      <c r="J8" s="10">
        <v>2465</v>
      </c>
      <c r="K8">
        <f t="shared" si="0"/>
        <v>0</v>
      </c>
    </row>
    <row r="9" spans="1:11">
      <c r="A9" s="10" t="s">
        <v>19</v>
      </c>
      <c r="B9" s="10">
        <v>20.895</v>
      </c>
      <c r="C9" s="10">
        <v>0.14000000000000001</v>
      </c>
      <c r="D9" s="10">
        <v>12098</v>
      </c>
      <c r="E9" s="10">
        <v>2802</v>
      </c>
      <c r="F9" s="10">
        <v>3143</v>
      </c>
      <c r="G9" s="10">
        <v>23.16</v>
      </c>
      <c r="H9" s="10">
        <v>25.98</v>
      </c>
      <c r="I9" s="10">
        <v>23.23</v>
      </c>
      <c r="J9" s="10">
        <v>3349</v>
      </c>
      <c r="K9">
        <f t="shared" si="0"/>
        <v>0.21428571428571425</v>
      </c>
    </row>
    <row r="10" spans="1:11">
      <c r="A10" s="10" t="s">
        <v>192</v>
      </c>
      <c r="B10" s="10">
        <v>24.335000000000001</v>
      </c>
      <c r="C10" s="10">
        <v>0.17</v>
      </c>
      <c r="D10" s="10">
        <v>12216</v>
      </c>
      <c r="E10" s="10">
        <v>2975</v>
      </c>
      <c r="F10" s="10">
        <v>2478</v>
      </c>
      <c r="G10" s="10">
        <v>24.35</v>
      </c>
      <c r="H10" s="10">
        <v>20.28</v>
      </c>
      <c r="I10" s="10">
        <v>25.29</v>
      </c>
      <c r="J10" s="10">
        <v>3094</v>
      </c>
      <c r="K10">
        <f t="shared" si="0"/>
        <v>0</v>
      </c>
    </row>
    <row r="11" spans="1:11">
      <c r="A11" s="10" t="s">
        <v>160</v>
      </c>
      <c r="B11" s="10">
        <v>23.431000000000001</v>
      </c>
      <c r="C11" s="10">
        <v>0.17</v>
      </c>
      <c r="D11" s="10">
        <v>12417</v>
      </c>
      <c r="E11" s="10">
        <v>2814</v>
      </c>
      <c r="F11" s="10">
        <v>2270</v>
      </c>
      <c r="G11" s="10">
        <v>22.66</v>
      </c>
      <c r="H11" s="10">
        <v>18.28</v>
      </c>
      <c r="I11" s="10">
        <v>29.44</v>
      </c>
      <c r="J11" s="10">
        <v>3986</v>
      </c>
      <c r="K11">
        <f t="shared" si="0"/>
        <v>0</v>
      </c>
    </row>
    <row r="12" spans="1:11">
      <c r="A12" s="10" t="s">
        <v>168</v>
      </c>
      <c r="B12" s="10">
        <v>22.43</v>
      </c>
      <c r="C12" s="10">
        <v>0.17</v>
      </c>
      <c r="D12" s="10">
        <v>12085</v>
      </c>
      <c r="E12" s="10">
        <v>2692</v>
      </c>
      <c r="F12" s="10">
        <v>1996</v>
      </c>
      <c r="G12" s="10">
        <v>22.28</v>
      </c>
      <c r="H12" s="10">
        <v>16.52</v>
      </c>
      <c r="I12" s="10">
        <v>33.33</v>
      </c>
      <c r="J12" s="10">
        <v>2649</v>
      </c>
      <c r="K12">
        <f t="shared" si="0"/>
        <v>0</v>
      </c>
    </row>
    <row r="13" spans="1:11">
      <c r="A13" s="10" t="s">
        <v>63</v>
      </c>
      <c r="B13" s="10">
        <v>22.414999999999999</v>
      </c>
      <c r="C13" s="10">
        <v>0.17</v>
      </c>
      <c r="D13" s="10">
        <v>11155</v>
      </c>
      <c r="E13" s="10">
        <v>1740</v>
      </c>
      <c r="F13" s="10">
        <v>1429</v>
      </c>
      <c r="G13" s="10">
        <v>15.6</v>
      </c>
      <c r="H13" s="10">
        <v>12.81</v>
      </c>
      <c r="I13" s="10">
        <v>35.33</v>
      </c>
      <c r="J13" s="10">
        <v>2873</v>
      </c>
      <c r="K13">
        <f t="shared" si="0"/>
        <v>0.11764705882352934</v>
      </c>
    </row>
    <row r="14" spans="1:11">
      <c r="A14" s="10" t="s">
        <v>14</v>
      </c>
      <c r="B14" s="10">
        <v>24.85</v>
      </c>
      <c r="C14" s="10">
        <v>0.19</v>
      </c>
      <c r="D14" s="10">
        <v>11545</v>
      </c>
      <c r="E14" s="10">
        <v>2568</v>
      </c>
      <c r="F14" s="10">
        <v>2181</v>
      </c>
      <c r="G14" s="10">
        <v>22.24</v>
      </c>
      <c r="H14" s="10">
        <v>18.89</v>
      </c>
      <c r="I14" s="10">
        <v>44.74</v>
      </c>
      <c r="J14" s="10">
        <v>3198</v>
      </c>
      <c r="K14">
        <f t="shared" si="0"/>
        <v>0</v>
      </c>
    </row>
    <row r="15" spans="1:11">
      <c r="A15" s="10" t="s">
        <v>288</v>
      </c>
      <c r="B15" s="10">
        <v>25.17</v>
      </c>
      <c r="C15" s="10">
        <v>0.19</v>
      </c>
      <c r="D15" s="10">
        <v>12357</v>
      </c>
      <c r="E15" s="10">
        <v>2763</v>
      </c>
      <c r="F15" s="10">
        <v>2247</v>
      </c>
      <c r="G15" s="10">
        <v>22.36</v>
      </c>
      <c r="H15" s="10">
        <v>18.18</v>
      </c>
      <c r="I15" s="10">
        <v>47.3</v>
      </c>
      <c r="J15" s="10">
        <v>3612</v>
      </c>
      <c r="K15">
        <f t="shared" si="0"/>
        <v>0</v>
      </c>
    </row>
    <row r="16" spans="1:11">
      <c r="A16" s="10" t="s">
        <v>133</v>
      </c>
      <c r="B16" s="10">
        <v>27.815000000000001</v>
      </c>
      <c r="C16" s="10">
        <v>0.19</v>
      </c>
      <c r="D16" s="10">
        <v>12245</v>
      </c>
      <c r="E16" s="10">
        <v>2660</v>
      </c>
      <c r="F16" s="10">
        <v>1828</v>
      </c>
      <c r="G16" s="10">
        <v>21.72</v>
      </c>
      <c r="H16" s="10">
        <v>14.93</v>
      </c>
      <c r="I16" s="10">
        <v>48.32</v>
      </c>
      <c r="J16" s="10">
        <v>2491</v>
      </c>
      <c r="K16">
        <f t="shared" si="0"/>
        <v>0</v>
      </c>
    </row>
    <row r="17" spans="1:11">
      <c r="A17" s="10" t="s">
        <v>36</v>
      </c>
      <c r="B17" s="10">
        <v>27.524999999999999</v>
      </c>
      <c r="C17" s="10">
        <v>0.19</v>
      </c>
      <c r="D17" s="10">
        <v>11936</v>
      </c>
      <c r="E17" s="10">
        <v>2691</v>
      </c>
      <c r="F17" s="10">
        <v>2397</v>
      </c>
      <c r="G17" s="10">
        <v>22.55</v>
      </c>
      <c r="H17" s="10">
        <v>20.079999999999998</v>
      </c>
      <c r="I17" s="10">
        <v>50.34</v>
      </c>
      <c r="J17" s="10">
        <v>2883</v>
      </c>
      <c r="K17">
        <f t="shared" si="0"/>
        <v>0.10526315789473679</v>
      </c>
    </row>
    <row r="18" spans="1:11">
      <c r="A18" s="10" t="s">
        <v>190</v>
      </c>
      <c r="B18" s="10">
        <v>27.46</v>
      </c>
      <c r="C18" s="10">
        <v>0.21</v>
      </c>
      <c r="D18" s="10">
        <v>12137</v>
      </c>
      <c r="E18" s="10">
        <v>2949</v>
      </c>
      <c r="F18" s="10">
        <v>2437</v>
      </c>
      <c r="G18" s="10">
        <v>24.3</v>
      </c>
      <c r="H18" s="10">
        <v>20.079999999999998</v>
      </c>
      <c r="I18" s="10">
        <v>45.51</v>
      </c>
      <c r="J18" s="10">
        <v>3040</v>
      </c>
      <c r="K18">
        <f t="shared" si="0"/>
        <v>0</v>
      </c>
    </row>
    <row r="19" spans="1:11">
      <c r="A19" s="10" t="s">
        <v>256</v>
      </c>
      <c r="B19" s="10">
        <v>26.25</v>
      </c>
      <c r="C19" s="10">
        <v>0.21</v>
      </c>
      <c r="D19" s="10">
        <v>12843</v>
      </c>
      <c r="E19" s="10">
        <v>2954</v>
      </c>
      <c r="F19" s="10">
        <v>2319</v>
      </c>
      <c r="G19" s="10">
        <v>23</v>
      </c>
      <c r="H19" s="10">
        <v>18.059999999999999</v>
      </c>
      <c r="I19" s="10">
        <v>45.35</v>
      </c>
      <c r="J19" s="10">
        <v>4138</v>
      </c>
      <c r="K19">
        <f t="shared" si="0"/>
        <v>0</v>
      </c>
    </row>
    <row r="20" spans="1:11">
      <c r="A20" s="10" t="s">
        <v>203</v>
      </c>
      <c r="B20" s="10">
        <v>27.155000000000001</v>
      </c>
      <c r="C20" s="10">
        <v>0.21</v>
      </c>
      <c r="D20" s="10">
        <v>12682</v>
      </c>
      <c r="E20" s="10">
        <v>3221</v>
      </c>
      <c r="F20" s="10">
        <v>2430</v>
      </c>
      <c r="G20" s="10">
        <v>25.4</v>
      </c>
      <c r="H20" s="10">
        <v>19.16</v>
      </c>
      <c r="I20" s="10">
        <v>45.71</v>
      </c>
      <c r="J20" s="10">
        <v>2766</v>
      </c>
      <c r="K20">
        <f t="shared" si="0"/>
        <v>0</v>
      </c>
    </row>
    <row r="21" spans="1:11">
      <c r="A21" s="10" t="s">
        <v>89</v>
      </c>
      <c r="B21" s="10">
        <v>28.47</v>
      </c>
      <c r="C21" s="10">
        <v>0.21</v>
      </c>
      <c r="D21" s="10">
        <v>11927</v>
      </c>
      <c r="E21" s="10">
        <v>3390</v>
      </c>
      <c r="F21" s="10">
        <v>3147</v>
      </c>
      <c r="G21" s="10">
        <v>28.42</v>
      </c>
      <c r="H21" s="10">
        <v>26.39</v>
      </c>
      <c r="I21" s="10">
        <v>43.62</v>
      </c>
      <c r="J21" s="10">
        <v>3922</v>
      </c>
      <c r="K21">
        <f t="shared" si="0"/>
        <v>0.23809523809523819</v>
      </c>
    </row>
    <row r="22" spans="1:11">
      <c r="A22" s="10" t="s">
        <v>127</v>
      </c>
      <c r="B22" s="10">
        <v>28.69</v>
      </c>
      <c r="C22" s="10">
        <v>0.26</v>
      </c>
      <c r="D22" s="10">
        <v>12000</v>
      </c>
      <c r="E22" s="10">
        <v>3001</v>
      </c>
      <c r="F22" s="10">
        <v>2349</v>
      </c>
      <c r="G22" s="10">
        <v>25.01</v>
      </c>
      <c r="H22" s="10">
        <v>19.57</v>
      </c>
      <c r="I22" s="10">
        <v>41.58</v>
      </c>
      <c r="J22" s="10">
        <v>3064</v>
      </c>
      <c r="K22">
        <f t="shared" si="0"/>
        <v>0</v>
      </c>
    </row>
    <row r="23" spans="1:11">
      <c r="A23" s="10" t="s">
        <v>88</v>
      </c>
      <c r="B23" s="10">
        <v>31.72</v>
      </c>
      <c r="C23" s="10">
        <v>0.26</v>
      </c>
      <c r="D23" s="10">
        <v>12638</v>
      </c>
      <c r="E23" s="10">
        <v>3316</v>
      </c>
      <c r="F23" s="10">
        <v>2813</v>
      </c>
      <c r="G23" s="10">
        <v>26.24</v>
      </c>
      <c r="H23" s="10">
        <v>22.26</v>
      </c>
      <c r="I23" s="10">
        <v>44.06</v>
      </c>
      <c r="J23" s="10">
        <v>3818</v>
      </c>
      <c r="K23">
        <f t="shared" si="0"/>
        <v>0</v>
      </c>
    </row>
    <row r="24" spans="1:11">
      <c r="A24" s="10" t="s">
        <v>24</v>
      </c>
      <c r="B24" s="10">
        <v>30.22</v>
      </c>
      <c r="C24" s="10">
        <v>0.26</v>
      </c>
      <c r="D24" s="10">
        <v>12352</v>
      </c>
      <c r="E24" s="10">
        <v>3288</v>
      </c>
      <c r="F24" s="10">
        <v>2322</v>
      </c>
      <c r="G24" s="10">
        <v>26.62</v>
      </c>
      <c r="H24" s="10">
        <v>18.8</v>
      </c>
      <c r="I24" s="10">
        <v>44.55</v>
      </c>
      <c r="J24" s="10">
        <v>2730</v>
      </c>
      <c r="K24">
        <f t="shared" si="0"/>
        <v>0</v>
      </c>
    </row>
    <row r="25" spans="1:11">
      <c r="A25" s="10" t="s">
        <v>55</v>
      </c>
      <c r="B25" s="10">
        <v>33.799999999999997</v>
      </c>
      <c r="C25" s="10">
        <v>0.26</v>
      </c>
      <c r="D25" s="10">
        <v>11580</v>
      </c>
      <c r="E25" s="10">
        <v>3026</v>
      </c>
      <c r="F25" s="10">
        <v>2348</v>
      </c>
      <c r="G25" s="10">
        <v>26.13</v>
      </c>
      <c r="H25" s="10">
        <v>20.28</v>
      </c>
      <c r="I25" s="10">
        <v>47.37</v>
      </c>
      <c r="J25" s="10">
        <v>3772</v>
      </c>
      <c r="K25">
        <f t="shared" si="0"/>
        <v>0.11538461538461527</v>
      </c>
    </row>
    <row r="26" spans="1:11">
      <c r="A26" s="10" t="s">
        <v>183</v>
      </c>
      <c r="B26" s="10">
        <v>31.3</v>
      </c>
      <c r="C26" s="10">
        <v>0.28999999999999998</v>
      </c>
      <c r="D26" s="10">
        <v>11940</v>
      </c>
      <c r="E26" s="10">
        <v>3239</v>
      </c>
      <c r="F26" s="10">
        <v>2515</v>
      </c>
      <c r="G26" s="10">
        <v>27.13</v>
      </c>
      <c r="H26" s="10">
        <v>21.06</v>
      </c>
      <c r="I26" s="10">
        <v>53.61</v>
      </c>
      <c r="J26" s="10">
        <v>3373</v>
      </c>
      <c r="K26">
        <f t="shared" si="0"/>
        <v>0</v>
      </c>
    </row>
    <row r="27" spans="1:11">
      <c r="A27" s="10" t="s">
        <v>34</v>
      </c>
      <c r="B27" s="10">
        <v>33.630000000000003</v>
      </c>
      <c r="C27" s="10">
        <v>0.28999999999999998</v>
      </c>
      <c r="D27" s="10">
        <v>12133</v>
      </c>
      <c r="E27" s="10">
        <v>3176</v>
      </c>
      <c r="F27" s="10">
        <v>2424</v>
      </c>
      <c r="G27" s="10">
        <v>26.18</v>
      </c>
      <c r="H27" s="10">
        <v>19.98</v>
      </c>
      <c r="I27" s="10">
        <v>54.31</v>
      </c>
      <c r="J27" s="10">
        <v>4001</v>
      </c>
      <c r="K27">
        <f t="shared" si="0"/>
        <v>0</v>
      </c>
    </row>
    <row r="28" spans="1:11">
      <c r="A28" s="10" t="s">
        <v>173</v>
      </c>
      <c r="B28" s="10">
        <v>38.299999999999997</v>
      </c>
      <c r="C28" s="10">
        <v>0.28999999999999998</v>
      </c>
      <c r="D28" s="10">
        <v>12136</v>
      </c>
      <c r="E28" s="10">
        <v>2908</v>
      </c>
      <c r="F28" s="10">
        <v>2394</v>
      </c>
      <c r="G28" s="10">
        <v>23.96</v>
      </c>
      <c r="H28" s="10">
        <v>19.73</v>
      </c>
      <c r="I28" s="10">
        <v>57.89</v>
      </c>
      <c r="J28" s="10">
        <v>3080</v>
      </c>
      <c r="K28">
        <f t="shared" si="0"/>
        <v>0</v>
      </c>
    </row>
    <row r="29" spans="1:11">
      <c r="A29" s="10" t="s">
        <v>282</v>
      </c>
      <c r="B29" s="10">
        <v>42.89</v>
      </c>
      <c r="C29" s="10">
        <v>0.28999999999999998</v>
      </c>
      <c r="D29" s="10">
        <v>11887</v>
      </c>
      <c r="E29" s="10">
        <v>3171</v>
      </c>
      <c r="F29" s="10">
        <v>-8778</v>
      </c>
      <c r="G29" s="10">
        <v>26.68</v>
      </c>
      <c r="H29" s="10">
        <v>-73.849999999999994</v>
      </c>
      <c r="I29" s="10">
        <v>58.85</v>
      </c>
      <c r="J29" s="10">
        <v>4070</v>
      </c>
      <c r="K29">
        <f t="shared" si="0"/>
        <v>0.13793103448275876</v>
      </c>
    </row>
    <row r="30" spans="1:11">
      <c r="A30" s="10" t="s">
        <v>110</v>
      </c>
      <c r="B30" s="10">
        <v>43.03</v>
      </c>
      <c r="C30" s="10">
        <v>0.33</v>
      </c>
      <c r="D30" s="10">
        <v>12463</v>
      </c>
      <c r="E30" s="10">
        <v>3216</v>
      </c>
      <c r="F30" s="10">
        <v>2691</v>
      </c>
      <c r="G30" s="10">
        <v>25.8</v>
      </c>
      <c r="H30" s="10">
        <v>21.59</v>
      </c>
      <c r="I30" s="10" t="s">
        <v>240</v>
      </c>
      <c r="J30" s="10">
        <v>2416</v>
      </c>
      <c r="K30">
        <f t="shared" si="0"/>
        <v>0</v>
      </c>
    </row>
    <row r="31" spans="1:11">
      <c r="A31" s="10" t="s">
        <v>52</v>
      </c>
      <c r="B31" s="10">
        <v>48.65</v>
      </c>
      <c r="C31" s="10">
        <v>0.33</v>
      </c>
      <c r="D31" s="10">
        <v>12844</v>
      </c>
      <c r="E31" s="10">
        <v>3372</v>
      </c>
      <c r="F31" s="10">
        <v>3803</v>
      </c>
      <c r="G31" s="10">
        <v>26.25</v>
      </c>
      <c r="H31" s="10">
        <v>29.61</v>
      </c>
      <c r="I31" s="10" t="s">
        <v>240</v>
      </c>
      <c r="J31" s="10">
        <v>4100</v>
      </c>
      <c r="K31">
        <f t="shared" si="0"/>
        <v>0</v>
      </c>
    </row>
    <row r="32" spans="1:11">
      <c r="A32" s="10" t="s">
        <v>107</v>
      </c>
      <c r="B32" s="10">
        <v>43.33</v>
      </c>
      <c r="C32" s="10">
        <v>0.33</v>
      </c>
      <c r="D32" s="10">
        <v>13072</v>
      </c>
      <c r="E32" s="10">
        <v>3883</v>
      </c>
      <c r="F32" s="10">
        <v>3549</v>
      </c>
      <c r="G32" s="10">
        <v>29.7</v>
      </c>
      <c r="H32" s="10">
        <v>27.15</v>
      </c>
      <c r="I32" s="10">
        <v>6200</v>
      </c>
      <c r="J32" s="10">
        <v>3763</v>
      </c>
      <c r="K32">
        <f t="shared" si="0"/>
        <v>0</v>
      </c>
    </row>
    <row r="33" spans="1:11">
      <c r="A33" s="10" t="s">
        <v>18</v>
      </c>
      <c r="B33" s="10">
        <v>53.99</v>
      </c>
      <c r="C33" s="10">
        <v>0.33</v>
      </c>
      <c r="D33" s="10">
        <v>12446</v>
      </c>
      <c r="E33" s="10">
        <v>3397</v>
      </c>
      <c r="F33" s="10">
        <v>2822</v>
      </c>
      <c r="G33" s="10">
        <v>27.29</v>
      </c>
      <c r="H33" s="10">
        <v>22.67</v>
      </c>
      <c r="I33" s="10">
        <v>412.9</v>
      </c>
      <c r="J33" s="10">
        <v>3797</v>
      </c>
      <c r="K33">
        <f t="shared" si="0"/>
        <v>6.060606060606049E-2</v>
      </c>
    </row>
    <row r="34" spans="1:11">
      <c r="A34" s="10" t="s">
        <v>222</v>
      </c>
      <c r="B34" s="10">
        <v>54.73</v>
      </c>
      <c r="C34" s="10">
        <v>0.35</v>
      </c>
      <c r="D34" s="10">
        <v>12958</v>
      </c>
      <c r="E34" s="10">
        <v>3531</v>
      </c>
      <c r="F34" s="10">
        <v>3044</v>
      </c>
      <c r="G34" s="10">
        <v>27.25</v>
      </c>
      <c r="H34" s="10">
        <v>23.49</v>
      </c>
      <c r="I34" s="10">
        <v>48.71</v>
      </c>
      <c r="J34" s="10">
        <v>4329</v>
      </c>
      <c r="K34">
        <f t="shared" si="0"/>
        <v>0</v>
      </c>
    </row>
    <row r="35" spans="1:11">
      <c r="A35" s="10" t="s">
        <v>170</v>
      </c>
      <c r="B35" s="10">
        <v>49.41</v>
      </c>
      <c r="C35" s="10">
        <v>0.35</v>
      </c>
      <c r="D35" s="10">
        <v>13428</v>
      </c>
      <c r="E35" s="10">
        <v>3730</v>
      </c>
      <c r="F35" s="10">
        <v>2206</v>
      </c>
      <c r="G35" s="10">
        <v>27.78</v>
      </c>
      <c r="H35" s="10">
        <v>16.43</v>
      </c>
      <c r="I35" s="10">
        <v>46.69</v>
      </c>
      <c r="J35" s="10">
        <v>3942</v>
      </c>
      <c r="K35">
        <f t="shared" si="0"/>
        <v>0</v>
      </c>
    </row>
    <row r="36" spans="1:11">
      <c r="A36" s="10" t="s">
        <v>250</v>
      </c>
      <c r="B36" s="10">
        <v>47.96</v>
      </c>
      <c r="C36" s="10">
        <v>0.35</v>
      </c>
      <c r="D36" s="10">
        <v>13159</v>
      </c>
      <c r="E36" s="10">
        <v>3763</v>
      </c>
      <c r="F36" s="10">
        <v>2926</v>
      </c>
      <c r="G36" s="10">
        <v>28.6</v>
      </c>
      <c r="H36" s="10">
        <v>22.24</v>
      </c>
      <c r="I36" s="10">
        <v>52.11</v>
      </c>
      <c r="J36" s="10">
        <v>3587</v>
      </c>
      <c r="K36">
        <f t="shared" si="0"/>
        <v>0</v>
      </c>
    </row>
    <row r="37" spans="1:11">
      <c r="A37" s="10" t="s">
        <v>126</v>
      </c>
      <c r="B37" s="10">
        <v>39.31</v>
      </c>
      <c r="C37" s="10">
        <v>0.35</v>
      </c>
      <c r="D37" s="10">
        <v>12005</v>
      </c>
      <c r="E37" s="10">
        <v>3422</v>
      </c>
      <c r="F37" s="10">
        <v>2878</v>
      </c>
      <c r="G37" s="10">
        <v>28.5</v>
      </c>
      <c r="H37" s="10">
        <v>23.97</v>
      </c>
      <c r="I37" s="10">
        <v>54.76</v>
      </c>
      <c r="J37" s="10">
        <v>3800</v>
      </c>
      <c r="K37">
        <f t="shared" si="0"/>
        <v>2.8571428571428598E-2</v>
      </c>
    </row>
    <row r="38" spans="1:11">
      <c r="A38" s="10" t="s">
        <v>161</v>
      </c>
      <c r="B38" s="10">
        <v>46.64</v>
      </c>
      <c r="C38" s="10">
        <v>0.36</v>
      </c>
      <c r="D38" s="10">
        <v>11983</v>
      </c>
      <c r="E38" s="10">
        <v>3542</v>
      </c>
      <c r="F38" s="10">
        <v>2774</v>
      </c>
      <c r="G38" s="10">
        <v>29.56</v>
      </c>
      <c r="H38" s="10">
        <v>23.15</v>
      </c>
      <c r="I38" s="10">
        <v>54.47</v>
      </c>
      <c r="J38" s="10">
        <v>4237</v>
      </c>
      <c r="K38">
        <f t="shared" si="0"/>
        <v>0</v>
      </c>
    </row>
    <row r="39" spans="1:11">
      <c r="A39" s="10" t="s">
        <v>28</v>
      </c>
      <c r="B39" s="10">
        <v>39.39</v>
      </c>
      <c r="C39" s="10">
        <v>0.36</v>
      </c>
      <c r="D39" s="10">
        <v>12154</v>
      </c>
      <c r="E39" s="10">
        <v>3374</v>
      </c>
      <c r="F39" s="10">
        <v>2636</v>
      </c>
      <c r="G39" s="10">
        <v>27.76</v>
      </c>
      <c r="H39" s="10">
        <v>21.69</v>
      </c>
      <c r="I39" s="10">
        <v>55.73</v>
      </c>
      <c r="J39" s="10">
        <v>3802</v>
      </c>
      <c r="K39">
        <f t="shared" si="0"/>
        <v>0</v>
      </c>
    </row>
    <row r="40" spans="1:11">
      <c r="A40" s="10" t="s">
        <v>212</v>
      </c>
      <c r="B40" s="10">
        <v>44.75</v>
      </c>
      <c r="C40" s="10">
        <v>0.36</v>
      </c>
      <c r="D40" s="10">
        <v>11929</v>
      </c>
      <c r="E40" s="10">
        <v>3172</v>
      </c>
      <c r="F40" s="10">
        <v>2174</v>
      </c>
      <c r="G40" s="10">
        <v>26.59</v>
      </c>
      <c r="H40" s="10">
        <v>18.22</v>
      </c>
      <c r="I40" s="10">
        <v>53.79</v>
      </c>
      <c r="J40" s="10">
        <v>4096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6"/>
  <dimension ref="A1:K40"/>
  <sheetViews>
    <sheetView zoomScale="70" zoomScaleNormal="70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34.950000000000003</v>
      </c>
      <c r="C2" s="10">
        <v>0.43</v>
      </c>
      <c r="D2" s="10">
        <v>98</v>
      </c>
      <c r="E2" s="10">
        <v>61</v>
      </c>
      <c r="F2" s="10">
        <v>36</v>
      </c>
      <c r="G2" s="10">
        <v>62.5</v>
      </c>
      <c r="H2" s="10">
        <v>30.62</v>
      </c>
      <c r="I2" s="10">
        <v>181.75</v>
      </c>
      <c r="J2" s="10">
        <v>42</v>
      </c>
      <c r="K2">
        <f t="shared" ref="K2:K39" si="0">(C3-C2)/C3</f>
        <v>0</v>
      </c>
    </row>
    <row r="3" spans="1:11">
      <c r="A3" s="10" t="s">
        <v>79</v>
      </c>
      <c r="B3" s="10">
        <v>33.49</v>
      </c>
      <c r="C3" s="10">
        <v>0.43</v>
      </c>
      <c r="D3" s="10">
        <v>103</v>
      </c>
      <c r="E3" s="10">
        <v>64</v>
      </c>
      <c r="F3" s="10">
        <v>39</v>
      </c>
      <c r="G3" s="10">
        <v>62.34</v>
      </c>
      <c r="H3" s="10">
        <v>32.340000000000003</v>
      </c>
      <c r="I3" s="10">
        <v>176.57</v>
      </c>
      <c r="J3" s="10">
        <v>95</v>
      </c>
      <c r="K3">
        <f t="shared" si="0"/>
        <v>0</v>
      </c>
    </row>
    <row r="4" spans="1:11">
      <c r="A4" s="10" t="s">
        <v>181</v>
      </c>
      <c r="B4" s="10">
        <v>32.24</v>
      </c>
      <c r="C4" s="10">
        <v>0.43</v>
      </c>
      <c r="D4" s="10">
        <v>107</v>
      </c>
      <c r="E4" s="10">
        <v>67</v>
      </c>
      <c r="F4" s="10">
        <v>41</v>
      </c>
      <c r="G4" s="10">
        <v>62.06</v>
      </c>
      <c r="H4" s="10">
        <v>32.36</v>
      </c>
      <c r="I4" s="10">
        <v>173.41</v>
      </c>
      <c r="J4" s="10">
        <v>62</v>
      </c>
      <c r="K4">
        <f t="shared" si="0"/>
        <v>2.2727272727272749E-2</v>
      </c>
    </row>
    <row r="5" spans="1:11">
      <c r="A5" s="10" t="s">
        <v>217</v>
      </c>
      <c r="B5" s="10">
        <v>34.96</v>
      </c>
      <c r="C5" s="10">
        <v>0.44</v>
      </c>
      <c r="D5" s="10">
        <v>113</v>
      </c>
      <c r="E5" s="10">
        <v>69</v>
      </c>
      <c r="F5" s="10">
        <v>41</v>
      </c>
      <c r="G5" s="10">
        <v>60.77</v>
      </c>
      <c r="H5" s="10">
        <v>30.81</v>
      </c>
      <c r="I5" s="10">
        <v>173.41</v>
      </c>
      <c r="J5" s="10">
        <v>100</v>
      </c>
      <c r="K5">
        <f t="shared" si="0"/>
        <v>0</v>
      </c>
    </row>
    <row r="6" spans="1:11">
      <c r="A6" s="10" t="s">
        <v>162</v>
      </c>
      <c r="B6" s="10">
        <v>38.729999999999997</v>
      </c>
      <c r="C6" s="10">
        <v>0.44</v>
      </c>
      <c r="D6" s="10">
        <v>115</v>
      </c>
      <c r="E6" s="10">
        <v>68</v>
      </c>
      <c r="F6" s="10">
        <v>39</v>
      </c>
      <c r="G6" s="10">
        <v>59.07</v>
      </c>
      <c r="H6" s="10">
        <v>22.73</v>
      </c>
      <c r="I6" s="10">
        <v>172.07</v>
      </c>
      <c r="J6" s="10">
        <v>50</v>
      </c>
      <c r="K6">
        <f t="shared" si="0"/>
        <v>0</v>
      </c>
    </row>
    <row r="7" spans="1:11">
      <c r="A7" s="10" t="s">
        <v>64</v>
      </c>
      <c r="B7" s="10">
        <v>41.77</v>
      </c>
      <c r="C7" s="10">
        <v>0.44</v>
      </c>
      <c r="D7" s="10">
        <v>116</v>
      </c>
      <c r="E7" s="10">
        <v>69</v>
      </c>
      <c r="F7" s="10">
        <v>43</v>
      </c>
      <c r="G7" s="10">
        <v>59.5</v>
      </c>
      <c r="H7" s="10">
        <v>28.49</v>
      </c>
      <c r="I7" s="10">
        <v>183.33</v>
      </c>
      <c r="J7" s="10">
        <v>106</v>
      </c>
      <c r="K7">
        <f t="shared" si="0"/>
        <v>2.222222222222224E-2</v>
      </c>
    </row>
    <row r="8" spans="1:11">
      <c r="A8" s="10" t="s">
        <v>226</v>
      </c>
      <c r="B8" s="10">
        <v>40.89</v>
      </c>
      <c r="C8" s="10">
        <v>0.45</v>
      </c>
      <c r="D8" s="10">
        <v>120</v>
      </c>
      <c r="E8" s="10">
        <v>71</v>
      </c>
      <c r="F8" s="10">
        <v>37</v>
      </c>
      <c r="G8" s="10">
        <v>59.17</v>
      </c>
      <c r="H8" s="10">
        <v>22.44</v>
      </c>
      <c r="I8" s="10">
        <v>187.67</v>
      </c>
      <c r="J8" s="10">
        <v>53</v>
      </c>
      <c r="K8">
        <f t="shared" si="0"/>
        <v>0</v>
      </c>
    </row>
    <row r="9" spans="1:11">
      <c r="A9" s="10" t="s">
        <v>247</v>
      </c>
      <c r="B9" s="10">
        <v>40.21</v>
      </c>
      <c r="C9" s="10">
        <v>0.45</v>
      </c>
      <c r="D9" s="10">
        <v>126</v>
      </c>
      <c r="E9" s="10">
        <v>73</v>
      </c>
      <c r="F9" s="10">
        <v>39</v>
      </c>
      <c r="G9" s="10">
        <v>58.35</v>
      </c>
      <c r="H9" s="10">
        <v>22.73</v>
      </c>
      <c r="I9" s="10">
        <v>233.93</v>
      </c>
      <c r="J9" s="10">
        <v>118</v>
      </c>
      <c r="K9">
        <f t="shared" si="0"/>
        <v>0.16666666666666671</v>
      </c>
    </row>
    <row r="10" spans="1:11">
      <c r="A10" s="10" t="s">
        <v>19</v>
      </c>
      <c r="B10" s="10">
        <v>45.35</v>
      </c>
      <c r="C10" s="10">
        <v>0.54</v>
      </c>
      <c r="D10" s="10">
        <v>172</v>
      </c>
      <c r="E10" s="10">
        <v>87</v>
      </c>
      <c r="F10" s="10">
        <v>72</v>
      </c>
      <c r="G10" s="10">
        <v>50.38</v>
      </c>
      <c r="H10" s="10">
        <v>35.72</v>
      </c>
      <c r="I10" s="10">
        <v>233.93</v>
      </c>
      <c r="J10" s="10">
        <v>56</v>
      </c>
      <c r="K10">
        <f t="shared" si="0"/>
        <v>0</v>
      </c>
    </row>
    <row r="11" spans="1:11">
      <c r="A11" s="10" t="s">
        <v>192</v>
      </c>
      <c r="B11" s="10">
        <v>41.92</v>
      </c>
      <c r="C11" s="10">
        <v>0.54</v>
      </c>
      <c r="D11" s="10">
        <v>184</v>
      </c>
      <c r="E11" s="10">
        <v>91</v>
      </c>
      <c r="F11" s="10">
        <v>55</v>
      </c>
      <c r="G11" s="10">
        <v>49.51</v>
      </c>
      <c r="H11" s="10">
        <v>23.97</v>
      </c>
      <c r="I11" s="10">
        <v>265.37</v>
      </c>
      <c r="J11" s="10">
        <v>165</v>
      </c>
      <c r="K11">
        <f t="shared" si="0"/>
        <v>0</v>
      </c>
    </row>
    <row r="12" spans="1:11">
      <c r="A12" s="10" t="s">
        <v>160</v>
      </c>
      <c r="B12" s="10">
        <v>39.75</v>
      </c>
      <c r="C12" s="10">
        <v>0.54</v>
      </c>
      <c r="D12" s="10">
        <v>199</v>
      </c>
      <c r="E12" s="10">
        <v>96</v>
      </c>
      <c r="F12" s="10">
        <v>52</v>
      </c>
      <c r="G12" s="10">
        <v>48.12</v>
      </c>
      <c r="H12" s="10">
        <v>20.62</v>
      </c>
      <c r="I12" s="10">
        <v>280.33</v>
      </c>
      <c r="J12" s="10">
        <v>124</v>
      </c>
      <c r="K12">
        <f t="shared" si="0"/>
        <v>1.8181818181818195E-2</v>
      </c>
    </row>
    <row r="13" spans="1:11">
      <c r="A13" s="10" t="s">
        <v>168</v>
      </c>
      <c r="B13" s="10">
        <v>37.33</v>
      </c>
      <c r="C13" s="10">
        <v>0.55000000000000004</v>
      </c>
      <c r="D13" s="10">
        <v>228</v>
      </c>
      <c r="E13" s="10">
        <v>100</v>
      </c>
      <c r="F13" s="10">
        <v>64</v>
      </c>
      <c r="G13" s="10">
        <v>44.03</v>
      </c>
      <c r="H13" s="10">
        <v>23.62</v>
      </c>
      <c r="I13" s="10">
        <v>285.83999999999997</v>
      </c>
      <c r="J13" s="10">
        <v>173</v>
      </c>
      <c r="K13">
        <f t="shared" si="0"/>
        <v>0</v>
      </c>
    </row>
    <row r="14" spans="1:11">
      <c r="A14" s="10" t="s">
        <v>63</v>
      </c>
      <c r="B14" s="10">
        <v>40.86</v>
      </c>
      <c r="C14" s="10">
        <v>0.55000000000000004</v>
      </c>
      <c r="D14" s="10">
        <v>222</v>
      </c>
      <c r="E14" s="10">
        <v>108</v>
      </c>
      <c r="F14" s="10">
        <v>58</v>
      </c>
      <c r="G14" s="10">
        <v>48.81</v>
      </c>
      <c r="H14" s="10">
        <v>21.29</v>
      </c>
      <c r="I14" s="10">
        <v>306.74</v>
      </c>
      <c r="J14" s="10">
        <v>114</v>
      </c>
      <c r="K14">
        <f t="shared" si="0"/>
        <v>0</v>
      </c>
    </row>
    <row r="15" spans="1:11">
      <c r="A15" s="10" t="s">
        <v>14</v>
      </c>
      <c r="B15" s="10">
        <v>44.42</v>
      </c>
      <c r="C15" s="10">
        <v>0.55000000000000004</v>
      </c>
      <c r="D15" s="10">
        <v>229</v>
      </c>
      <c r="E15" s="10">
        <v>114</v>
      </c>
      <c r="F15" s="10">
        <v>62</v>
      </c>
      <c r="G15" s="10">
        <v>49.88</v>
      </c>
      <c r="H15" s="10">
        <v>22.49</v>
      </c>
      <c r="I15" s="10">
        <v>276.16000000000003</v>
      </c>
      <c r="J15" s="10">
        <v>185</v>
      </c>
      <c r="K15">
        <f t="shared" si="0"/>
        <v>0</v>
      </c>
    </row>
    <row r="16" spans="1:11">
      <c r="A16" s="10" t="s">
        <v>288</v>
      </c>
      <c r="B16" s="10">
        <v>40.79</v>
      </c>
      <c r="C16" s="10">
        <v>0.55000000000000004</v>
      </c>
      <c r="D16" s="10">
        <v>236</v>
      </c>
      <c r="E16" s="10">
        <v>117</v>
      </c>
      <c r="F16" s="10">
        <v>73</v>
      </c>
      <c r="G16" s="10">
        <v>49.49</v>
      </c>
      <c r="H16" s="10">
        <v>24.58</v>
      </c>
      <c r="I16" s="10">
        <v>269.8</v>
      </c>
      <c r="J16" s="10">
        <v>141</v>
      </c>
      <c r="K16">
        <f t="shared" si="0"/>
        <v>0</v>
      </c>
    </row>
    <row r="17" spans="1:11">
      <c r="A17" s="10" t="s">
        <v>133</v>
      </c>
      <c r="B17" s="10">
        <v>47.71</v>
      </c>
      <c r="C17" s="10">
        <v>0.55000000000000004</v>
      </c>
      <c r="D17" s="10">
        <v>248</v>
      </c>
      <c r="E17" s="10">
        <v>115</v>
      </c>
      <c r="F17" s="10">
        <v>78</v>
      </c>
      <c r="G17" s="10">
        <v>46.47</v>
      </c>
      <c r="H17" s="10">
        <v>28.69</v>
      </c>
      <c r="I17" s="10">
        <v>245.97</v>
      </c>
      <c r="J17" s="10">
        <v>188</v>
      </c>
      <c r="K17">
        <f t="shared" si="0"/>
        <v>3.5087719298245452E-2</v>
      </c>
    </row>
    <row r="18" spans="1:11">
      <c r="A18" s="10" t="s">
        <v>36</v>
      </c>
      <c r="B18" s="10">
        <v>51.6</v>
      </c>
      <c r="C18" s="10">
        <v>0.56999999999999995</v>
      </c>
      <c r="D18" s="10">
        <v>247</v>
      </c>
      <c r="E18" s="10">
        <v>122</v>
      </c>
      <c r="F18" s="10">
        <v>67</v>
      </c>
      <c r="G18" s="10">
        <v>49.42</v>
      </c>
      <c r="H18" s="10">
        <v>24.5</v>
      </c>
      <c r="I18" s="10">
        <v>213.44</v>
      </c>
      <c r="J18" s="10">
        <v>118</v>
      </c>
      <c r="K18">
        <f t="shared" si="0"/>
        <v>0</v>
      </c>
    </row>
    <row r="19" spans="1:11">
      <c r="A19" s="10" t="s">
        <v>190</v>
      </c>
      <c r="B19" s="10">
        <v>44.39</v>
      </c>
      <c r="C19" s="10">
        <v>0.56999999999999995</v>
      </c>
      <c r="D19" s="10">
        <v>254</v>
      </c>
      <c r="E19" s="10">
        <v>125</v>
      </c>
      <c r="F19" s="10">
        <v>66</v>
      </c>
      <c r="G19" s="10">
        <v>49.32</v>
      </c>
      <c r="H19" s="10">
        <v>23.37</v>
      </c>
      <c r="I19" s="10">
        <v>203.57</v>
      </c>
      <c r="J19" s="10">
        <v>204</v>
      </c>
      <c r="K19">
        <f t="shared" si="0"/>
        <v>0</v>
      </c>
    </row>
    <row r="20" spans="1:11">
      <c r="A20" s="10" t="s">
        <v>256</v>
      </c>
      <c r="B20" s="10">
        <v>47.39</v>
      </c>
      <c r="C20" s="10">
        <v>0.56999999999999995</v>
      </c>
      <c r="D20" s="10">
        <v>259</v>
      </c>
      <c r="E20" s="10">
        <v>130</v>
      </c>
      <c r="F20" s="10">
        <v>67</v>
      </c>
      <c r="G20" s="10">
        <v>50.27</v>
      </c>
      <c r="H20" s="10">
        <v>23.45</v>
      </c>
      <c r="I20" s="10">
        <v>203.65</v>
      </c>
      <c r="J20" s="10">
        <v>151</v>
      </c>
      <c r="K20">
        <f t="shared" si="0"/>
        <v>0</v>
      </c>
    </row>
    <row r="21" spans="1:11">
      <c r="A21" s="10" t="s">
        <v>203</v>
      </c>
      <c r="B21" s="10">
        <v>51.63</v>
      </c>
      <c r="C21" s="10">
        <v>0.56999999999999995</v>
      </c>
      <c r="D21" s="10">
        <v>264</v>
      </c>
      <c r="E21" s="10">
        <v>132</v>
      </c>
      <c r="F21" s="10">
        <v>83</v>
      </c>
      <c r="G21" s="10">
        <v>50.09</v>
      </c>
      <c r="H21" s="10">
        <v>28.89</v>
      </c>
      <c r="I21" s="10">
        <v>205.28</v>
      </c>
      <c r="J21" s="10">
        <v>219</v>
      </c>
      <c r="K21">
        <f t="shared" si="0"/>
        <v>5.0000000000000044E-2</v>
      </c>
    </row>
    <row r="22" spans="1:11">
      <c r="A22" s="10" t="s">
        <v>89</v>
      </c>
      <c r="B22" s="10">
        <v>62.51</v>
      </c>
      <c r="C22" s="10">
        <v>0.6</v>
      </c>
      <c r="D22" s="10">
        <v>267</v>
      </c>
      <c r="E22" s="10">
        <v>132</v>
      </c>
      <c r="F22" s="10">
        <v>70</v>
      </c>
      <c r="G22" s="10">
        <v>49.33</v>
      </c>
      <c r="H22" s="10">
        <v>23.76</v>
      </c>
      <c r="I22" s="10">
        <v>209.72</v>
      </c>
      <c r="J22" s="10">
        <v>136</v>
      </c>
      <c r="K22">
        <f t="shared" si="0"/>
        <v>0</v>
      </c>
    </row>
    <row r="23" spans="1:11">
      <c r="A23" s="10" t="s">
        <v>127</v>
      </c>
      <c r="B23" s="10">
        <v>69.36</v>
      </c>
      <c r="C23" s="10">
        <v>0.6</v>
      </c>
      <c r="D23" s="10">
        <v>271</v>
      </c>
      <c r="E23" s="10">
        <v>132</v>
      </c>
      <c r="F23" s="10">
        <v>76</v>
      </c>
      <c r="G23" s="10">
        <v>48.72</v>
      </c>
      <c r="H23" s="10">
        <v>25.47</v>
      </c>
      <c r="I23" s="10">
        <v>216.32</v>
      </c>
      <c r="J23" s="10">
        <v>225</v>
      </c>
      <c r="K23">
        <f t="shared" si="0"/>
        <v>0</v>
      </c>
    </row>
    <row r="24" spans="1:11">
      <c r="A24" s="10" t="s">
        <v>88</v>
      </c>
      <c r="B24" s="10">
        <v>66.930000000000007</v>
      </c>
      <c r="C24" s="10">
        <v>0.6</v>
      </c>
      <c r="D24" s="10">
        <v>277</v>
      </c>
      <c r="E24" s="10">
        <v>135</v>
      </c>
      <c r="F24" s="10">
        <v>77</v>
      </c>
      <c r="G24" s="10">
        <v>48.88</v>
      </c>
      <c r="H24" s="10">
        <v>25.36</v>
      </c>
      <c r="I24" s="10">
        <v>213</v>
      </c>
      <c r="J24" s="10">
        <v>218</v>
      </c>
      <c r="K24">
        <f t="shared" si="0"/>
        <v>1.6393442622950834E-2</v>
      </c>
    </row>
    <row r="25" spans="1:11">
      <c r="A25" s="10" t="s">
        <v>24</v>
      </c>
      <c r="B25" s="10">
        <v>57.48</v>
      </c>
      <c r="C25" s="10">
        <v>0.61</v>
      </c>
      <c r="D25" s="10">
        <v>288</v>
      </c>
      <c r="E25" s="10">
        <v>139</v>
      </c>
      <c r="F25" s="10">
        <v>92</v>
      </c>
      <c r="G25" s="10">
        <v>48.33</v>
      </c>
      <c r="H25" s="10">
        <v>29.76</v>
      </c>
      <c r="I25" s="10">
        <v>214.02</v>
      </c>
      <c r="J25" s="10">
        <v>225</v>
      </c>
      <c r="K25">
        <f t="shared" si="0"/>
        <v>3.1746031746031772E-2</v>
      </c>
    </row>
    <row r="26" spans="1:11">
      <c r="A26" s="10" t="s">
        <v>55</v>
      </c>
      <c r="B26" s="10">
        <v>59.53</v>
      </c>
      <c r="C26" s="10">
        <v>0.63</v>
      </c>
      <c r="D26" s="10">
        <v>298</v>
      </c>
      <c r="E26" s="10">
        <v>144</v>
      </c>
      <c r="F26" s="10">
        <v>89</v>
      </c>
      <c r="G26" s="10">
        <v>48.41</v>
      </c>
      <c r="H26" s="10">
        <v>24.02</v>
      </c>
      <c r="I26" s="10">
        <v>212.65</v>
      </c>
      <c r="J26" s="10">
        <v>213</v>
      </c>
      <c r="K26">
        <f t="shared" si="0"/>
        <v>0</v>
      </c>
    </row>
    <row r="27" spans="1:11">
      <c r="A27" s="10" t="s">
        <v>183</v>
      </c>
      <c r="B27" s="10">
        <v>55.18</v>
      </c>
      <c r="C27" s="10">
        <v>0.63</v>
      </c>
      <c r="D27" s="10">
        <v>300</v>
      </c>
      <c r="E27" s="10">
        <v>145</v>
      </c>
      <c r="F27" s="10">
        <v>81</v>
      </c>
      <c r="G27" s="10">
        <v>48.24</v>
      </c>
      <c r="H27" s="10">
        <v>27.03</v>
      </c>
      <c r="I27" s="10">
        <v>212.09</v>
      </c>
      <c r="J27" s="10">
        <v>247</v>
      </c>
      <c r="K27">
        <f t="shared" si="0"/>
        <v>1.5625000000000014E-2</v>
      </c>
    </row>
    <row r="28" spans="1:11">
      <c r="A28" s="10" t="s">
        <v>34</v>
      </c>
      <c r="B28" s="10">
        <v>57.19</v>
      </c>
      <c r="C28" s="10">
        <v>0.64</v>
      </c>
      <c r="D28" s="10">
        <v>307</v>
      </c>
      <c r="E28" s="10">
        <v>148</v>
      </c>
      <c r="F28" s="10">
        <v>88</v>
      </c>
      <c r="G28" s="10">
        <v>48.29</v>
      </c>
      <c r="H28" s="10">
        <v>28.65</v>
      </c>
      <c r="I28" s="10">
        <v>211.54</v>
      </c>
      <c r="J28" s="10">
        <v>179</v>
      </c>
      <c r="K28">
        <f t="shared" si="0"/>
        <v>0</v>
      </c>
    </row>
    <row r="29" spans="1:11">
      <c r="A29" s="10" t="s">
        <v>173</v>
      </c>
      <c r="B29" s="10">
        <v>57.02</v>
      </c>
      <c r="C29" s="10">
        <v>0.64</v>
      </c>
      <c r="D29" s="10">
        <v>311</v>
      </c>
      <c r="E29" s="10">
        <v>152</v>
      </c>
      <c r="F29" s="10">
        <v>61</v>
      </c>
      <c r="G29" s="10">
        <v>48.85</v>
      </c>
      <c r="H29" s="10">
        <v>19.59</v>
      </c>
      <c r="I29" s="10">
        <v>205.49</v>
      </c>
      <c r="J29" s="10">
        <v>236</v>
      </c>
      <c r="K29">
        <f t="shared" si="0"/>
        <v>3.0303030303030328E-2</v>
      </c>
    </row>
    <row r="30" spans="1:11">
      <c r="A30" s="10" t="s">
        <v>282</v>
      </c>
      <c r="B30" s="10">
        <v>51.73</v>
      </c>
      <c r="C30" s="10">
        <v>0.66</v>
      </c>
      <c r="D30" s="10">
        <v>318</v>
      </c>
      <c r="E30" s="10">
        <v>155</v>
      </c>
      <c r="F30" s="10">
        <v>83</v>
      </c>
      <c r="G30" s="10">
        <v>48.68</v>
      </c>
      <c r="H30" s="10">
        <v>26.13</v>
      </c>
      <c r="I30" s="10">
        <v>230.64</v>
      </c>
      <c r="J30" s="10">
        <v>214</v>
      </c>
      <c r="K30">
        <f t="shared" si="0"/>
        <v>0</v>
      </c>
    </row>
    <row r="31" spans="1:11">
      <c r="A31" s="10" t="s">
        <v>110</v>
      </c>
      <c r="B31" s="10">
        <v>53.79</v>
      </c>
      <c r="C31" s="10">
        <v>0.66</v>
      </c>
      <c r="D31" s="10">
        <v>329</v>
      </c>
      <c r="E31" s="10">
        <v>161</v>
      </c>
      <c r="F31" s="10">
        <v>96</v>
      </c>
      <c r="G31" s="10">
        <v>48.86</v>
      </c>
      <c r="H31" s="10">
        <v>29.3</v>
      </c>
      <c r="I31" s="10">
        <v>228.79</v>
      </c>
      <c r="J31" s="10">
        <v>264</v>
      </c>
      <c r="K31">
        <f t="shared" si="0"/>
        <v>0</v>
      </c>
    </row>
    <row r="32" spans="1:11">
      <c r="A32" s="10" t="s">
        <v>52</v>
      </c>
      <c r="B32" s="10">
        <v>56.89</v>
      </c>
      <c r="C32" s="10">
        <v>0.66</v>
      </c>
      <c r="D32" s="10">
        <v>338</v>
      </c>
      <c r="E32" s="10">
        <v>169</v>
      </c>
      <c r="F32" s="10">
        <v>99</v>
      </c>
      <c r="G32" s="10">
        <v>49.98</v>
      </c>
      <c r="H32" s="10">
        <v>29.28</v>
      </c>
      <c r="I32" s="10">
        <v>223.1</v>
      </c>
      <c r="J32" s="10">
        <v>213</v>
      </c>
      <c r="K32">
        <f t="shared" si="0"/>
        <v>0</v>
      </c>
    </row>
    <row r="33" spans="1:11">
      <c r="A33" s="10" t="s">
        <v>107</v>
      </c>
      <c r="B33" s="10">
        <v>63.04</v>
      </c>
      <c r="C33" s="10">
        <v>0.66</v>
      </c>
      <c r="D33" s="10">
        <v>343</v>
      </c>
      <c r="E33" s="10">
        <v>153</v>
      </c>
      <c r="F33" s="10">
        <v>85</v>
      </c>
      <c r="G33" s="10">
        <v>44.65</v>
      </c>
      <c r="H33" s="10">
        <v>24.83</v>
      </c>
      <c r="I33" s="10">
        <v>221.48</v>
      </c>
      <c r="J33" s="10">
        <v>251</v>
      </c>
      <c r="K33">
        <f t="shared" si="0"/>
        <v>2.9411764705882377E-2</v>
      </c>
    </row>
    <row r="34" spans="1:11">
      <c r="A34" s="10" t="s">
        <v>18</v>
      </c>
      <c r="B34" s="10">
        <v>73.56</v>
      </c>
      <c r="C34" s="10">
        <v>0.68</v>
      </c>
      <c r="D34" s="10">
        <v>354</v>
      </c>
      <c r="E34" s="10">
        <v>180</v>
      </c>
      <c r="F34" s="10">
        <v>111</v>
      </c>
      <c r="G34" s="10">
        <v>50.82</v>
      </c>
      <c r="H34" s="10">
        <v>31.31</v>
      </c>
      <c r="I34" s="10">
        <v>209.44</v>
      </c>
      <c r="J34" s="10">
        <v>212</v>
      </c>
      <c r="K34">
        <f t="shared" si="0"/>
        <v>0</v>
      </c>
    </row>
    <row r="35" spans="1:11">
      <c r="A35" s="10" t="s">
        <v>222</v>
      </c>
      <c r="B35" s="10">
        <v>68.97</v>
      </c>
      <c r="C35" s="10">
        <v>0.68</v>
      </c>
      <c r="D35" s="10">
        <v>365</v>
      </c>
      <c r="E35" s="10">
        <v>175</v>
      </c>
      <c r="F35" s="10">
        <v>95</v>
      </c>
      <c r="G35" s="10">
        <v>47.91</v>
      </c>
      <c r="H35" s="10">
        <v>26.05</v>
      </c>
      <c r="I35" s="10">
        <v>198.4</v>
      </c>
      <c r="J35" s="10">
        <v>278</v>
      </c>
      <c r="K35">
        <f t="shared" si="0"/>
        <v>0</v>
      </c>
    </row>
    <row r="36" spans="1:11">
      <c r="A36" s="10" t="s">
        <v>170</v>
      </c>
      <c r="B36" s="10">
        <v>76.680000000000007</v>
      </c>
      <c r="C36" s="10">
        <v>0.68</v>
      </c>
      <c r="D36" s="10">
        <v>374</v>
      </c>
      <c r="E36" s="10">
        <v>188</v>
      </c>
      <c r="F36" s="10">
        <v>101</v>
      </c>
      <c r="G36" s="10">
        <v>50.24</v>
      </c>
      <c r="H36" s="10">
        <v>27</v>
      </c>
      <c r="I36" s="10">
        <v>206</v>
      </c>
      <c r="J36" s="10">
        <v>288</v>
      </c>
      <c r="K36">
        <f t="shared" si="0"/>
        <v>0</v>
      </c>
    </row>
    <row r="37" spans="1:11">
      <c r="A37" s="10" t="s">
        <v>250</v>
      </c>
      <c r="B37" s="10">
        <v>73.63</v>
      </c>
      <c r="C37" s="10">
        <v>0.68</v>
      </c>
      <c r="D37" s="10">
        <v>398</v>
      </c>
      <c r="E37" s="10">
        <v>199</v>
      </c>
      <c r="F37" s="10">
        <v>129</v>
      </c>
      <c r="G37" s="10">
        <v>50.15</v>
      </c>
      <c r="H37" s="10">
        <v>32.53</v>
      </c>
      <c r="I37" s="10">
        <v>212.4</v>
      </c>
      <c r="J37" s="10">
        <v>291</v>
      </c>
      <c r="K37">
        <f t="shared" si="0"/>
        <v>2.8571428571428439E-2</v>
      </c>
    </row>
    <row r="38" spans="1:11">
      <c r="A38" s="10" t="s">
        <v>126</v>
      </c>
      <c r="B38" s="10">
        <v>49.86</v>
      </c>
      <c r="C38" s="10">
        <v>0.7</v>
      </c>
      <c r="D38" s="10">
        <v>414</v>
      </c>
      <c r="E38" s="10">
        <v>203</v>
      </c>
      <c r="F38" s="10">
        <v>147</v>
      </c>
      <c r="G38" s="10">
        <v>49.04</v>
      </c>
      <c r="H38" s="10">
        <v>35.44</v>
      </c>
      <c r="I38" s="10">
        <v>196.88</v>
      </c>
      <c r="J38" s="10">
        <v>265</v>
      </c>
      <c r="K38">
        <f t="shared" si="0"/>
        <v>0</v>
      </c>
    </row>
    <row r="39" spans="1:11">
      <c r="A39" s="10" t="s">
        <v>161</v>
      </c>
      <c r="B39" s="10">
        <v>59.5</v>
      </c>
      <c r="C39" s="10">
        <v>0.7</v>
      </c>
      <c r="D39" s="10">
        <v>415</v>
      </c>
      <c r="E39" s="10">
        <v>201</v>
      </c>
      <c r="F39" s="10">
        <v>108</v>
      </c>
      <c r="G39" s="10">
        <v>48.43</v>
      </c>
      <c r="H39" s="10">
        <v>26</v>
      </c>
      <c r="I39" s="10">
        <v>188.83</v>
      </c>
      <c r="J39" s="10">
        <v>249</v>
      </c>
      <c r="K39">
        <f t="shared" si="0"/>
        <v>0</v>
      </c>
    </row>
    <row r="40" spans="1:11">
      <c r="A40" s="10" t="s">
        <v>28</v>
      </c>
      <c r="B40" s="10">
        <v>60.75</v>
      </c>
      <c r="C40" s="10">
        <v>0.7</v>
      </c>
      <c r="D40" s="10">
        <v>405</v>
      </c>
      <c r="E40" s="10">
        <v>194</v>
      </c>
      <c r="F40" s="10">
        <v>23</v>
      </c>
      <c r="G40" s="10">
        <v>47.84</v>
      </c>
      <c r="H40" s="10">
        <v>5.66</v>
      </c>
      <c r="I40" s="10">
        <v>188.97</v>
      </c>
      <c r="J40" s="10">
        <v>295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7"/>
  <dimension ref="A1:K40"/>
  <sheetViews>
    <sheetView zoomScale="55" zoomScaleNormal="55" zoomScaleSheetLayoutView="75" workbookViewId="0">
      <selection activeCell="K2" sqref="K2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  <c r="J1" s="10" t="s">
        <v>308</v>
      </c>
    </row>
    <row r="2" spans="1:11">
      <c r="A2" s="10" t="s">
        <v>32</v>
      </c>
      <c r="B2" s="10">
        <v>38.11</v>
      </c>
      <c r="C2" s="10">
        <v>0.46</v>
      </c>
      <c r="D2" s="10">
        <v>4012</v>
      </c>
      <c r="E2" s="10">
        <v>854</v>
      </c>
      <c r="F2" s="10">
        <v>438</v>
      </c>
      <c r="G2" s="10">
        <v>21.29</v>
      </c>
      <c r="H2" s="10">
        <v>10.52</v>
      </c>
      <c r="I2" s="10">
        <v>80.89</v>
      </c>
      <c r="J2" s="10">
        <v>998</v>
      </c>
      <c r="K2">
        <f t="shared" ref="K2:K39" si="0">(C3-C2)/C3</f>
        <v>2.1276595744680753E-2</v>
      </c>
    </row>
    <row r="3" spans="1:11">
      <c r="A3" s="10" t="s">
        <v>79</v>
      </c>
      <c r="B3" s="10">
        <v>40.380000000000003</v>
      </c>
      <c r="C3" s="10">
        <v>0.47</v>
      </c>
      <c r="D3" s="10">
        <v>4521</v>
      </c>
      <c r="E3" s="10">
        <v>1136</v>
      </c>
      <c r="F3" s="10">
        <v>620</v>
      </c>
      <c r="G3" s="10">
        <v>25.13</v>
      </c>
      <c r="H3" s="10">
        <v>13.36</v>
      </c>
      <c r="I3" s="10">
        <v>78.19</v>
      </c>
      <c r="J3" s="10">
        <v>1391</v>
      </c>
      <c r="K3">
        <f t="shared" si="0"/>
        <v>0</v>
      </c>
    </row>
    <row r="4" spans="1:11">
      <c r="A4" s="10" t="s">
        <v>181</v>
      </c>
      <c r="B4" s="10">
        <v>42.37</v>
      </c>
      <c r="C4" s="10">
        <v>0.47</v>
      </c>
      <c r="D4" s="10">
        <v>5428</v>
      </c>
      <c r="E4" s="10">
        <v>1652</v>
      </c>
      <c r="F4" s="10">
        <v>933</v>
      </c>
      <c r="G4" s="10">
        <v>30.43</v>
      </c>
      <c r="H4" s="10">
        <v>16.88</v>
      </c>
      <c r="I4" s="10">
        <v>76.34</v>
      </c>
      <c r="J4" s="10">
        <v>2209</v>
      </c>
      <c r="K4">
        <f t="shared" si="0"/>
        <v>0</v>
      </c>
    </row>
    <row r="5" spans="1:11">
      <c r="A5" s="10" t="s">
        <v>217</v>
      </c>
      <c r="B5" s="10">
        <v>46.29</v>
      </c>
      <c r="C5" s="10">
        <v>0.47</v>
      </c>
      <c r="D5" s="10">
        <v>3696</v>
      </c>
      <c r="E5" s="10">
        <v>589</v>
      </c>
      <c r="F5" s="10">
        <v>277</v>
      </c>
      <c r="G5" s="10">
        <v>15.94</v>
      </c>
      <c r="H5" s="10">
        <v>7.06</v>
      </c>
      <c r="I5" s="10">
        <v>76.34</v>
      </c>
      <c r="J5" s="10">
        <v>1305</v>
      </c>
      <c r="K5">
        <f t="shared" si="0"/>
        <v>0</v>
      </c>
    </row>
    <row r="6" spans="1:11">
      <c r="A6" s="10" t="s">
        <v>162</v>
      </c>
      <c r="B6" s="10">
        <v>44.93</v>
      </c>
      <c r="C6" s="10">
        <v>0.47</v>
      </c>
      <c r="D6" s="10">
        <v>3604</v>
      </c>
      <c r="E6" s="10">
        <v>766</v>
      </c>
      <c r="F6" s="10">
        <v>384</v>
      </c>
      <c r="G6" s="10">
        <v>21.25</v>
      </c>
      <c r="H6" s="10">
        <v>10.210000000000001</v>
      </c>
      <c r="I6" s="10">
        <v>73.430000000000007</v>
      </c>
      <c r="J6" s="10">
        <v>568</v>
      </c>
      <c r="K6">
        <f t="shared" si="0"/>
        <v>4.0816326530612283E-2</v>
      </c>
    </row>
    <row r="7" spans="1:11">
      <c r="A7" s="10" t="s">
        <v>64</v>
      </c>
      <c r="B7" s="10">
        <v>46.3</v>
      </c>
      <c r="C7" s="10">
        <v>0.49</v>
      </c>
      <c r="D7" s="10">
        <v>4181</v>
      </c>
      <c r="E7" s="10">
        <v>1124</v>
      </c>
      <c r="F7" s="10">
        <v>639</v>
      </c>
      <c r="G7" s="10">
        <v>26.88</v>
      </c>
      <c r="H7" s="10">
        <v>14.9</v>
      </c>
      <c r="I7" s="10">
        <v>76.209999999999994</v>
      </c>
      <c r="J7" s="10">
        <v>1189</v>
      </c>
      <c r="K7">
        <f t="shared" si="0"/>
        <v>0</v>
      </c>
    </row>
    <row r="8" spans="1:11">
      <c r="A8" s="10" t="s">
        <v>226</v>
      </c>
      <c r="B8" s="10">
        <v>46.09</v>
      </c>
      <c r="C8" s="10">
        <v>0.49</v>
      </c>
      <c r="D8" s="10">
        <v>5049</v>
      </c>
      <c r="E8" s="10">
        <v>1740</v>
      </c>
      <c r="F8" s="10">
        <v>993</v>
      </c>
      <c r="G8" s="10">
        <v>34.46</v>
      </c>
      <c r="H8" s="10">
        <v>19.329999999999998</v>
      </c>
      <c r="I8" s="10">
        <v>76.92</v>
      </c>
      <c r="J8" s="10">
        <v>2287</v>
      </c>
      <c r="K8">
        <f t="shared" si="0"/>
        <v>0</v>
      </c>
    </row>
    <row r="9" spans="1:11">
      <c r="A9" s="10" t="s">
        <v>247</v>
      </c>
      <c r="B9" s="10">
        <v>42.81</v>
      </c>
      <c r="C9" s="10">
        <v>0.49</v>
      </c>
      <c r="D9" s="10">
        <v>3703</v>
      </c>
      <c r="E9" s="10">
        <v>814</v>
      </c>
      <c r="F9" s="10">
        <v>399</v>
      </c>
      <c r="G9" s="10">
        <v>21.98</v>
      </c>
      <c r="H9" s="10">
        <v>10.34</v>
      </c>
      <c r="I9" s="10">
        <v>72.75</v>
      </c>
      <c r="J9" s="10">
        <v>854</v>
      </c>
      <c r="K9">
        <f t="shared" si="0"/>
        <v>0</v>
      </c>
    </row>
    <row r="10" spans="1:11">
      <c r="A10" s="10" t="s">
        <v>19</v>
      </c>
      <c r="B10" s="10">
        <v>46.92</v>
      </c>
      <c r="C10" s="10">
        <v>0.49</v>
      </c>
      <c r="D10" s="10">
        <v>3897</v>
      </c>
      <c r="E10" s="10">
        <v>325</v>
      </c>
      <c r="F10" s="10">
        <v>97</v>
      </c>
      <c r="G10" s="10">
        <v>8.34</v>
      </c>
      <c r="H10" s="10">
        <v>2.08</v>
      </c>
      <c r="I10" s="10">
        <v>72.75</v>
      </c>
      <c r="J10" s="10">
        <v>737</v>
      </c>
      <c r="K10">
        <f t="shared" si="0"/>
        <v>3.9215686274509838E-2</v>
      </c>
    </row>
    <row r="11" spans="1:11">
      <c r="A11" s="10" t="s">
        <v>192</v>
      </c>
      <c r="B11" s="10">
        <v>44.13</v>
      </c>
      <c r="C11" s="10">
        <v>0.51</v>
      </c>
      <c r="D11" s="10">
        <v>4246</v>
      </c>
      <c r="E11" s="10">
        <v>640</v>
      </c>
      <c r="F11" s="10">
        <v>313</v>
      </c>
      <c r="G11" s="10">
        <v>15.07</v>
      </c>
      <c r="H11" s="10">
        <v>6.99</v>
      </c>
      <c r="I11" s="10">
        <v>83.76</v>
      </c>
      <c r="J11" s="10">
        <v>1210</v>
      </c>
      <c r="K11">
        <f t="shared" si="0"/>
        <v>0</v>
      </c>
    </row>
    <row r="12" spans="1:11">
      <c r="A12" s="10" t="s">
        <v>160</v>
      </c>
      <c r="B12" s="10">
        <v>41.18</v>
      </c>
      <c r="C12" s="10">
        <v>0.51</v>
      </c>
      <c r="D12" s="10">
        <v>5017</v>
      </c>
      <c r="E12" s="10">
        <v>1491</v>
      </c>
      <c r="F12" s="10">
        <v>869</v>
      </c>
      <c r="G12" s="10">
        <v>29.72</v>
      </c>
      <c r="H12" s="10">
        <v>16.98</v>
      </c>
      <c r="I12" s="10">
        <v>100.38</v>
      </c>
      <c r="J12" s="10">
        <v>2464</v>
      </c>
      <c r="K12">
        <f t="shared" si="0"/>
        <v>0</v>
      </c>
    </row>
    <row r="13" spans="1:11">
      <c r="A13" s="10" t="s">
        <v>168</v>
      </c>
      <c r="B13" s="10">
        <v>41.11</v>
      </c>
      <c r="C13" s="10">
        <v>0.51</v>
      </c>
      <c r="D13" s="10">
        <v>3927</v>
      </c>
      <c r="E13" s="10">
        <v>799</v>
      </c>
      <c r="F13" s="10">
        <v>431</v>
      </c>
      <c r="G13" s="10">
        <v>20.350000000000001</v>
      </c>
      <c r="H13" s="10">
        <v>10.54</v>
      </c>
      <c r="I13" s="10">
        <v>108.42</v>
      </c>
      <c r="J13" s="10">
        <v>1686</v>
      </c>
      <c r="K13">
        <f t="shared" si="0"/>
        <v>0</v>
      </c>
    </row>
    <row r="14" spans="1:11">
      <c r="A14" s="10" t="s">
        <v>63</v>
      </c>
      <c r="B14" s="10">
        <v>43.94</v>
      </c>
      <c r="C14" s="10">
        <v>0.51</v>
      </c>
      <c r="D14" s="10">
        <v>4644</v>
      </c>
      <c r="E14" s="10">
        <v>700</v>
      </c>
      <c r="F14" s="10">
        <v>368</v>
      </c>
      <c r="G14" s="10">
        <v>15.07</v>
      </c>
      <c r="H14" s="10">
        <v>7.56</v>
      </c>
      <c r="I14" s="10">
        <v>107.62</v>
      </c>
      <c r="J14" s="10">
        <v>1103</v>
      </c>
      <c r="K14">
        <f t="shared" si="0"/>
        <v>3.7735849056603807E-2</v>
      </c>
    </row>
    <row r="15" spans="1:11">
      <c r="A15" s="10" t="s">
        <v>14</v>
      </c>
      <c r="B15" s="10">
        <v>45.38</v>
      </c>
      <c r="C15" s="10">
        <v>0.53</v>
      </c>
      <c r="D15" s="10">
        <v>4467</v>
      </c>
      <c r="E15" s="10">
        <v>1103</v>
      </c>
      <c r="F15" s="10">
        <v>628</v>
      </c>
      <c r="G15" s="10">
        <v>24.69</v>
      </c>
      <c r="H15" s="10">
        <v>13.68</v>
      </c>
      <c r="I15" s="10">
        <v>93.55</v>
      </c>
      <c r="J15" s="10">
        <v>967</v>
      </c>
      <c r="K15">
        <f t="shared" si="0"/>
        <v>0</v>
      </c>
    </row>
    <row r="16" spans="1:11">
      <c r="A16" s="10" t="s">
        <v>288</v>
      </c>
      <c r="B16" s="10">
        <v>43.65</v>
      </c>
      <c r="C16" s="10">
        <v>0.53</v>
      </c>
      <c r="D16" s="10">
        <v>5339</v>
      </c>
      <c r="E16" s="10">
        <v>1278</v>
      </c>
      <c r="F16" s="10">
        <v>735</v>
      </c>
      <c r="G16" s="10">
        <v>23.94</v>
      </c>
      <c r="H16" s="10">
        <v>13.45</v>
      </c>
      <c r="I16" s="10">
        <v>81.569999999999993</v>
      </c>
      <c r="J16" s="10">
        <v>2617</v>
      </c>
      <c r="K16">
        <f t="shared" si="0"/>
        <v>0</v>
      </c>
    </row>
    <row r="17" spans="1:11">
      <c r="A17" s="10" t="s">
        <v>133</v>
      </c>
      <c r="B17" s="10">
        <v>49.11</v>
      </c>
      <c r="C17" s="10">
        <v>0.53</v>
      </c>
      <c r="D17" s="10">
        <v>4017</v>
      </c>
      <c r="E17" s="10">
        <v>561</v>
      </c>
      <c r="F17" s="10">
        <v>300</v>
      </c>
      <c r="G17" s="10">
        <v>13.97</v>
      </c>
      <c r="H17" s="10">
        <v>7.05</v>
      </c>
      <c r="I17" s="10">
        <v>88.25</v>
      </c>
      <c r="J17" s="10">
        <v>1128</v>
      </c>
      <c r="K17">
        <f t="shared" si="0"/>
        <v>0</v>
      </c>
    </row>
    <row r="18" spans="1:11">
      <c r="A18" s="10" t="s">
        <v>36</v>
      </c>
      <c r="B18" s="10">
        <v>44.28</v>
      </c>
      <c r="C18" s="10">
        <v>0.53</v>
      </c>
      <c r="D18" s="10">
        <v>4183</v>
      </c>
      <c r="E18" s="10">
        <v>957</v>
      </c>
      <c r="F18" s="10">
        <v>525</v>
      </c>
      <c r="G18" s="10">
        <v>22.88</v>
      </c>
      <c r="H18" s="10">
        <v>12.14</v>
      </c>
      <c r="I18" s="10">
        <v>95.53</v>
      </c>
      <c r="J18" s="10">
        <v>913</v>
      </c>
      <c r="K18">
        <f t="shared" si="0"/>
        <v>1.8518518518518535E-2</v>
      </c>
    </row>
    <row r="19" spans="1:11">
      <c r="A19" s="10" t="s">
        <v>190</v>
      </c>
      <c r="B19" s="10">
        <v>41.9</v>
      </c>
      <c r="C19" s="10">
        <v>0.54</v>
      </c>
      <c r="D19" s="10">
        <v>4337</v>
      </c>
      <c r="E19" s="10">
        <v>1098</v>
      </c>
      <c r="F19" s="10">
        <v>643</v>
      </c>
      <c r="G19" s="10">
        <v>25.32</v>
      </c>
      <c r="H19" s="10">
        <v>14.5</v>
      </c>
      <c r="I19" s="10">
        <v>89.36</v>
      </c>
      <c r="J19" s="10">
        <v>1194</v>
      </c>
      <c r="K19">
        <f t="shared" si="0"/>
        <v>0</v>
      </c>
    </row>
    <row r="20" spans="1:11">
      <c r="A20" s="10" t="s">
        <v>256</v>
      </c>
      <c r="B20" s="10">
        <v>44.7</v>
      </c>
      <c r="C20" s="10">
        <v>0.54</v>
      </c>
      <c r="D20" s="10">
        <v>5401</v>
      </c>
      <c r="E20" s="10">
        <v>1649</v>
      </c>
      <c r="F20" s="10">
        <v>970</v>
      </c>
      <c r="G20" s="10">
        <v>30.53</v>
      </c>
      <c r="H20" s="10">
        <v>17.760000000000002</v>
      </c>
      <c r="I20" s="10">
        <v>89.72</v>
      </c>
      <c r="J20" s="10">
        <v>2981</v>
      </c>
      <c r="K20">
        <f t="shared" si="0"/>
        <v>0</v>
      </c>
    </row>
    <row r="21" spans="1:11">
      <c r="A21" s="10" t="s">
        <v>203</v>
      </c>
      <c r="B21" s="10">
        <v>46.79</v>
      </c>
      <c r="C21" s="10">
        <v>0.54</v>
      </c>
      <c r="D21" s="10">
        <v>3568</v>
      </c>
      <c r="E21" s="10">
        <v>578</v>
      </c>
      <c r="F21" s="10">
        <v>297</v>
      </c>
      <c r="G21" s="10">
        <v>16.2</v>
      </c>
      <c r="H21" s="10">
        <v>7.99</v>
      </c>
      <c r="I21" s="10">
        <v>81.8</v>
      </c>
      <c r="J21" s="10">
        <v>1186</v>
      </c>
      <c r="K21">
        <f t="shared" si="0"/>
        <v>0</v>
      </c>
    </row>
    <row r="22" spans="1:11">
      <c r="A22" s="10" t="s">
        <v>89</v>
      </c>
      <c r="B22" s="10">
        <v>51.73</v>
      </c>
      <c r="C22" s="10">
        <v>0.54</v>
      </c>
      <c r="D22" s="10">
        <v>3965</v>
      </c>
      <c r="E22" s="10">
        <v>933</v>
      </c>
      <c r="F22" s="10">
        <v>496</v>
      </c>
      <c r="G22" s="10">
        <v>23.53</v>
      </c>
      <c r="H22" s="10">
        <v>12.23</v>
      </c>
      <c r="I22" s="10">
        <v>83.11</v>
      </c>
      <c r="J22" s="10">
        <v>865</v>
      </c>
      <c r="K22">
        <f t="shared" si="0"/>
        <v>3.571428571428574E-2</v>
      </c>
    </row>
    <row r="23" spans="1:11">
      <c r="A23" s="10" t="s">
        <v>127</v>
      </c>
      <c r="B23" s="10">
        <v>53.63</v>
      </c>
      <c r="C23" s="10">
        <v>0.56000000000000005</v>
      </c>
      <c r="D23" s="10">
        <v>4459</v>
      </c>
      <c r="E23" s="10">
        <v>1185</v>
      </c>
      <c r="F23" s="10">
        <v>624</v>
      </c>
      <c r="G23" s="10">
        <v>26.58</v>
      </c>
      <c r="H23" s="10">
        <v>13.73</v>
      </c>
      <c r="I23" s="10">
        <v>84.77</v>
      </c>
      <c r="J23" s="10">
        <v>1250</v>
      </c>
      <c r="K23">
        <f t="shared" si="0"/>
        <v>0</v>
      </c>
    </row>
    <row r="24" spans="1:11">
      <c r="A24" s="10" t="s">
        <v>88</v>
      </c>
      <c r="B24" s="10">
        <v>51.3</v>
      </c>
      <c r="C24" s="10">
        <v>0.56000000000000005</v>
      </c>
      <c r="D24" s="10">
        <v>6264</v>
      </c>
      <c r="E24" s="10">
        <v>1917</v>
      </c>
      <c r="F24" s="10">
        <v>1141</v>
      </c>
      <c r="G24" s="10">
        <v>30.6</v>
      </c>
      <c r="H24" s="10">
        <v>18.04</v>
      </c>
      <c r="I24" s="10">
        <v>86.81</v>
      </c>
      <c r="J24" s="10">
        <v>2147</v>
      </c>
      <c r="K24">
        <f t="shared" si="0"/>
        <v>0</v>
      </c>
    </row>
    <row r="25" spans="1:11">
      <c r="A25" s="10" t="s">
        <v>24</v>
      </c>
      <c r="B25" s="10">
        <v>49.19</v>
      </c>
      <c r="C25" s="10">
        <v>0.56000000000000005</v>
      </c>
      <c r="D25" s="10">
        <v>5181</v>
      </c>
      <c r="E25" s="10">
        <v>587</v>
      </c>
      <c r="F25" s="10">
        <v>233</v>
      </c>
      <c r="G25" s="10">
        <v>11.33</v>
      </c>
      <c r="H25" s="10">
        <v>4.28</v>
      </c>
      <c r="I25" s="10">
        <v>83.21</v>
      </c>
      <c r="J25" s="10">
        <v>632</v>
      </c>
      <c r="K25">
        <f t="shared" si="0"/>
        <v>0</v>
      </c>
    </row>
    <row r="26" spans="1:11">
      <c r="A26" s="10" t="s">
        <v>55</v>
      </c>
      <c r="B26" s="10">
        <v>49.78</v>
      </c>
      <c r="C26" s="10">
        <v>0.56000000000000005</v>
      </c>
      <c r="D26" s="10">
        <v>5771</v>
      </c>
      <c r="E26" s="10">
        <v>1306</v>
      </c>
      <c r="F26" s="10">
        <v>669</v>
      </c>
      <c r="G26" s="10">
        <v>22.63</v>
      </c>
      <c r="H26" s="10">
        <v>11.4</v>
      </c>
      <c r="I26" s="10">
        <v>87.16</v>
      </c>
      <c r="J26" s="10">
        <v>897</v>
      </c>
      <c r="K26">
        <f t="shared" si="0"/>
        <v>3.4482758620689495E-2</v>
      </c>
    </row>
    <row r="27" spans="1:11">
      <c r="A27" s="10" t="s">
        <v>183</v>
      </c>
      <c r="B27" s="10">
        <v>47.88</v>
      </c>
      <c r="C27" s="10">
        <v>0.57999999999999996</v>
      </c>
      <c r="D27" s="10">
        <v>5430</v>
      </c>
      <c r="E27" s="10">
        <v>-1594</v>
      </c>
      <c r="F27" s="10">
        <v>-1370</v>
      </c>
      <c r="G27" s="10">
        <v>-29.36</v>
      </c>
      <c r="H27" s="10">
        <v>-25.43</v>
      </c>
      <c r="I27" s="10">
        <v>83.58</v>
      </c>
      <c r="J27" s="10">
        <v>1845</v>
      </c>
      <c r="K27">
        <f t="shared" si="0"/>
        <v>0</v>
      </c>
    </row>
    <row r="28" spans="1:11">
      <c r="A28" s="10" t="s">
        <v>34</v>
      </c>
      <c r="B28" s="10">
        <v>49.14</v>
      </c>
      <c r="C28" s="10">
        <v>0.57999999999999996</v>
      </c>
      <c r="D28" s="10">
        <v>6201</v>
      </c>
      <c r="E28" s="10">
        <v>2045</v>
      </c>
      <c r="F28" s="10">
        <v>1079</v>
      </c>
      <c r="G28" s="10">
        <v>32.979999999999997</v>
      </c>
      <c r="H28" s="10">
        <v>17.239999999999998</v>
      </c>
      <c r="I28" s="10">
        <v>364.52</v>
      </c>
      <c r="J28" s="10">
        <v>2511</v>
      </c>
      <c r="K28">
        <f t="shared" si="0"/>
        <v>0</v>
      </c>
    </row>
    <row r="29" spans="1:11">
      <c r="A29" s="10" t="s">
        <v>173</v>
      </c>
      <c r="B29" s="10">
        <v>48.09</v>
      </c>
      <c r="C29" s="10">
        <v>0.57999999999999996</v>
      </c>
      <c r="D29" s="10">
        <v>5628</v>
      </c>
      <c r="E29" s="10">
        <v>794</v>
      </c>
      <c r="F29" s="10">
        <v>501</v>
      </c>
      <c r="G29" s="10">
        <v>14.11</v>
      </c>
      <c r="H29" s="10">
        <v>8.8000000000000007</v>
      </c>
      <c r="I29" s="10">
        <v>438.46</v>
      </c>
      <c r="J29" s="10">
        <v>1142</v>
      </c>
      <c r="K29">
        <f t="shared" si="0"/>
        <v>0</v>
      </c>
    </row>
    <row r="30" spans="1:11">
      <c r="A30" s="10" t="s">
        <v>282</v>
      </c>
      <c r="B30" s="10">
        <v>44.66</v>
      </c>
      <c r="C30" s="10">
        <v>0.57999999999999996</v>
      </c>
      <c r="D30" s="10">
        <v>6372</v>
      </c>
      <c r="E30" s="10">
        <v>1376</v>
      </c>
      <c r="F30" s="10">
        <v>942</v>
      </c>
      <c r="G30" s="10">
        <v>21.59</v>
      </c>
      <c r="H30" s="10">
        <v>14.72</v>
      </c>
      <c r="I30" s="10">
        <v>273.81</v>
      </c>
      <c r="J30" s="10">
        <v>1509</v>
      </c>
      <c r="K30">
        <f t="shared" si="0"/>
        <v>3.3333333333333368E-2</v>
      </c>
    </row>
    <row r="31" spans="1:11">
      <c r="A31" s="10" t="s">
        <v>110</v>
      </c>
      <c r="B31" s="10">
        <v>46.31</v>
      </c>
      <c r="C31" s="10">
        <v>0.6</v>
      </c>
      <c r="D31" s="10">
        <v>5627</v>
      </c>
      <c r="E31" s="10">
        <v>63</v>
      </c>
      <c r="F31" s="10">
        <v>-150</v>
      </c>
      <c r="G31" s="10">
        <v>1.1200000000000001</v>
      </c>
      <c r="H31" s="10">
        <v>-2.74</v>
      </c>
      <c r="I31" s="10">
        <v>210.91</v>
      </c>
      <c r="J31" s="10">
        <v>1749</v>
      </c>
      <c r="K31">
        <f t="shared" si="0"/>
        <v>0</v>
      </c>
    </row>
    <row r="32" spans="1:11">
      <c r="A32" s="10" t="s">
        <v>52</v>
      </c>
      <c r="B32" s="10">
        <v>43.6</v>
      </c>
      <c r="C32" s="10">
        <v>0.6</v>
      </c>
      <c r="D32" s="10">
        <v>6159</v>
      </c>
      <c r="E32" s="10">
        <v>1857</v>
      </c>
      <c r="F32" s="10">
        <v>1168</v>
      </c>
      <c r="G32" s="10">
        <v>30.15</v>
      </c>
      <c r="H32" s="10">
        <v>18.899999999999999</v>
      </c>
      <c r="I32" s="10">
        <v>100</v>
      </c>
      <c r="J32" s="10">
        <v>2326</v>
      </c>
      <c r="K32">
        <f t="shared" si="0"/>
        <v>0</v>
      </c>
    </row>
    <row r="33" spans="1:11">
      <c r="A33" s="10" t="s">
        <v>107</v>
      </c>
      <c r="B33" s="10">
        <v>43.92</v>
      </c>
      <c r="C33" s="10">
        <v>0.6</v>
      </c>
      <c r="D33" s="10">
        <v>5337</v>
      </c>
      <c r="E33" s="10">
        <v>617</v>
      </c>
      <c r="F33" s="10">
        <v>282</v>
      </c>
      <c r="G33" s="10">
        <v>11.56</v>
      </c>
      <c r="H33" s="10">
        <v>5.21</v>
      </c>
      <c r="I33" s="10">
        <v>98.33</v>
      </c>
      <c r="J33" s="10">
        <v>1361</v>
      </c>
      <c r="K33">
        <f t="shared" si="0"/>
        <v>0</v>
      </c>
    </row>
    <row r="34" spans="1:11">
      <c r="A34" s="10" t="s">
        <v>18</v>
      </c>
      <c r="B34" s="10">
        <v>51.68</v>
      </c>
      <c r="C34" s="10">
        <v>0.6</v>
      </c>
      <c r="D34" s="10">
        <v>5412</v>
      </c>
      <c r="E34" s="10">
        <v>1194</v>
      </c>
      <c r="F34" s="10">
        <v>2088</v>
      </c>
      <c r="G34" s="10">
        <v>22.06</v>
      </c>
      <c r="H34" s="10">
        <v>38.51</v>
      </c>
      <c r="I34" s="10">
        <v>109.68</v>
      </c>
      <c r="J34" s="10">
        <v>744</v>
      </c>
      <c r="K34">
        <f t="shared" si="0"/>
        <v>3.2258064516129059E-2</v>
      </c>
    </row>
    <row r="35" spans="1:11">
      <c r="A35" s="10" t="s">
        <v>222</v>
      </c>
      <c r="B35" s="10">
        <v>55.28</v>
      </c>
      <c r="C35" s="10">
        <v>0.62</v>
      </c>
      <c r="D35" s="10">
        <v>5098</v>
      </c>
      <c r="E35" s="10">
        <v>1334</v>
      </c>
      <c r="F35" s="10">
        <v>902</v>
      </c>
      <c r="G35" s="10">
        <v>26.17</v>
      </c>
      <c r="H35" s="10">
        <v>17.63</v>
      </c>
      <c r="I35" s="10">
        <v>74.069999999999993</v>
      </c>
      <c r="J35" s="10">
        <v>1769</v>
      </c>
      <c r="K35">
        <f t="shared" si="0"/>
        <v>0</v>
      </c>
    </row>
    <row r="36" spans="1:11">
      <c r="A36" s="10" t="s">
        <v>170</v>
      </c>
      <c r="B36" s="10">
        <v>61.77</v>
      </c>
      <c r="C36" s="10">
        <v>0.62</v>
      </c>
      <c r="D36" s="10">
        <v>5995</v>
      </c>
      <c r="E36" s="10">
        <v>2117</v>
      </c>
      <c r="F36" s="10">
        <v>1320</v>
      </c>
      <c r="G36" s="10">
        <v>35.31</v>
      </c>
      <c r="H36" s="10">
        <v>21.95</v>
      </c>
      <c r="I36" s="10">
        <v>57.08</v>
      </c>
      <c r="J36" s="10">
        <v>2368</v>
      </c>
      <c r="K36">
        <f t="shared" si="0"/>
        <v>0</v>
      </c>
    </row>
    <row r="37" spans="1:11">
      <c r="A37" s="10" t="s">
        <v>250</v>
      </c>
      <c r="B37" s="10">
        <v>63.7</v>
      </c>
      <c r="C37" s="10">
        <v>0.62</v>
      </c>
      <c r="D37" s="10">
        <v>4914</v>
      </c>
      <c r="E37" s="10">
        <v>659</v>
      </c>
      <c r="F37" s="10">
        <v>445</v>
      </c>
      <c r="G37" s="10">
        <v>13.41</v>
      </c>
      <c r="H37" s="10">
        <v>8.9700000000000006</v>
      </c>
      <c r="I37" s="10">
        <v>56.09</v>
      </c>
      <c r="J37" s="10">
        <v>900</v>
      </c>
      <c r="K37">
        <f t="shared" si="0"/>
        <v>0</v>
      </c>
    </row>
    <row r="38" spans="1:11">
      <c r="A38" s="10" t="s">
        <v>126</v>
      </c>
      <c r="B38" s="10">
        <v>54.14</v>
      </c>
      <c r="C38" s="10">
        <v>0.62</v>
      </c>
      <c r="D38" s="10">
        <v>5018</v>
      </c>
      <c r="E38" s="10">
        <v>1224</v>
      </c>
      <c r="F38" s="10">
        <v>872</v>
      </c>
      <c r="G38" s="10">
        <v>24.39</v>
      </c>
      <c r="H38" s="10">
        <v>17.3</v>
      </c>
      <c r="I38" s="10">
        <v>54.67</v>
      </c>
      <c r="J38" s="10">
        <v>894</v>
      </c>
      <c r="K38">
        <f t="shared" si="0"/>
        <v>3.1250000000000028E-2</v>
      </c>
    </row>
    <row r="39" spans="1:11">
      <c r="A39" s="10" t="s">
        <v>161</v>
      </c>
      <c r="B39" s="10">
        <v>51.85</v>
      </c>
      <c r="C39" s="10">
        <v>0.64</v>
      </c>
      <c r="D39" s="10">
        <v>4620</v>
      </c>
      <c r="E39" s="10">
        <v>1058</v>
      </c>
      <c r="F39" s="10">
        <v>616</v>
      </c>
      <c r="G39" s="10">
        <v>22.9</v>
      </c>
      <c r="H39" s="10">
        <v>13.25</v>
      </c>
      <c r="I39" s="10">
        <v>74.7</v>
      </c>
      <c r="J39" s="10">
        <v>1953</v>
      </c>
      <c r="K39">
        <f t="shared" si="0"/>
        <v>0</v>
      </c>
    </row>
    <row r="40" spans="1:11">
      <c r="A40" s="10" t="s">
        <v>28</v>
      </c>
      <c r="B40" s="10">
        <v>54.22</v>
      </c>
      <c r="C40" s="10">
        <v>0.64</v>
      </c>
      <c r="D40" s="10">
        <v>5620</v>
      </c>
      <c r="E40" s="10">
        <v>1835</v>
      </c>
      <c r="F40" s="10">
        <v>1255</v>
      </c>
      <c r="G40" s="10">
        <v>32.65</v>
      </c>
      <c r="H40" s="10">
        <v>22.26</v>
      </c>
      <c r="I40" s="10">
        <v>81.97</v>
      </c>
      <c r="J40" s="10">
        <v>2373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8"/>
  <dimension ref="A1:N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4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258</v>
      </c>
      <c r="I1" s="10" t="s">
        <v>27</v>
      </c>
      <c r="J1" s="10" t="s">
        <v>77</v>
      </c>
      <c r="K1" s="10" t="s">
        <v>278</v>
      </c>
      <c r="L1" s="10" t="s">
        <v>128</v>
      </c>
      <c r="M1" s="10" t="s">
        <v>308</v>
      </c>
    </row>
    <row r="2" spans="1:14">
      <c r="A2" s="10" t="s">
        <v>32</v>
      </c>
      <c r="B2" s="10">
        <v>33.92</v>
      </c>
      <c r="C2" s="10">
        <v>38</v>
      </c>
      <c r="D2" s="10">
        <v>33.35</v>
      </c>
      <c r="E2" s="10">
        <v>35.700000000000003</v>
      </c>
      <c r="F2" s="10">
        <v>0.51</v>
      </c>
      <c r="G2" s="10">
        <v>78</v>
      </c>
      <c r="H2" s="10">
        <v>27</v>
      </c>
      <c r="I2" s="10">
        <v>23</v>
      </c>
      <c r="J2" s="10">
        <v>35.25</v>
      </c>
      <c r="K2" s="10">
        <v>30.11</v>
      </c>
      <c r="L2" s="10">
        <v>100.3</v>
      </c>
      <c r="M2" s="10">
        <v>7</v>
      </c>
      <c r="N2">
        <f t="shared" ref="N2:N39" si="0">(F3-F2)/F2</f>
        <v>7.8431372549019676E-2</v>
      </c>
    </row>
    <row r="3" spans="1:14">
      <c r="A3" s="10" t="s">
        <v>79</v>
      </c>
      <c r="B3" s="10">
        <v>38.08</v>
      </c>
      <c r="C3" s="10">
        <v>41.819000000000003</v>
      </c>
      <c r="D3" s="10">
        <v>36.11</v>
      </c>
      <c r="E3" s="10">
        <v>40.496000000000002</v>
      </c>
      <c r="F3" s="10">
        <v>0.55000000000000004</v>
      </c>
      <c r="G3" s="10">
        <v>118</v>
      </c>
      <c r="H3" s="10">
        <v>63</v>
      </c>
      <c r="I3" s="10">
        <v>79</v>
      </c>
      <c r="J3" s="10">
        <v>53.58</v>
      </c>
      <c r="K3" s="10">
        <v>66.819999999999993</v>
      </c>
      <c r="L3" s="10">
        <v>61.72</v>
      </c>
      <c r="M3" s="10">
        <v>39</v>
      </c>
      <c r="N3">
        <f t="shared" si="0"/>
        <v>1.8181818181818195E-2</v>
      </c>
    </row>
    <row r="4" spans="1:14">
      <c r="A4" s="10" t="s">
        <v>181</v>
      </c>
      <c r="B4" s="10">
        <v>40.64</v>
      </c>
      <c r="C4" s="10">
        <v>41.04</v>
      </c>
      <c r="D4" s="10">
        <v>36.43</v>
      </c>
      <c r="E4" s="10">
        <v>36.43</v>
      </c>
      <c r="F4" s="10">
        <v>0.56000000000000005</v>
      </c>
      <c r="G4" s="10">
        <v>78</v>
      </c>
      <c r="H4" s="10">
        <v>25</v>
      </c>
      <c r="I4" s="10">
        <v>25</v>
      </c>
      <c r="J4" s="10">
        <v>31.77</v>
      </c>
      <c r="K4" s="10">
        <v>32.159999999999997</v>
      </c>
      <c r="L4" s="10">
        <v>59.39</v>
      </c>
      <c r="M4" s="10">
        <v>17</v>
      </c>
      <c r="N4">
        <f t="shared" si="0"/>
        <v>0</v>
      </c>
    </row>
    <row r="5" spans="1:14">
      <c r="A5" s="10" t="s">
        <v>217</v>
      </c>
      <c r="B5" s="10">
        <v>39.01</v>
      </c>
      <c r="C5" s="10">
        <v>44.708500000000001</v>
      </c>
      <c r="D5" s="10">
        <v>38.68</v>
      </c>
      <c r="E5" s="10">
        <v>40.94</v>
      </c>
      <c r="F5" s="10">
        <v>0.56000000000000005</v>
      </c>
      <c r="G5" s="10">
        <v>63</v>
      </c>
      <c r="H5" s="10">
        <v>10</v>
      </c>
      <c r="I5" s="10">
        <v>9</v>
      </c>
      <c r="J5" s="10">
        <v>15.59</v>
      </c>
      <c r="K5" s="10">
        <v>14.39</v>
      </c>
      <c r="L5" s="10">
        <v>59.39</v>
      </c>
      <c r="M5" s="10">
        <v>17</v>
      </c>
      <c r="N5">
        <f t="shared" si="0"/>
        <v>1.7857142857142672E-2</v>
      </c>
    </row>
    <row r="6" spans="1:14">
      <c r="A6" s="10" t="s">
        <v>162</v>
      </c>
      <c r="B6" s="10">
        <v>46.51</v>
      </c>
      <c r="C6" s="10">
        <v>49.7</v>
      </c>
      <c r="D6" s="10">
        <v>44.69</v>
      </c>
      <c r="E6" s="10">
        <v>46.516599999999997</v>
      </c>
      <c r="F6" s="10">
        <v>0.56999999999999995</v>
      </c>
      <c r="G6" s="10">
        <v>69</v>
      </c>
      <c r="H6" s="10">
        <v>12</v>
      </c>
      <c r="I6" s="10">
        <v>12</v>
      </c>
      <c r="J6" s="10">
        <v>16.86</v>
      </c>
      <c r="K6" s="10">
        <v>17.71</v>
      </c>
      <c r="L6" s="10">
        <v>62.97</v>
      </c>
      <c r="M6" s="10">
        <v>-4</v>
      </c>
      <c r="N6">
        <f t="shared" si="0"/>
        <v>0</v>
      </c>
    </row>
    <row r="7" spans="1:14">
      <c r="A7" s="10" t="s">
        <v>64</v>
      </c>
      <c r="B7" s="10">
        <v>44.96</v>
      </c>
      <c r="C7" s="10">
        <v>46.71</v>
      </c>
      <c r="D7" s="10">
        <v>43.29</v>
      </c>
      <c r="E7" s="10">
        <v>46.03</v>
      </c>
      <c r="F7" s="10">
        <v>0.56999999999999995</v>
      </c>
      <c r="G7" s="10">
        <v>68</v>
      </c>
      <c r="H7" s="10">
        <v>8</v>
      </c>
      <c r="I7" s="10">
        <v>32</v>
      </c>
      <c r="J7" s="10">
        <v>12.36</v>
      </c>
      <c r="K7" s="10">
        <v>46.7</v>
      </c>
      <c r="L7" s="10">
        <v>68.02</v>
      </c>
      <c r="M7" s="10">
        <v>16</v>
      </c>
      <c r="N7">
        <f t="shared" si="0"/>
        <v>0.14035087719298259</v>
      </c>
    </row>
    <row r="8" spans="1:14">
      <c r="A8" s="10" t="s">
        <v>226</v>
      </c>
      <c r="B8" s="10">
        <v>45.91</v>
      </c>
      <c r="C8" s="10">
        <v>53.85</v>
      </c>
      <c r="D8" s="10">
        <v>43.25</v>
      </c>
      <c r="E8" s="10">
        <v>49</v>
      </c>
      <c r="F8" s="10">
        <v>0.65</v>
      </c>
      <c r="G8" s="10">
        <v>71</v>
      </c>
      <c r="H8" s="10">
        <v>-15</v>
      </c>
      <c r="I8" s="10">
        <v>3</v>
      </c>
      <c r="J8" s="10">
        <v>-21.49</v>
      </c>
      <c r="K8" s="10">
        <v>3.64</v>
      </c>
      <c r="L8" s="10">
        <v>108.94</v>
      </c>
      <c r="M8" s="10">
        <v>20</v>
      </c>
      <c r="N8">
        <f t="shared" si="0"/>
        <v>1.5384615384615398E-2</v>
      </c>
    </row>
    <row r="9" spans="1:14">
      <c r="A9" s="10" t="s">
        <v>247</v>
      </c>
      <c r="B9" s="10">
        <v>48.51</v>
      </c>
      <c r="C9" s="10">
        <v>52.61</v>
      </c>
      <c r="D9" s="10">
        <v>47.45</v>
      </c>
      <c r="E9" s="10">
        <v>52.15</v>
      </c>
      <c r="F9" s="10">
        <v>0.66</v>
      </c>
      <c r="G9" s="10">
        <v>166</v>
      </c>
      <c r="H9" s="10">
        <v>54</v>
      </c>
      <c r="I9" s="10">
        <v>15</v>
      </c>
      <c r="J9" s="10">
        <v>32.53</v>
      </c>
      <c r="K9" s="10">
        <v>9.32</v>
      </c>
      <c r="L9" s="10">
        <v>150.74</v>
      </c>
      <c r="M9" s="10">
        <v>49</v>
      </c>
      <c r="N9">
        <f t="shared" si="0"/>
        <v>0.24242424242424229</v>
      </c>
    </row>
    <row r="10" spans="1:14">
      <c r="A10" s="10" t="s">
        <v>19</v>
      </c>
      <c r="B10" s="10">
        <v>59.29</v>
      </c>
      <c r="C10" s="10">
        <v>68.989999999999995</v>
      </c>
      <c r="D10" s="10">
        <v>59.29</v>
      </c>
      <c r="E10" s="10">
        <v>67.400000000000006</v>
      </c>
      <c r="F10" s="10">
        <v>0.82</v>
      </c>
      <c r="G10" s="10">
        <v>113</v>
      </c>
      <c r="H10" s="10">
        <v>34</v>
      </c>
      <c r="I10" s="10">
        <v>14</v>
      </c>
      <c r="J10" s="10">
        <v>29.71</v>
      </c>
      <c r="K10" s="10">
        <v>12.51</v>
      </c>
      <c r="L10" s="10">
        <v>150.74</v>
      </c>
      <c r="M10" s="10">
        <v>17</v>
      </c>
      <c r="N10">
        <f t="shared" si="0"/>
        <v>2.4390243902439046E-2</v>
      </c>
    </row>
    <row r="11" spans="1:14">
      <c r="A11" s="10" t="s">
        <v>192</v>
      </c>
      <c r="B11" s="10">
        <v>67.599999999999994</v>
      </c>
      <c r="C11" s="10">
        <v>70.44</v>
      </c>
      <c r="D11" s="10">
        <v>61.9</v>
      </c>
      <c r="E11" s="10">
        <v>66.17</v>
      </c>
      <c r="F11" s="10">
        <v>0.84</v>
      </c>
      <c r="G11" s="10">
        <v>119</v>
      </c>
      <c r="H11" s="10">
        <v>34</v>
      </c>
      <c r="I11" s="10">
        <v>43</v>
      </c>
      <c r="J11" s="10">
        <v>28.64</v>
      </c>
      <c r="K11" s="10">
        <v>36.26</v>
      </c>
      <c r="L11" s="10">
        <v>194.03</v>
      </c>
      <c r="M11" s="10">
        <v>54</v>
      </c>
      <c r="N11">
        <f t="shared" si="0"/>
        <v>2.3809523809523832E-2</v>
      </c>
    </row>
    <row r="12" spans="1:14">
      <c r="A12" s="10" t="s">
        <v>160</v>
      </c>
      <c r="B12" s="10">
        <v>66.2</v>
      </c>
      <c r="C12" s="10">
        <v>67.94</v>
      </c>
      <c r="D12" s="10">
        <v>63.2</v>
      </c>
      <c r="E12" s="10">
        <v>64.7</v>
      </c>
      <c r="F12" s="10">
        <v>0.86</v>
      </c>
      <c r="G12" s="10">
        <v>138</v>
      </c>
      <c r="H12" s="10">
        <v>47</v>
      </c>
      <c r="I12" s="10">
        <v>19</v>
      </c>
      <c r="J12" s="10">
        <v>34.03</v>
      </c>
      <c r="K12" s="10">
        <v>13.42</v>
      </c>
      <c r="L12" s="10">
        <v>245.45</v>
      </c>
      <c r="M12" s="10">
        <v>75</v>
      </c>
      <c r="N12">
        <f t="shared" si="0"/>
        <v>1.1627906976744196E-2</v>
      </c>
    </row>
    <row r="13" spans="1:14">
      <c r="A13" s="10" t="s">
        <v>168</v>
      </c>
      <c r="B13" s="10">
        <v>62.6</v>
      </c>
      <c r="C13" s="10">
        <v>63.45</v>
      </c>
      <c r="D13" s="10">
        <v>59.75</v>
      </c>
      <c r="E13" s="10">
        <v>61.35</v>
      </c>
      <c r="F13" s="10">
        <v>0.87</v>
      </c>
      <c r="G13" s="10">
        <v>122</v>
      </c>
      <c r="H13" s="10">
        <v>34</v>
      </c>
      <c r="I13" s="10">
        <v>23</v>
      </c>
      <c r="J13" s="10">
        <v>27.62</v>
      </c>
      <c r="K13" s="10">
        <v>18.8</v>
      </c>
      <c r="L13" s="10">
        <v>256.45</v>
      </c>
      <c r="M13" s="10">
        <v>62</v>
      </c>
      <c r="N13">
        <f t="shared" si="0"/>
        <v>3.4482758620689689E-2</v>
      </c>
    </row>
    <row r="14" spans="1:14">
      <c r="A14" s="10" t="s">
        <v>63</v>
      </c>
      <c r="B14" s="10">
        <v>62.92</v>
      </c>
      <c r="C14" s="10">
        <v>64.959999999999994</v>
      </c>
      <c r="D14" s="10">
        <v>59.26</v>
      </c>
      <c r="E14" s="10">
        <v>60.07</v>
      </c>
      <c r="F14" s="10">
        <v>0.9</v>
      </c>
      <c r="G14" s="10">
        <v>209</v>
      </c>
      <c r="H14" s="10">
        <v>67</v>
      </c>
      <c r="I14" s="10">
        <v>113</v>
      </c>
      <c r="J14" s="10">
        <v>32.049999999999997</v>
      </c>
      <c r="K14" s="10">
        <v>53.97</v>
      </c>
      <c r="L14" s="10">
        <v>280.17</v>
      </c>
      <c r="M14" s="10">
        <v>44</v>
      </c>
      <c r="N14">
        <f t="shared" si="0"/>
        <v>0</v>
      </c>
    </row>
    <row r="15" spans="1:14">
      <c r="A15" s="10" t="s">
        <v>14</v>
      </c>
      <c r="B15" s="10">
        <v>63.74</v>
      </c>
      <c r="C15" s="10">
        <v>65.849999999999994</v>
      </c>
      <c r="D15" s="10">
        <v>63.17</v>
      </c>
      <c r="E15" s="10">
        <v>64.400000000000006</v>
      </c>
      <c r="F15" s="10">
        <v>0.9</v>
      </c>
      <c r="G15" s="10">
        <v>253</v>
      </c>
      <c r="H15" s="10">
        <v>95</v>
      </c>
      <c r="I15" s="10">
        <v>65</v>
      </c>
      <c r="J15" s="10">
        <v>37.47</v>
      </c>
      <c r="K15" s="10">
        <v>25.6</v>
      </c>
      <c r="L15" s="10">
        <v>161.16</v>
      </c>
      <c r="M15" s="10">
        <v>125</v>
      </c>
      <c r="N15">
        <f t="shared" si="0"/>
        <v>4.4444444444444363E-2</v>
      </c>
    </row>
    <row r="16" spans="1:14">
      <c r="A16" s="10" t="s">
        <v>288</v>
      </c>
      <c r="B16" s="10">
        <v>68.27</v>
      </c>
      <c r="C16" s="10">
        <v>70.040000000000006</v>
      </c>
      <c r="D16" s="10">
        <v>63.33</v>
      </c>
      <c r="E16" s="10">
        <v>63.77</v>
      </c>
      <c r="F16" s="10">
        <v>0.94</v>
      </c>
      <c r="G16" s="10">
        <v>196</v>
      </c>
      <c r="H16" s="10">
        <v>73</v>
      </c>
      <c r="I16" s="10">
        <v>27</v>
      </c>
      <c r="J16" s="10">
        <v>37.04</v>
      </c>
      <c r="K16" s="10">
        <v>13.95</v>
      </c>
      <c r="L16" s="10">
        <v>182.64</v>
      </c>
      <c r="M16" s="10">
        <v>109</v>
      </c>
      <c r="N16">
        <f t="shared" si="0"/>
        <v>1.0638297872340436E-2</v>
      </c>
    </row>
    <row r="17" spans="1:14">
      <c r="A17" s="10" t="s">
        <v>133</v>
      </c>
      <c r="B17" s="10">
        <v>68.16</v>
      </c>
      <c r="C17" s="10">
        <v>72.88</v>
      </c>
      <c r="D17" s="10">
        <v>67.78</v>
      </c>
      <c r="E17" s="10">
        <v>70.099999999999994</v>
      </c>
      <c r="F17" s="10">
        <v>0.95</v>
      </c>
      <c r="G17" s="10">
        <v>248</v>
      </c>
      <c r="H17" s="10">
        <v>92</v>
      </c>
      <c r="I17" s="10">
        <v>34</v>
      </c>
      <c r="J17" s="10">
        <v>37.049999999999997</v>
      </c>
      <c r="K17" s="10">
        <v>13.52</v>
      </c>
      <c r="L17" s="10">
        <v>188.74</v>
      </c>
      <c r="M17" s="10">
        <v>122</v>
      </c>
      <c r="N17">
        <f t="shared" si="0"/>
        <v>0</v>
      </c>
    </row>
    <row r="18" spans="1:14">
      <c r="A18" s="10" t="s">
        <v>36</v>
      </c>
      <c r="B18" s="10">
        <v>68.599999999999994</v>
      </c>
      <c r="C18" s="10">
        <v>71.45</v>
      </c>
      <c r="D18" s="10">
        <v>65.459999999999994</v>
      </c>
      <c r="E18" s="10">
        <v>68</v>
      </c>
      <c r="F18" s="10">
        <v>0.95</v>
      </c>
      <c r="G18" s="10">
        <v>220</v>
      </c>
      <c r="H18" s="10">
        <v>88</v>
      </c>
      <c r="I18" s="10">
        <v>36</v>
      </c>
      <c r="J18" s="10">
        <v>40.049999999999997</v>
      </c>
      <c r="K18" s="10">
        <v>16.39</v>
      </c>
      <c r="L18" s="10">
        <v>178.88</v>
      </c>
      <c r="M18" s="10">
        <v>67</v>
      </c>
      <c r="N18">
        <f t="shared" si="0"/>
        <v>0</v>
      </c>
    </row>
    <row r="19" spans="1:14">
      <c r="A19" s="10" t="s">
        <v>190</v>
      </c>
      <c r="B19" s="10">
        <v>64</v>
      </c>
      <c r="C19" s="10">
        <v>64.180000000000007</v>
      </c>
      <c r="D19" s="10">
        <v>58.15</v>
      </c>
      <c r="E19" s="10">
        <v>58.94</v>
      </c>
      <c r="F19" s="10">
        <v>0.95</v>
      </c>
      <c r="G19" s="10">
        <v>238</v>
      </c>
      <c r="H19" s="10">
        <v>110</v>
      </c>
      <c r="I19" s="10">
        <v>63</v>
      </c>
      <c r="J19" s="10">
        <v>46.28</v>
      </c>
      <c r="K19" s="10">
        <v>26.61</v>
      </c>
      <c r="L19" s="10">
        <v>311.88</v>
      </c>
      <c r="M19" s="10">
        <v>149</v>
      </c>
      <c r="N19">
        <f t="shared" si="0"/>
        <v>1.0526315789473694E-2</v>
      </c>
    </row>
    <row r="20" spans="1:14">
      <c r="A20" s="10" t="s">
        <v>256</v>
      </c>
      <c r="B20" s="10">
        <v>57</v>
      </c>
      <c r="C20" s="10">
        <v>60.11</v>
      </c>
      <c r="D20" s="10">
        <v>56.01</v>
      </c>
      <c r="E20" s="10">
        <v>57.81</v>
      </c>
      <c r="F20" s="10">
        <v>0.96</v>
      </c>
      <c r="G20" s="10">
        <v>215</v>
      </c>
      <c r="H20" s="10">
        <v>80</v>
      </c>
      <c r="I20" s="10">
        <v>22</v>
      </c>
      <c r="J20" s="10">
        <v>37.17</v>
      </c>
      <c r="K20" s="10">
        <v>10.130000000000001</v>
      </c>
      <c r="L20" s="10">
        <v>260.02999999999997</v>
      </c>
      <c r="M20" s="10">
        <v>115</v>
      </c>
      <c r="N20">
        <f t="shared" si="0"/>
        <v>0</v>
      </c>
    </row>
    <row r="21" spans="1:14">
      <c r="A21" s="10" t="s">
        <v>203</v>
      </c>
      <c r="B21" s="10">
        <v>62.13</v>
      </c>
      <c r="C21" s="10">
        <v>62.73</v>
      </c>
      <c r="D21" s="10">
        <v>58.28</v>
      </c>
      <c r="E21" s="10">
        <v>59</v>
      </c>
      <c r="F21" s="10">
        <v>0.96</v>
      </c>
      <c r="G21" s="10">
        <v>265</v>
      </c>
      <c r="H21" s="10">
        <v>101</v>
      </c>
      <c r="I21" s="10">
        <v>51</v>
      </c>
      <c r="J21" s="10">
        <v>38.25</v>
      </c>
      <c r="K21" s="10">
        <v>19.25</v>
      </c>
      <c r="L21" s="10">
        <v>270.32</v>
      </c>
      <c r="M21" s="10">
        <v>146</v>
      </c>
      <c r="N21">
        <f t="shared" si="0"/>
        <v>1.0416666666666676E-2</v>
      </c>
    </row>
    <row r="22" spans="1:14">
      <c r="A22" s="10" t="s">
        <v>89</v>
      </c>
      <c r="B22" s="10">
        <v>57.09</v>
      </c>
      <c r="C22" s="10">
        <v>62.27</v>
      </c>
      <c r="D22" s="10">
        <v>56.77</v>
      </c>
      <c r="E22" s="10">
        <v>62.24</v>
      </c>
      <c r="F22" s="10">
        <v>0.97</v>
      </c>
      <c r="G22" s="10">
        <v>270</v>
      </c>
      <c r="H22" s="10">
        <v>107</v>
      </c>
      <c r="I22" s="10">
        <v>57</v>
      </c>
      <c r="J22" s="10">
        <v>39.700000000000003</v>
      </c>
      <c r="K22" s="10">
        <v>21.25</v>
      </c>
      <c r="L22" s="10">
        <v>237.65</v>
      </c>
      <c r="M22" s="10">
        <v>113</v>
      </c>
      <c r="N22">
        <f t="shared" si="0"/>
        <v>1.0309278350515474E-2</v>
      </c>
    </row>
    <row r="23" spans="1:14">
      <c r="A23" s="10" t="s">
        <v>127</v>
      </c>
      <c r="B23" s="10">
        <v>64.06</v>
      </c>
      <c r="C23" s="10">
        <v>69.44</v>
      </c>
      <c r="D23" s="10">
        <v>63.97</v>
      </c>
      <c r="E23" s="10">
        <v>69.42</v>
      </c>
      <c r="F23" s="10">
        <v>0.98</v>
      </c>
      <c r="G23" s="10">
        <v>217</v>
      </c>
      <c r="H23" s="10">
        <v>92</v>
      </c>
      <c r="I23" s="10">
        <v>52</v>
      </c>
      <c r="J23" s="10">
        <v>42.46</v>
      </c>
      <c r="K23" s="10">
        <v>23.78</v>
      </c>
      <c r="L23" s="10">
        <v>212.07</v>
      </c>
      <c r="M23" s="10">
        <v>123</v>
      </c>
      <c r="N23">
        <f t="shared" si="0"/>
        <v>1.0204081632653071E-2</v>
      </c>
    </row>
    <row r="24" spans="1:14">
      <c r="A24" s="10" t="s">
        <v>88</v>
      </c>
      <c r="B24" s="10">
        <v>66.569999999999993</v>
      </c>
      <c r="C24" s="10">
        <v>68.25</v>
      </c>
      <c r="D24" s="10">
        <v>63.826999999999998</v>
      </c>
      <c r="E24" s="10">
        <v>64.53</v>
      </c>
      <c r="F24" s="10">
        <v>0.99</v>
      </c>
      <c r="G24" s="10">
        <v>225</v>
      </c>
      <c r="H24" s="10">
        <v>103</v>
      </c>
      <c r="I24" s="10">
        <v>111</v>
      </c>
      <c r="J24" s="10">
        <v>45.82</v>
      </c>
      <c r="K24" s="10">
        <v>49.25</v>
      </c>
      <c r="L24" s="10">
        <v>252.76</v>
      </c>
      <c r="M24" s="10">
        <v>125</v>
      </c>
      <c r="N24">
        <f t="shared" si="0"/>
        <v>0</v>
      </c>
    </row>
    <row r="25" spans="1:14">
      <c r="A25" s="10" t="s">
        <v>24</v>
      </c>
      <c r="B25" s="10">
        <v>57.75</v>
      </c>
      <c r="C25" s="10">
        <v>60.97</v>
      </c>
      <c r="D25" s="10">
        <v>55.97</v>
      </c>
      <c r="E25" s="10">
        <v>59.09</v>
      </c>
      <c r="F25" s="10">
        <v>0.99</v>
      </c>
      <c r="G25" s="10">
        <v>229</v>
      </c>
      <c r="H25" s="10">
        <v>94</v>
      </c>
      <c r="I25" s="10">
        <v>48</v>
      </c>
      <c r="J25" s="10">
        <v>40.94</v>
      </c>
      <c r="K25" s="10">
        <v>20.85</v>
      </c>
      <c r="L25" s="10">
        <v>203.14</v>
      </c>
      <c r="M25" s="10">
        <v>156</v>
      </c>
      <c r="N25">
        <f t="shared" si="0"/>
        <v>1.0101010101010111E-2</v>
      </c>
    </row>
    <row r="26" spans="1:14">
      <c r="A26" s="10" t="s">
        <v>55</v>
      </c>
      <c r="B26" s="10">
        <v>63.07</v>
      </c>
      <c r="C26" s="10">
        <v>63.07</v>
      </c>
      <c r="D26" s="10">
        <v>59.41</v>
      </c>
      <c r="E26" s="10">
        <v>62.22</v>
      </c>
      <c r="F26" s="10">
        <v>1</v>
      </c>
      <c r="G26" s="10">
        <v>219</v>
      </c>
      <c r="H26" s="10">
        <v>84</v>
      </c>
      <c r="I26" s="10">
        <v>57</v>
      </c>
      <c r="J26" s="10">
        <v>38.46</v>
      </c>
      <c r="K26" s="10">
        <v>26.24</v>
      </c>
      <c r="L26" s="10">
        <v>157.80000000000001</v>
      </c>
      <c r="M26" s="10">
        <v>112</v>
      </c>
      <c r="N26">
        <f t="shared" si="0"/>
        <v>0</v>
      </c>
    </row>
    <row r="27" spans="1:14">
      <c r="A27" s="10" t="s">
        <v>183</v>
      </c>
      <c r="B27" s="10">
        <v>65.12</v>
      </c>
      <c r="C27" s="10">
        <v>68.95</v>
      </c>
      <c r="D27" s="10">
        <v>64.88</v>
      </c>
      <c r="E27" s="10">
        <v>66.010000000000005</v>
      </c>
      <c r="F27" s="10">
        <v>1</v>
      </c>
      <c r="G27" s="10">
        <v>222</v>
      </c>
      <c r="H27" s="10">
        <v>102</v>
      </c>
      <c r="I27" s="10">
        <v>64</v>
      </c>
      <c r="J27" s="10">
        <v>46.16</v>
      </c>
      <c r="K27" s="10">
        <v>29.03</v>
      </c>
      <c r="L27" s="10">
        <v>158.65</v>
      </c>
      <c r="M27" s="10">
        <v>135</v>
      </c>
      <c r="N27">
        <f t="shared" si="0"/>
        <v>1.0000000000000009E-2</v>
      </c>
    </row>
    <row r="28" spans="1:14">
      <c r="A28" s="10" t="s">
        <v>34</v>
      </c>
      <c r="B28" s="10">
        <v>68.98</v>
      </c>
      <c r="C28" s="10">
        <v>70.379800000000003</v>
      </c>
      <c r="D28" s="10">
        <v>66.84</v>
      </c>
      <c r="E28" s="10">
        <v>67.39</v>
      </c>
      <c r="F28" s="10">
        <v>1.01</v>
      </c>
      <c r="G28" s="10">
        <v>211</v>
      </c>
      <c r="H28" s="10">
        <v>97</v>
      </c>
      <c r="I28" s="10">
        <v>80</v>
      </c>
      <c r="J28" s="10">
        <v>46</v>
      </c>
      <c r="K28" s="10">
        <v>38.090000000000003</v>
      </c>
      <c r="L28" s="10">
        <v>144.83000000000001</v>
      </c>
      <c r="M28" s="10">
        <v>135</v>
      </c>
      <c r="N28">
        <f t="shared" si="0"/>
        <v>0</v>
      </c>
    </row>
    <row r="29" spans="1:14">
      <c r="A29" s="10" t="s">
        <v>173</v>
      </c>
      <c r="B29" s="10">
        <v>70.95</v>
      </c>
      <c r="C29" s="10">
        <v>71.64</v>
      </c>
      <c r="D29" s="10">
        <v>68.239999999999995</v>
      </c>
      <c r="E29" s="10">
        <v>68.900000000000006</v>
      </c>
      <c r="F29" s="10">
        <v>1.01</v>
      </c>
      <c r="G29" s="10">
        <v>197</v>
      </c>
      <c r="H29" s="10">
        <v>88</v>
      </c>
      <c r="I29" s="10">
        <v>75</v>
      </c>
      <c r="J29" s="10">
        <v>44.84</v>
      </c>
      <c r="K29" s="10">
        <v>38.18</v>
      </c>
      <c r="L29" s="10">
        <v>146.19999999999999</v>
      </c>
      <c r="M29" s="10">
        <v>134</v>
      </c>
      <c r="N29">
        <f t="shared" si="0"/>
        <v>9.9009900990099098E-3</v>
      </c>
    </row>
    <row r="30" spans="1:14">
      <c r="A30" s="10" t="s">
        <v>282</v>
      </c>
      <c r="B30" s="10">
        <v>60.07</v>
      </c>
      <c r="C30" s="10">
        <v>62.62</v>
      </c>
      <c r="D30" s="10">
        <v>59.4</v>
      </c>
      <c r="E30" s="10">
        <v>61.99</v>
      </c>
      <c r="F30" s="10">
        <v>1.02</v>
      </c>
      <c r="G30" s="10">
        <v>202</v>
      </c>
      <c r="H30" s="10">
        <v>86</v>
      </c>
      <c r="I30" s="10">
        <v>65</v>
      </c>
      <c r="J30" s="10">
        <v>42.43</v>
      </c>
      <c r="K30" s="10">
        <v>32.340000000000003</v>
      </c>
      <c r="L30" s="10">
        <v>156.63999999999999</v>
      </c>
      <c r="M30" s="10">
        <v>103</v>
      </c>
      <c r="N30">
        <f t="shared" si="0"/>
        <v>0</v>
      </c>
    </row>
    <row r="31" spans="1:14">
      <c r="A31" s="10" t="s">
        <v>110</v>
      </c>
      <c r="B31" s="10">
        <v>67.23</v>
      </c>
      <c r="C31" s="10">
        <v>67.87</v>
      </c>
      <c r="D31" s="10">
        <v>64.87</v>
      </c>
      <c r="E31" s="10">
        <v>66.349999999999994</v>
      </c>
      <c r="F31" s="10">
        <v>1.02</v>
      </c>
      <c r="G31" s="10">
        <v>201</v>
      </c>
      <c r="H31" s="10">
        <v>95</v>
      </c>
      <c r="I31" s="10">
        <v>76</v>
      </c>
      <c r="J31" s="10">
        <v>47.05</v>
      </c>
      <c r="K31" s="10">
        <v>37.630000000000003</v>
      </c>
      <c r="L31" s="10">
        <v>156.97</v>
      </c>
      <c r="M31" s="10">
        <v>126</v>
      </c>
      <c r="N31">
        <f t="shared" si="0"/>
        <v>9.8039215686274595E-3</v>
      </c>
    </row>
    <row r="32" spans="1:14">
      <c r="A32" s="10" t="s">
        <v>52</v>
      </c>
      <c r="B32" s="10">
        <v>66.66</v>
      </c>
      <c r="C32" s="10">
        <v>67.11</v>
      </c>
      <c r="D32" s="10">
        <v>63.37</v>
      </c>
      <c r="E32" s="10">
        <v>64.31</v>
      </c>
      <c r="F32" s="10">
        <v>1.03</v>
      </c>
      <c r="G32" s="10">
        <v>209</v>
      </c>
      <c r="H32" s="10">
        <v>100</v>
      </c>
      <c r="I32" s="10">
        <v>77</v>
      </c>
      <c r="J32" s="10">
        <v>47.82</v>
      </c>
      <c r="K32" s="10">
        <v>36.94</v>
      </c>
      <c r="L32" s="10">
        <v>156.22999999999999</v>
      </c>
      <c r="M32" s="10">
        <v>141</v>
      </c>
      <c r="N32">
        <f t="shared" si="0"/>
        <v>0</v>
      </c>
    </row>
    <row r="33" spans="1:14">
      <c r="A33" s="10" t="s">
        <v>107</v>
      </c>
      <c r="B33" s="10">
        <v>67.900000000000006</v>
      </c>
      <c r="C33" s="10">
        <v>71.290000000000006</v>
      </c>
      <c r="D33" s="10">
        <v>63.92</v>
      </c>
      <c r="E33" s="10">
        <v>65.34</v>
      </c>
      <c r="F33" s="10">
        <v>1.03</v>
      </c>
      <c r="G33" s="10">
        <v>273</v>
      </c>
      <c r="H33" s="10">
        <v>125</v>
      </c>
      <c r="I33" s="10">
        <v>193</v>
      </c>
      <c r="J33" s="10">
        <v>45.78</v>
      </c>
      <c r="K33" s="10">
        <v>70.69</v>
      </c>
      <c r="L33" s="10">
        <v>148.55000000000001</v>
      </c>
      <c r="M33" s="10">
        <v>139</v>
      </c>
      <c r="N33">
        <f t="shared" si="0"/>
        <v>0</v>
      </c>
    </row>
    <row r="34" spans="1:14">
      <c r="A34" s="10" t="s">
        <v>18</v>
      </c>
      <c r="B34" s="10">
        <v>73.900000000000006</v>
      </c>
      <c r="C34" s="10">
        <v>79.082499999999996</v>
      </c>
      <c r="D34" s="10">
        <v>72.510000000000005</v>
      </c>
      <c r="E34" s="10">
        <v>78.33</v>
      </c>
      <c r="F34" s="10">
        <v>1.03</v>
      </c>
      <c r="G34" s="10">
        <v>298</v>
      </c>
      <c r="H34" s="10">
        <v>121</v>
      </c>
      <c r="I34" s="10">
        <v>68</v>
      </c>
      <c r="J34" s="10">
        <v>40.479999999999997</v>
      </c>
      <c r="K34" s="10">
        <v>22.96</v>
      </c>
      <c r="L34" s="10">
        <v>117.19</v>
      </c>
      <c r="M34" s="10">
        <v>143</v>
      </c>
      <c r="N34">
        <f t="shared" si="0"/>
        <v>0</v>
      </c>
    </row>
    <row r="35" spans="1:14">
      <c r="A35" s="10" t="s">
        <v>222</v>
      </c>
      <c r="B35" s="10">
        <v>83.26</v>
      </c>
      <c r="C35" s="10">
        <v>86.41</v>
      </c>
      <c r="D35" s="10">
        <v>80.53</v>
      </c>
      <c r="E35" s="10">
        <v>81.180000000000007</v>
      </c>
      <c r="F35" s="10">
        <v>1.03</v>
      </c>
      <c r="G35" s="10">
        <v>305</v>
      </c>
      <c r="H35" s="10">
        <v>127</v>
      </c>
      <c r="I35" s="10">
        <v>66</v>
      </c>
      <c r="J35" s="10">
        <v>41.52</v>
      </c>
      <c r="K35" s="10">
        <v>21.63</v>
      </c>
      <c r="L35" s="10">
        <v>124.45</v>
      </c>
      <c r="M35" s="10">
        <v>185</v>
      </c>
      <c r="N35">
        <f t="shared" si="0"/>
        <v>9.7087378640776777E-3</v>
      </c>
    </row>
    <row r="36" spans="1:14">
      <c r="A36" s="10" t="s">
        <v>170</v>
      </c>
      <c r="B36" s="10">
        <v>89.85</v>
      </c>
      <c r="C36" s="10">
        <v>92.06</v>
      </c>
      <c r="D36" s="10">
        <v>86.13</v>
      </c>
      <c r="E36" s="10">
        <v>89.5</v>
      </c>
      <c r="F36" s="10">
        <v>1.04</v>
      </c>
      <c r="G36" s="10">
        <v>318</v>
      </c>
      <c r="H36" s="10">
        <v>145</v>
      </c>
      <c r="I36" s="10">
        <v>41</v>
      </c>
      <c r="J36" s="10">
        <v>45.74</v>
      </c>
      <c r="K36" s="10">
        <v>13</v>
      </c>
      <c r="L36" s="10">
        <v>138.29</v>
      </c>
      <c r="M36" s="10">
        <v>249</v>
      </c>
      <c r="N36">
        <f t="shared" si="0"/>
        <v>0</v>
      </c>
    </row>
    <row r="37" spans="1:14">
      <c r="A37" s="10" t="s">
        <v>250</v>
      </c>
      <c r="B37" s="10">
        <v>83.24</v>
      </c>
      <c r="C37" s="10">
        <v>83.43</v>
      </c>
      <c r="D37" s="10">
        <v>76.13</v>
      </c>
      <c r="E37" s="10">
        <v>80.040000000000006</v>
      </c>
      <c r="F37" s="10">
        <v>1.04</v>
      </c>
      <c r="G37" s="10">
        <v>311</v>
      </c>
      <c r="H37" s="10">
        <v>141</v>
      </c>
      <c r="I37" s="10">
        <v>129</v>
      </c>
      <c r="J37" s="10">
        <v>45.42</v>
      </c>
      <c r="K37" s="10">
        <v>41.54</v>
      </c>
      <c r="L37" s="10">
        <v>164.62</v>
      </c>
      <c r="M37" s="10">
        <v>235</v>
      </c>
      <c r="N37">
        <f t="shared" si="0"/>
        <v>0</v>
      </c>
    </row>
    <row r="38" spans="1:14">
      <c r="A38" s="10" t="s">
        <v>126</v>
      </c>
      <c r="B38" s="10">
        <v>77.819999999999993</v>
      </c>
      <c r="C38" s="10">
        <v>84.669899999999998</v>
      </c>
      <c r="D38" s="10">
        <v>38.619999999999997</v>
      </c>
      <c r="E38" s="10">
        <v>58.08</v>
      </c>
      <c r="F38" s="10">
        <v>1.04</v>
      </c>
      <c r="G38" s="10">
        <v>309</v>
      </c>
      <c r="H38" s="10">
        <v>136</v>
      </c>
      <c r="I38" s="10">
        <v>66</v>
      </c>
      <c r="J38" s="10">
        <v>43.89</v>
      </c>
      <c r="K38" s="10">
        <v>21.39</v>
      </c>
      <c r="L38" s="10">
        <v>232.58</v>
      </c>
      <c r="M38" s="10">
        <v>180</v>
      </c>
      <c r="N38">
        <f t="shared" si="0"/>
        <v>0</v>
      </c>
    </row>
    <row r="39" spans="1:14">
      <c r="A39" s="10" t="s">
        <v>161</v>
      </c>
      <c r="B39" s="10">
        <v>60.2</v>
      </c>
      <c r="C39" s="10">
        <v>76.12</v>
      </c>
      <c r="D39" s="10">
        <v>60.2</v>
      </c>
      <c r="E39" s="10">
        <v>67.650000000000006</v>
      </c>
      <c r="F39" s="10">
        <v>1.04</v>
      </c>
      <c r="G39" s="10">
        <v>291</v>
      </c>
      <c r="H39" s="10">
        <v>133</v>
      </c>
      <c r="I39" s="10">
        <v>105</v>
      </c>
      <c r="J39" s="10">
        <v>45.86</v>
      </c>
      <c r="K39" s="10">
        <v>36.24</v>
      </c>
      <c r="L39" s="10">
        <v>237.03</v>
      </c>
      <c r="M39" s="10">
        <v>160</v>
      </c>
      <c r="N39">
        <f t="shared" si="0"/>
        <v>0</v>
      </c>
    </row>
    <row r="40" spans="1:14">
      <c r="A40" s="10" t="s">
        <v>28</v>
      </c>
      <c r="B40" s="10">
        <v>69.11</v>
      </c>
      <c r="C40" s="10">
        <v>72.55</v>
      </c>
      <c r="D40" s="10">
        <v>62.25</v>
      </c>
      <c r="E40" s="10">
        <v>65.16</v>
      </c>
      <c r="F40" s="10">
        <v>1.04</v>
      </c>
      <c r="G40" s="10">
        <v>302</v>
      </c>
      <c r="H40" s="10">
        <v>140</v>
      </c>
      <c r="I40" s="10">
        <v>149</v>
      </c>
      <c r="J40" s="10">
        <v>46.16</v>
      </c>
      <c r="K40" s="10">
        <v>49.4</v>
      </c>
      <c r="L40" s="10">
        <v>209.9</v>
      </c>
      <c r="M40" s="10">
        <v>217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9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30.54</v>
      </c>
      <c r="C2" s="10">
        <v>30.75</v>
      </c>
      <c r="D2" s="10">
        <v>28.41</v>
      </c>
      <c r="E2" s="10">
        <v>29.05</v>
      </c>
      <c r="F2" s="10">
        <v>0.1</v>
      </c>
      <c r="G2" s="10">
        <v>2198</v>
      </c>
      <c r="H2" s="10">
        <v>126</v>
      </c>
      <c r="I2" s="10">
        <v>5.73</v>
      </c>
      <c r="J2" s="10">
        <v>11.05</v>
      </c>
      <c r="K2" s="10">
        <v>300</v>
      </c>
      <c r="L2">
        <f t="shared" ref="L2:L39" si="0">(F3-F2)/F2</f>
        <v>0</v>
      </c>
    </row>
    <row r="3" spans="1:12">
      <c r="A3" s="10" t="s">
        <v>181</v>
      </c>
      <c r="B3" s="10">
        <v>24.36</v>
      </c>
      <c r="C3" s="10">
        <v>24.65</v>
      </c>
      <c r="D3" s="10">
        <v>21.62</v>
      </c>
      <c r="E3" s="10">
        <v>22.47</v>
      </c>
      <c r="F3" s="10">
        <v>0.1</v>
      </c>
      <c r="G3" s="10">
        <v>2175</v>
      </c>
      <c r="H3" s="10">
        <v>75</v>
      </c>
      <c r="I3" s="10">
        <v>3.45</v>
      </c>
      <c r="J3" s="10">
        <v>11.58</v>
      </c>
      <c r="K3" s="10">
        <v>401</v>
      </c>
      <c r="L3">
        <f t="shared" si="0"/>
        <v>0</v>
      </c>
    </row>
    <row r="4" spans="1:12">
      <c r="A4" s="10" t="s">
        <v>217</v>
      </c>
      <c r="B4" s="10">
        <v>26</v>
      </c>
      <c r="C4" s="10">
        <v>27.21</v>
      </c>
      <c r="D4" s="10">
        <v>25.45</v>
      </c>
      <c r="E4" s="10">
        <v>26.75</v>
      </c>
      <c r="F4" s="10">
        <v>0.1</v>
      </c>
      <c r="G4" s="10">
        <v>2259</v>
      </c>
      <c r="H4" s="10">
        <v>190</v>
      </c>
      <c r="I4" s="10">
        <v>8.41</v>
      </c>
      <c r="J4" s="10">
        <v>11.58</v>
      </c>
      <c r="K4" s="10">
        <v>889</v>
      </c>
      <c r="L4">
        <f t="shared" si="0"/>
        <v>0.49999999999999989</v>
      </c>
    </row>
    <row r="5" spans="1:12">
      <c r="A5" s="10" t="s">
        <v>162</v>
      </c>
      <c r="B5" s="10">
        <v>28.34</v>
      </c>
      <c r="C5" s="10">
        <v>29.9</v>
      </c>
      <c r="D5" s="10">
        <v>27.93</v>
      </c>
      <c r="E5" s="10">
        <v>29.33</v>
      </c>
      <c r="F5" s="10">
        <v>0.15</v>
      </c>
      <c r="G5" s="10">
        <v>2401</v>
      </c>
      <c r="H5" s="10">
        <v>250</v>
      </c>
      <c r="I5" s="10">
        <v>10.41</v>
      </c>
      <c r="J5" s="10">
        <v>17.54</v>
      </c>
      <c r="K5" s="10">
        <v>312</v>
      </c>
      <c r="L5">
        <f t="shared" si="0"/>
        <v>0</v>
      </c>
    </row>
    <row r="6" spans="1:12">
      <c r="A6" s="10" t="s">
        <v>64</v>
      </c>
      <c r="B6" s="10">
        <v>28</v>
      </c>
      <c r="C6" s="10">
        <v>28.86</v>
      </c>
      <c r="D6" s="10">
        <v>26.75</v>
      </c>
      <c r="E6" s="10">
        <v>27.72</v>
      </c>
      <c r="F6" s="10">
        <v>0.15</v>
      </c>
      <c r="G6" s="10">
        <v>2246</v>
      </c>
      <c r="H6" s="10">
        <v>166</v>
      </c>
      <c r="I6" s="10">
        <v>7.39</v>
      </c>
      <c r="J6" s="10">
        <v>18.829999999999998</v>
      </c>
      <c r="K6" s="10">
        <v>306</v>
      </c>
      <c r="L6">
        <f t="shared" si="0"/>
        <v>0</v>
      </c>
    </row>
    <row r="7" spans="1:12">
      <c r="A7" s="10" t="s">
        <v>226</v>
      </c>
      <c r="B7" s="10">
        <v>25.99</v>
      </c>
      <c r="C7" s="10">
        <v>28.49</v>
      </c>
      <c r="D7" s="10">
        <v>25.95</v>
      </c>
      <c r="E7" s="10">
        <v>26.8</v>
      </c>
      <c r="F7" s="10">
        <v>0.15</v>
      </c>
      <c r="G7" s="10">
        <v>2466</v>
      </c>
      <c r="H7" s="10">
        <v>221</v>
      </c>
      <c r="I7" s="10">
        <v>8.9600000000000009</v>
      </c>
      <c r="J7" s="10">
        <v>19.690000000000001</v>
      </c>
      <c r="K7" s="10">
        <v>375</v>
      </c>
      <c r="L7">
        <f t="shared" si="0"/>
        <v>0</v>
      </c>
    </row>
    <row r="8" spans="1:12">
      <c r="A8" s="10" t="s">
        <v>247</v>
      </c>
      <c r="B8" s="10">
        <v>28.35</v>
      </c>
      <c r="C8" s="10">
        <v>28.8</v>
      </c>
      <c r="D8" s="10">
        <v>27.54</v>
      </c>
      <c r="E8" s="10">
        <v>28.01</v>
      </c>
      <c r="F8" s="10">
        <v>0.15</v>
      </c>
      <c r="G8" s="10">
        <v>2434</v>
      </c>
      <c r="H8" s="10">
        <v>-9</v>
      </c>
      <c r="I8" s="10">
        <v>-0.37</v>
      </c>
      <c r="J8" s="10">
        <v>25.75</v>
      </c>
      <c r="K8" s="10">
        <v>257</v>
      </c>
      <c r="L8">
        <f t="shared" si="0"/>
        <v>0.33333333333333348</v>
      </c>
    </row>
    <row r="9" spans="1:12">
      <c r="A9" s="10" t="s">
        <v>19</v>
      </c>
      <c r="B9" s="10">
        <v>31.29</v>
      </c>
      <c r="C9" s="10">
        <v>32.72</v>
      </c>
      <c r="D9" s="10">
        <v>31.1</v>
      </c>
      <c r="E9" s="10">
        <v>32.69</v>
      </c>
      <c r="F9" s="10">
        <v>0.2</v>
      </c>
      <c r="G9" s="10">
        <v>2503</v>
      </c>
      <c r="H9" s="10">
        <v>250</v>
      </c>
      <c r="I9" s="10">
        <v>9.99</v>
      </c>
      <c r="J9" s="10">
        <v>25.75</v>
      </c>
      <c r="K9" s="10">
        <v>191</v>
      </c>
      <c r="L9">
        <f t="shared" si="0"/>
        <v>0</v>
      </c>
    </row>
    <row r="10" spans="1:12">
      <c r="A10" s="10" t="s">
        <v>192</v>
      </c>
      <c r="B10" s="10">
        <v>34.22</v>
      </c>
      <c r="C10" s="10">
        <v>34.380000000000003</v>
      </c>
      <c r="D10" s="10">
        <v>30.18</v>
      </c>
      <c r="E10" s="10">
        <v>32.619999999999997</v>
      </c>
      <c r="F10" s="10">
        <v>0.2</v>
      </c>
      <c r="G10" s="10">
        <v>2493</v>
      </c>
      <c r="H10" s="10">
        <v>194</v>
      </c>
      <c r="I10" s="10">
        <v>7.78</v>
      </c>
      <c r="J10" s="10">
        <v>27.9</v>
      </c>
      <c r="K10" s="10">
        <v>378</v>
      </c>
      <c r="L10">
        <f t="shared" si="0"/>
        <v>0</v>
      </c>
    </row>
    <row r="11" spans="1:12">
      <c r="A11" s="10" t="s">
        <v>160</v>
      </c>
      <c r="B11" s="10">
        <v>35.61</v>
      </c>
      <c r="C11" s="10">
        <v>38.450000000000003</v>
      </c>
      <c r="D11" s="10">
        <v>35.130000000000003</v>
      </c>
      <c r="E11" s="10">
        <v>38.18</v>
      </c>
      <c r="F11" s="10">
        <v>0.2</v>
      </c>
      <c r="G11" s="10">
        <v>2504</v>
      </c>
      <c r="H11" s="10">
        <v>272</v>
      </c>
      <c r="I11" s="10">
        <v>10.86</v>
      </c>
      <c r="J11" s="10">
        <v>28.81</v>
      </c>
      <c r="K11" s="10">
        <v>352</v>
      </c>
      <c r="L11">
        <f t="shared" si="0"/>
        <v>0</v>
      </c>
    </row>
    <row r="12" spans="1:12">
      <c r="A12" s="10" t="s">
        <v>168</v>
      </c>
      <c r="B12" s="10">
        <v>41.62</v>
      </c>
      <c r="C12" s="10">
        <v>42.93</v>
      </c>
      <c r="D12" s="10">
        <v>40.54</v>
      </c>
      <c r="E12" s="10">
        <v>42.89</v>
      </c>
      <c r="F12" s="10">
        <v>0.2</v>
      </c>
      <c r="G12" s="10">
        <v>2613</v>
      </c>
      <c r="H12" s="10">
        <v>221</v>
      </c>
      <c r="I12" s="10">
        <v>8.4600000000000009</v>
      </c>
      <c r="J12" s="10">
        <v>28.63</v>
      </c>
      <c r="K12" s="10">
        <v>283</v>
      </c>
      <c r="L12">
        <f t="shared" si="0"/>
        <v>0.24999999999999994</v>
      </c>
    </row>
    <row r="13" spans="1:12">
      <c r="A13" s="10" t="s">
        <v>63</v>
      </c>
      <c r="B13" s="10">
        <v>41.22</v>
      </c>
      <c r="C13" s="10">
        <v>43.02</v>
      </c>
      <c r="D13" s="10">
        <v>41</v>
      </c>
      <c r="E13" s="10">
        <v>42.72</v>
      </c>
      <c r="F13" s="10">
        <v>0.25</v>
      </c>
      <c r="G13" s="10">
        <v>2463</v>
      </c>
      <c r="H13" s="10">
        <v>13</v>
      </c>
      <c r="I13" s="10">
        <v>0.53</v>
      </c>
      <c r="J13" s="10">
        <v>23.05</v>
      </c>
      <c r="K13" s="10">
        <v>168</v>
      </c>
      <c r="L13">
        <f t="shared" si="0"/>
        <v>0</v>
      </c>
    </row>
    <row r="14" spans="1:12">
      <c r="A14" s="10" t="s">
        <v>14</v>
      </c>
      <c r="B14" s="10">
        <v>39.94</v>
      </c>
      <c r="C14" s="10">
        <v>40.96</v>
      </c>
      <c r="D14" s="10">
        <v>39.049999999999997</v>
      </c>
      <c r="E14" s="10">
        <v>40.42</v>
      </c>
      <c r="F14" s="10">
        <v>0.25</v>
      </c>
      <c r="G14" s="10">
        <v>2440</v>
      </c>
      <c r="H14" s="10">
        <v>267</v>
      </c>
      <c r="I14" s="10">
        <v>10.94</v>
      </c>
      <c r="J14" s="10">
        <v>25.07</v>
      </c>
      <c r="K14" s="10">
        <v>419</v>
      </c>
      <c r="L14">
        <f t="shared" si="0"/>
        <v>0</v>
      </c>
    </row>
    <row r="15" spans="1:12">
      <c r="A15" s="10" t="s">
        <v>288</v>
      </c>
      <c r="B15" s="10">
        <v>38.909999999999997</v>
      </c>
      <c r="C15" s="10">
        <v>39.22</v>
      </c>
      <c r="D15" s="10">
        <v>37.51</v>
      </c>
      <c r="E15" s="10">
        <v>38.03</v>
      </c>
      <c r="F15" s="10">
        <v>0.25</v>
      </c>
      <c r="G15" s="10">
        <v>2411</v>
      </c>
      <c r="H15" s="10">
        <v>213</v>
      </c>
      <c r="I15" s="10">
        <v>8.83</v>
      </c>
      <c r="J15" s="10">
        <v>24.66</v>
      </c>
      <c r="K15" s="10">
        <v>460</v>
      </c>
      <c r="L15">
        <f t="shared" si="0"/>
        <v>0</v>
      </c>
    </row>
    <row r="16" spans="1:12">
      <c r="A16" s="10" t="s">
        <v>133</v>
      </c>
      <c r="B16" s="10">
        <v>38.79</v>
      </c>
      <c r="C16" s="10">
        <v>39.909999999999997</v>
      </c>
      <c r="D16" s="10">
        <v>36.82</v>
      </c>
      <c r="E16" s="10">
        <v>38.71</v>
      </c>
      <c r="F16" s="10">
        <v>0.25</v>
      </c>
      <c r="G16" s="10">
        <v>2378</v>
      </c>
      <c r="H16" s="10">
        <v>198</v>
      </c>
      <c r="I16" s="10">
        <v>8.33</v>
      </c>
      <c r="J16" s="10">
        <v>27.78</v>
      </c>
      <c r="K16" s="10">
        <v>393</v>
      </c>
      <c r="L16">
        <f t="shared" si="0"/>
        <v>0</v>
      </c>
    </row>
    <row r="17" spans="1:12">
      <c r="A17" s="10" t="s">
        <v>36</v>
      </c>
      <c r="B17" s="10">
        <v>41.93</v>
      </c>
      <c r="C17" s="10">
        <v>42.2</v>
      </c>
      <c r="D17" s="10">
        <v>40.08</v>
      </c>
      <c r="E17" s="10">
        <v>41.43</v>
      </c>
      <c r="F17" s="10">
        <v>0.25</v>
      </c>
      <c r="G17" s="10">
        <v>2352</v>
      </c>
      <c r="H17" s="10">
        <v>233</v>
      </c>
      <c r="I17" s="10">
        <v>9.91</v>
      </c>
      <c r="J17" s="10">
        <v>30.49</v>
      </c>
      <c r="K17" s="10">
        <v>94</v>
      </c>
      <c r="L17">
        <f t="shared" si="0"/>
        <v>0</v>
      </c>
    </row>
    <row r="18" spans="1:12">
      <c r="A18" s="10" t="s">
        <v>190</v>
      </c>
      <c r="B18" s="10">
        <v>38.81</v>
      </c>
      <c r="C18" s="10">
        <v>39.75</v>
      </c>
      <c r="D18" s="10">
        <v>37.869999999999997</v>
      </c>
      <c r="E18" s="10">
        <v>38.21</v>
      </c>
      <c r="F18" s="10">
        <v>0.25</v>
      </c>
      <c r="G18" s="10">
        <v>2327</v>
      </c>
      <c r="H18" s="10">
        <v>138</v>
      </c>
      <c r="I18" s="10">
        <v>5.93</v>
      </c>
      <c r="J18" s="10">
        <v>30.03</v>
      </c>
      <c r="K18" s="10">
        <v>446</v>
      </c>
      <c r="L18">
        <f t="shared" si="0"/>
        <v>0</v>
      </c>
    </row>
    <row r="19" spans="1:12">
      <c r="A19" s="10" t="s">
        <v>256</v>
      </c>
      <c r="B19" s="10">
        <v>35.28</v>
      </c>
      <c r="C19" s="10">
        <v>36.24</v>
      </c>
      <c r="D19" s="10">
        <v>34.14</v>
      </c>
      <c r="E19" s="10">
        <v>34.93</v>
      </c>
      <c r="F19" s="10">
        <v>0.25</v>
      </c>
      <c r="G19" s="10">
        <v>2153</v>
      </c>
      <c r="H19" s="10">
        <v>178</v>
      </c>
      <c r="I19" s="10">
        <v>8.27</v>
      </c>
      <c r="J19" s="10">
        <v>34.840000000000003</v>
      </c>
      <c r="K19" s="10">
        <v>505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</v>
      </c>
      <c r="D20" s="10">
        <v>34.119999999999997</v>
      </c>
      <c r="E20" s="10">
        <v>35.15</v>
      </c>
      <c r="F20" s="10">
        <v>0.25</v>
      </c>
      <c r="G20" s="10">
        <v>2269</v>
      </c>
      <c r="H20" s="10">
        <v>-70</v>
      </c>
      <c r="I20" s="10">
        <v>-3.09</v>
      </c>
      <c r="J20" s="10">
        <v>36.229999999999997</v>
      </c>
      <c r="K20" s="10">
        <v>342</v>
      </c>
      <c r="L20">
        <f t="shared" si="0"/>
        <v>0</v>
      </c>
    </row>
    <row r="21" spans="1:12">
      <c r="A21" s="10" t="s">
        <v>89</v>
      </c>
      <c r="B21" s="10">
        <v>29.27</v>
      </c>
      <c r="C21" s="10">
        <v>32.61</v>
      </c>
      <c r="D21" s="10">
        <v>29.18</v>
      </c>
      <c r="E21" s="10">
        <v>32.18</v>
      </c>
      <c r="F21" s="10">
        <v>0.25</v>
      </c>
      <c r="G21" s="10">
        <v>2195</v>
      </c>
      <c r="H21" s="10">
        <v>66</v>
      </c>
      <c r="I21" s="10">
        <v>3.01</v>
      </c>
      <c r="J21" s="10">
        <v>56.5</v>
      </c>
      <c r="K21" s="10">
        <v>334</v>
      </c>
      <c r="L21">
        <f t="shared" si="0"/>
        <v>0</v>
      </c>
    </row>
    <row r="22" spans="1:12">
      <c r="A22" s="10" t="s">
        <v>127</v>
      </c>
      <c r="B22" s="10">
        <v>32.74</v>
      </c>
      <c r="C22" s="10">
        <v>32.94</v>
      </c>
      <c r="D22" s="10">
        <v>29.375</v>
      </c>
      <c r="E22" s="10">
        <v>31.42</v>
      </c>
      <c r="F22" s="10">
        <v>0.25</v>
      </c>
      <c r="G22" s="10">
        <v>2348</v>
      </c>
      <c r="H22" s="10">
        <v>209</v>
      </c>
      <c r="I22" s="10">
        <v>8.9</v>
      </c>
      <c r="J22" s="10">
        <v>86.96</v>
      </c>
      <c r="K22" s="10">
        <v>279</v>
      </c>
      <c r="L22">
        <f t="shared" si="0"/>
        <v>0</v>
      </c>
    </row>
    <row r="23" spans="1:12">
      <c r="A23" s="10" t="s">
        <v>88</v>
      </c>
      <c r="B23" s="10">
        <v>33.33</v>
      </c>
      <c r="C23" s="10">
        <v>35.119999999999997</v>
      </c>
      <c r="D23" s="10">
        <v>32.36</v>
      </c>
      <c r="E23" s="10">
        <v>34.409999999999997</v>
      </c>
      <c r="F23" s="10">
        <v>0.25</v>
      </c>
      <c r="G23" s="10">
        <v>2433</v>
      </c>
      <c r="H23" s="10">
        <v>343</v>
      </c>
      <c r="I23" s="10">
        <v>14.1</v>
      </c>
      <c r="J23" s="10">
        <v>70.42</v>
      </c>
      <c r="K23" s="10">
        <v>507</v>
      </c>
      <c r="L23">
        <f t="shared" si="0"/>
        <v>0</v>
      </c>
    </row>
    <row r="24" spans="1:12">
      <c r="A24" s="10" t="s">
        <v>24</v>
      </c>
      <c r="B24" s="10">
        <v>38.409999999999997</v>
      </c>
      <c r="C24" s="10">
        <v>42.27</v>
      </c>
      <c r="D24" s="10">
        <v>37.880000000000003</v>
      </c>
      <c r="E24" s="10">
        <v>41.5</v>
      </c>
      <c r="F24" s="10">
        <v>0.25</v>
      </c>
      <c r="G24" s="10">
        <v>2390</v>
      </c>
      <c r="H24" s="10">
        <v>241</v>
      </c>
      <c r="I24" s="10">
        <v>10.08</v>
      </c>
      <c r="J24" s="10">
        <v>49.5</v>
      </c>
      <c r="K24" s="10">
        <v>296</v>
      </c>
      <c r="L24">
        <f t="shared" si="0"/>
        <v>0</v>
      </c>
    </row>
    <row r="25" spans="1:12">
      <c r="A25" s="10" t="s">
        <v>55</v>
      </c>
      <c r="B25" s="10">
        <v>43.3</v>
      </c>
      <c r="C25" s="10">
        <v>44.88</v>
      </c>
      <c r="D25" s="10">
        <v>42.34</v>
      </c>
      <c r="E25" s="10">
        <v>44.17</v>
      </c>
      <c r="F25" s="10">
        <v>0.25</v>
      </c>
      <c r="G25" s="10">
        <v>2330</v>
      </c>
      <c r="H25" s="10">
        <v>260</v>
      </c>
      <c r="I25" s="10">
        <v>11.16</v>
      </c>
      <c r="J25" s="10">
        <v>31.55</v>
      </c>
      <c r="K25" s="10">
        <v>282</v>
      </c>
      <c r="L25">
        <f t="shared" si="0"/>
        <v>0</v>
      </c>
    </row>
    <row r="26" spans="1:12">
      <c r="A26" s="10" t="s">
        <v>183</v>
      </c>
      <c r="B26" s="10">
        <v>45.75</v>
      </c>
      <c r="C26" s="10">
        <v>48.95</v>
      </c>
      <c r="D26" s="10">
        <v>45.545999999999999</v>
      </c>
      <c r="E26" s="10">
        <v>48.75</v>
      </c>
      <c r="F26" s="10">
        <v>0.25</v>
      </c>
      <c r="G26" s="10">
        <v>2366</v>
      </c>
      <c r="H26" s="10">
        <v>272</v>
      </c>
      <c r="I26" s="10">
        <v>11.5</v>
      </c>
      <c r="J26" s="10">
        <v>25.71</v>
      </c>
      <c r="K26" s="10">
        <v>233</v>
      </c>
      <c r="L26">
        <f t="shared" si="0"/>
        <v>0.19999999999999996</v>
      </c>
    </row>
    <row r="27" spans="1:12">
      <c r="A27" s="10" t="s">
        <v>34</v>
      </c>
      <c r="B27" s="10">
        <v>49.29</v>
      </c>
      <c r="C27" s="10">
        <v>50.32</v>
      </c>
      <c r="D27" s="10">
        <v>46.0916</v>
      </c>
      <c r="E27" s="10">
        <v>50.25</v>
      </c>
      <c r="F27" s="10">
        <v>0.3</v>
      </c>
      <c r="G27" s="10">
        <v>2398</v>
      </c>
      <c r="H27" s="10">
        <v>144</v>
      </c>
      <c r="I27" s="10">
        <v>6.01</v>
      </c>
      <c r="J27" s="10">
        <v>24.33</v>
      </c>
      <c r="K27" s="10">
        <v>379</v>
      </c>
      <c r="L27">
        <f t="shared" si="0"/>
        <v>0</v>
      </c>
    </row>
    <row r="28" spans="1:12">
      <c r="A28" s="10" t="s">
        <v>173</v>
      </c>
      <c r="B28" s="10">
        <v>54.36</v>
      </c>
      <c r="C28" s="10">
        <v>54.825000000000003</v>
      </c>
      <c r="D28" s="10">
        <v>51.98</v>
      </c>
      <c r="E28" s="10">
        <v>53.05</v>
      </c>
      <c r="F28" s="10">
        <v>0.3</v>
      </c>
      <c r="G28" s="10">
        <v>2448</v>
      </c>
      <c r="H28" s="10">
        <v>223</v>
      </c>
      <c r="I28" s="10">
        <v>9.11</v>
      </c>
      <c r="J28" s="10">
        <v>31.16</v>
      </c>
      <c r="K28" s="10">
        <v>360</v>
      </c>
      <c r="L28">
        <f t="shared" si="0"/>
        <v>0</v>
      </c>
    </row>
    <row r="29" spans="1:12">
      <c r="A29" s="10" t="s">
        <v>282</v>
      </c>
      <c r="B29" s="10">
        <v>51.04</v>
      </c>
      <c r="C29" s="10">
        <v>53.76</v>
      </c>
      <c r="D29" s="10">
        <v>48.88</v>
      </c>
      <c r="E29" s="10">
        <v>49.35</v>
      </c>
      <c r="F29" s="10">
        <v>0.3</v>
      </c>
      <c r="G29" s="10">
        <v>2535</v>
      </c>
      <c r="H29" s="10">
        <v>291</v>
      </c>
      <c r="I29" s="10">
        <v>11.48</v>
      </c>
      <c r="J29" s="10">
        <v>33.33</v>
      </c>
      <c r="K29" s="10">
        <v>218</v>
      </c>
      <c r="L29">
        <f t="shared" si="0"/>
        <v>0</v>
      </c>
    </row>
    <row r="30" spans="1:12">
      <c r="A30" s="10" t="s">
        <v>110</v>
      </c>
      <c r="B30" s="10">
        <v>47.14</v>
      </c>
      <c r="C30" s="10">
        <v>48.704999999999998</v>
      </c>
      <c r="D30" s="10">
        <v>45.094999999999999</v>
      </c>
      <c r="E30" s="10">
        <v>45.68</v>
      </c>
      <c r="F30" s="10">
        <v>0.3</v>
      </c>
      <c r="G30" s="10">
        <v>2574</v>
      </c>
      <c r="H30" s="10">
        <v>270</v>
      </c>
      <c r="I30" s="10">
        <v>10.49</v>
      </c>
      <c r="J30" s="10">
        <v>33.72</v>
      </c>
      <c r="K30" s="10">
        <v>136</v>
      </c>
      <c r="L30">
        <f t="shared" si="0"/>
        <v>0.16666666666666663</v>
      </c>
    </row>
    <row r="31" spans="1:12">
      <c r="A31" s="10" t="s">
        <v>52</v>
      </c>
      <c r="B31" s="10">
        <v>44.85</v>
      </c>
      <c r="C31" s="10">
        <v>47.84</v>
      </c>
      <c r="D31" s="10">
        <v>44.57</v>
      </c>
      <c r="E31" s="10">
        <v>45.65</v>
      </c>
      <c r="F31" s="10">
        <v>0.35</v>
      </c>
      <c r="G31" s="10">
        <v>2622</v>
      </c>
      <c r="H31" s="10">
        <v>336</v>
      </c>
      <c r="I31" s="10">
        <v>12.81</v>
      </c>
      <c r="J31" s="10">
        <v>35.29</v>
      </c>
      <c r="K31" s="10">
        <v>514</v>
      </c>
      <c r="L31">
        <f t="shared" si="0"/>
        <v>0</v>
      </c>
    </row>
    <row r="32" spans="1:12">
      <c r="A32" s="10" t="s">
        <v>107</v>
      </c>
      <c r="B32" s="10">
        <v>47.25</v>
      </c>
      <c r="C32" s="10">
        <v>47.52</v>
      </c>
      <c r="D32" s="10">
        <v>41.49</v>
      </c>
      <c r="E32" s="10">
        <v>44.15</v>
      </c>
      <c r="F32" s="10">
        <v>0.35</v>
      </c>
      <c r="G32" s="10">
        <v>2403</v>
      </c>
      <c r="H32" s="10">
        <v>-84</v>
      </c>
      <c r="I32" s="10">
        <v>-3.5</v>
      </c>
      <c r="J32" s="10">
        <v>30.41</v>
      </c>
      <c r="K32" s="10">
        <v>359</v>
      </c>
      <c r="L32">
        <f t="shared" si="0"/>
        <v>0</v>
      </c>
    </row>
    <row r="33" spans="1:12">
      <c r="A33" s="10" t="s">
        <v>18</v>
      </c>
      <c r="B33" s="10">
        <v>43.53</v>
      </c>
      <c r="C33" s="10">
        <v>44.46</v>
      </c>
      <c r="D33" s="10">
        <v>42.28</v>
      </c>
      <c r="E33" s="10">
        <v>43.35</v>
      </c>
      <c r="F33" s="10">
        <v>0.35</v>
      </c>
      <c r="G33" s="10">
        <v>2695</v>
      </c>
      <c r="H33" s="10">
        <v>342</v>
      </c>
      <c r="I33" s="10">
        <v>12.69</v>
      </c>
      <c r="J33" s="10">
        <v>43.62</v>
      </c>
      <c r="K33" s="10">
        <v>287</v>
      </c>
      <c r="L33">
        <f t="shared" si="0"/>
        <v>0</v>
      </c>
    </row>
    <row r="34" spans="1:12">
      <c r="A34" s="10" t="s">
        <v>222</v>
      </c>
      <c r="B34" s="10">
        <v>44.82</v>
      </c>
      <c r="C34" s="10">
        <v>47.91</v>
      </c>
      <c r="D34" s="10">
        <v>44.787100000000002</v>
      </c>
      <c r="E34" s="10">
        <v>47.07</v>
      </c>
      <c r="F34" s="10">
        <v>0.35</v>
      </c>
      <c r="G34" s="10">
        <v>2610</v>
      </c>
      <c r="H34" s="10">
        <v>278</v>
      </c>
      <c r="I34" s="10">
        <v>10.65</v>
      </c>
      <c r="J34" s="10">
        <v>42.72</v>
      </c>
      <c r="K34" s="10">
        <v>227</v>
      </c>
      <c r="L34">
        <f t="shared" si="0"/>
        <v>0</v>
      </c>
    </row>
    <row r="35" spans="1:12">
      <c r="A35" s="10" t="s">
        <v>170</v>
      </c>
      <c r="B35" s="10">
        <v>46.91</v>
      </c>
      <c r="C35" s="10">
        <v>50.47</v>
      </c>
      <c r="D35" s="10">
        <v>46.57</v>
      </c>
      <c r="E35" s="10">
        <v>49.25</v>
      </c>
      <c r="F35" s="10">
        <v>0.35</v>
      </c>
      <c r="G35" s="10">
        <v>2685</v>
      </c>
      <c r="H35" s="10">
        <v>107</v>
      </c>
      <c r="I35" s="10">
        <v>3.99</v>
      </c>
      <c r="J35" s="10">
        <v>43.75</v>
      </c>
      <c r="K35" s="10">
        <v>466</v>
      </c>
      <c r="L35">
        <f t="shared" si="0"/>
        <v>0</v>
      </c>
    </row>
    <row r="36" spans="1:12">
      <c r="A36" s="10" t="s">
        <v>250</v>
      </c>
      <c r="B36" s="10">
        <v>44.83</v>
      </c>
      <c r="C36" s="10">
        <v>45.55</v>
      </c>
      <c r="D36" s="10">
        <v>42.96</v>
      </c>
      <c r="E36" s="10">
        <v>44.81</v>
      </c>
      <c r="F36" s="10">
        <v>0.35</v>
      </c>
      <c r="G36" s="10">
        <v>2777</v>
      </c>
      <c r="H36" s="10">
        <v>273</v>
      </c>
      <c r="I36" s="10">
        <v>9.83</v>
      </c>
      <c r="J36" s="10">
        <v>59.32</v>
      </c>
      <c r="K36" s="10">
        <v>160</v>
      </c>
      <c r="L36">
        <f t="shared" si="0"/>
        <v>5.7142857142857197E-2</v>
      </c>
    </row>
    <row r="37" spans="1:12">
      <c r="A37" s="10" t="s">
        <v>126</v>
      </c>
      <c r="B37" s="10">
        <v>41.59</v>
      </c>
      <c r="C37" s="10">
        <v>44.771999999999998</v>
      </c>
      <c r="D37" s="10">
        <v>26.52</v>
      </c>
      <c r="E37" s="10">
        <v>31.04</v>
      </c>
      <c r="F37" s="10">
        <v>0.37</v>
      </c>
      <c r="G37" s="10">
        <v>2291</v>
      </c>
      <c r="H37" s="10">
        <v>-61</v>
      </c>
      <c r="I37" s="10">
        <v>-2.66</v>
      </c>
      <c r="J37" s="10">
        <v>38.15</v>
      </c>
      <c r="K37" s="10">
        <v>212</v>
      </c>
      <c r="L37">
        <f t="shared" si="0"/>
        <v>0</v>
      </c>
    </row>
    <row r="38" spans="1:12">
      <c r="A38" s="10" t="s">
        <v>161</v>
      </c>
      <c r="B38" s="10">
        <v>30.3</v>
      </c>
      <c r="C38" s="10">
        <v>35.299999999999997</v>
      </c>
      <c r="D38" s="10">
        <v>29.57</v>
      </c>
      <c r="E38" s="10">
        <v>32.15</v>
      </c>
      <c r="F38" s="10">
        <v>0.37</v>
      </c>
      <c r="G38" s="10">
        <v>2766</v>
      </c>
      <c r="H38" s="10">
        <v>151</v>
      </c>
      <c r="I38" s="10">
        <v>5.46</v>
      </c>
      <c r="J38" s="10">
        <v>64.84</v>
      </c>
      <c r="K38" s="10">
        <v>438</v>
      </c>
      <c r="L38">
        <f t="shared" si="0"/>
        <v>0</v>
      </c>
    </row>
    <row r="39" spans="1:12">
      <c r="A39" s="10" t="s">
        <v>28</v>
      </c>
      <c r="B39" s="10">
        <v>31.86</v>
      </c>
      <c r="C39" s="10">
        <v>33.56</v>
      </c>
      <c r="D39" s="10">
        <v>29.39</v>
      </c>
      <c r="E39" s="10">
        <v>29.99</v>
      </c>
      <c r="F39" s="10">
        <v>0.37</v>
      </c>
      <c r="G39" s="10">
        <v>2820</v>
      </c>
      <c r="H39" s="10">
        <v>213</v>
      </c>
      <c r="I39" s="10">
        <v>7.55</v>
      </c>
      <c r="J39" s="10">
        <v>83.72</v>
      </c>
      <c r="K39" s="10">
        <v>758</v>
      </c>
      <c r="L39">
        <f t="shared" si="0"/>
        <v>0</v>
      </c>
    </row>
    <row r="40" spans="1:12">
      <c r="A40" s="10" t="s">
        <v>212</v>
      </c>
      <c r="B40" s="10">
        <v>35.130000000000003</v>
      </c>
      <c r="C40" s="10">
        <v>39.119999999999997</v>
      </c>
      <c r="D40" s="10">
        <v>34.85</v>
      </c>
      <c r="E40" s="10">
        <v>38.96</v>
      </c>
      <c r="F40" s="10">
        <v>0.37</v>
      </c>
      <c r="G40" s="10">
        <v>2810</v>
      </c>
      <c r="H40" s="10">
        <v>387</v>
      </c>
      <c r="I40" s="10">
        <v>13.77</v>
      </c>
      <c r="J40" s="10">
        <v>69.19</v>
      </c>
      <c r="K40" s="10">
        <v>367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0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26.18</v>
      </c>
      <c r="C2" s="10">
        <v>26.22</v>
      </c>
      <c r="D2" s="10">
        <v>24.29</v>
      </c>
      <c r="E2" s="10">
        <v>25.48</v>
      </c>
      <c r="F2" s="10">
        <v>0.09</v>
      </c>
      <c r="G2" s="10">
        <v>2565</v>
      </c>
      <c r="H2" s="10">
        <v>230</v>
      </c>
      <c r="I2" s="10">
        <v>8.9600000000000009</v>
      </c>
      <c r="J2" s="10">
        <v>12.98</v>
      </c>
      <c r="K2" s="10">
        <v>315</v>
      </c>
      <c r="L2">
        <f t="shared" ref="L2:L39" si="0">(F3-F2)/F2</f>
        <v>0.22222222222222227</v>
      </c>
    </row>
    <row r="3" spans="1:12">
      <c r="A3" s="10" t="s">
        <v>181</v>
      </c>
      <c r="B3" s="10">
        <v>23.57</v>
      </c>
      <c r="C3" s="10">
        <v>23.74</v>
      </c>
      <c r="D3" s="10">
        <v>20.239999999999998</v>
      </c>
      <c r="E3" s="10">
        <v>20.96</v>
      </c>
      <c r="F3" s="10">
        <v>0.11</v>
      </c>
      <c r="G3" s="10">
        <v>2546</v>
      </c>
      <c r="H3" s="10">
        <v>206</v>
      </c>
      <c r="I3" s="10">
        <v>8.08</v>
      </c>
      <c r="J3" s="10">
        <v>13.37</v>
      </c>
      <c r="K3" s="10">
        <v>173</v>
      </c>
      <c r="L3">
        <f t="shared" si="0"/>
        <v>0</v>
      </c>
    </row>
    <row r="4" spans="1:12">
      <c r="A4" s="10" t="s">
        <v>217</v>
      </c>
      <c r="B4" s="10">
        <v>22.01</v>
      </c>
      <c r="C4" s="10">
        <v>22.610800000000001</v>
      </c>
      <c r="D4" s="10">
        <v>19.88</v>
      </c>
      <c r="E4" s="10">
        <v>21.07</v>
      </c>
      <c r="F4" s="10">
        <v>0.11</v>
      </c>
      <c r="G4" s="10">
        <v>2605</v>
      </c>
      <c r="H4" s="10">
        <v>-425</v>
      </c>
      <c r="I4" s="10">
        <v>-16.329999999999998</v>
      </c>
      <c r="J4" s="10">
        <v>13.37</v>
      </c>
      <c r="K4" s="10">
        <v>405</v>
      </c>
      <c r="L4">
        <f t="shared" si="0"/>
        <v>0</v>
      </c>
    </row>
    <row r="5" spans="1:12">
      <c r="A5" s="10" t="s">
        <v>162</v>
      </c>
      <c r="B5" s="10">
        <v>23.09</v>
      </c>
      <c r="C5" s="10">
        <v>24.81</v>
      </c>
      <c r="D5" s="10">
        <v>22.975000000000001</v>
      </c>
      <c r="E5" s="10">
        <v>24.48</v>
      </c>
      <c r="F5" s="10">
        <v>0.11</v>
      </c>
      <c r="G5" s="10">
        <v>2611</v>
      </c>
      <c r="H5" s="10">
        <v>214</v>
      </c>
      <c r="I5" s="10">
        <v>8.19</v>
      </c>
      <c r="J5" s="10">
        <v>50.64</v>
      </c>
      <c r="K5" s="10">
        <v>329</v>
      </c>
      <c r="L5">
        <f t="shared" si="0"/>
        <v>0</v>
      </c>
    </row>
    <row r="6" spans="1:12">
      <c r="A6" s="10" t="s">
        <v>64</v>
      </c>
      <c r="B6" s="10">
        <v>19.5</v>
      </c>
      <c r="C6" s="10">
        <v>20.28</v>
      </c>
      <c r="D6" s="10">
        <v>18.37</v>
      </c>
      <c r="E6" s="10">
        <v>19.13</v>
      </c>
      <c r="F6" s="10">
        <v>0.11</v>
      </c>
      <c r="G6" s="10">
        <v>2618</v>
      </c>
      <c r="H6" s="10">
        <v>216</v>
      </c>
      <c r="I6" s="10">
        <v>8.27</v>
      </c>
      <c r="J6" s="10">
        <v>50.94</v>
      </c>
      <c r="K6" s="10">
        <v>350</v>
      </c>
      <c r="L6">
        <f t="shared" si="0"/>
        <v>0.18181818181818185</v>
      </c>
    </row>
    <row r="7" spans="1:12">
      <c r="A7" s="10" t="s">
        <v>226</v>
      </c>
      <c r="B7" s="10">
        <v>19.510000000000002</v>
      </c>
      <c r="C7" s="10">
        <v>20.92</v>
      </c>
      <c r="D7" s="10">
        <v>18.97</v>
      </c>
      <c r="E7" s="10">
        <v>19.22</v>
      </c>
      <c r="F7" s="10">
        <v>0.13</v>
      </c>
      <c r="G7" s="10">
        <v>2628</v>
      </c>
      <c r="H7" s="10">
        <v>230</v>
      </c>
      <c r="I7" s="10">
        <v>8.76</v>
      </c>
      <c r="J7" s="10">
        <v>51.22</v>
      </c>
      <c r="K7" s="10">
        <v>275</v>
      </c>
      <c r="L7">
        <f t="shared" si="0"/>
        <v>0</v>
      </c>
    </row>
    <row r="8" spans="1:12">
      <c r="A8" s="10" t="s">
        <v>247</v>
      </c>
      <c r="B8" s="10">
        <v>20.51</v>
      </c>
      <c r="C8" s="10">
        <v>21.35</v>
      </c>
      <c r="D8" s="10">
        <v>20.350000000000001</v>
      </c>
      <c r="E8" s="10">
        <v>20.82</v>
      </c>
      <c r="F8" s="10">
        <v>0.13</v>
      </c>
      <c r="G8" s="10">
        <v>2658</v>
      </c>
      <c r="H8" s="10">
        <v>234</v>
      </c>
      <c r="I8" s="10">
        <v>8.8000000000000007</v>
      </c>
      <c r="J8" s="10">
        <v>14.83</v>
      </c>
      <c r="K8" s="10">
        <v>426</v>
      </c>
      <c r="L8">
        <f t="shared" si="0"/>
        <v>0</v>
      </c>
    </row>
    <row r="9" spans="1:12">
      <c r="A9" s="10" t="s">
        <v>19</v>
      </c>
      <c r="B9" s="10">
        <v>24.32</v>
      </c>
      <c r="C9" s="10">
        <v>28.34</v>
      </c>
      <c r="D9" s="10">
        <v>24</v>
      </c>
      <c r="E9" s="10">
        <v>28.25</v>
      </c>
      <c r="F9" s="10">
        <v>0.13</v>
      </c>
      <c r="G9" s="10">
        <v>2625</v>
      </c>
      <c r="H9" s="10">
        <v>213</v>
      </c>
      <c r="I9" s="10">
        <v>8.1</v>
      </c>
      <c r="J9" s="10">
        <v>14.83</v>
      </c>
      <c r="K9" s="10">
        <v>265</v>
      </c>
      <c r="L9">
        <f t="shared" si="0"/>
        <v>0</v>
      </c>
    </row>
    <row r="10" spans="1:12">
      <c r="A10" s="10" t="s">
        <v>192</v>
      </c>
      <c r="B10" s="10">
        <v>28.49</v>
      </c>
      <c r="C10" s="10">
        <v>29.92</v>
      </c>
      <c r="D10" s="10">
        <v>27.31</v>
      </c>
      <c r="E10" s="10">
        <v>29.37</v>
      </c>
      <c r="F10" s="10">
        <v>0.13</v>
      </c>
      <c r="G10" s="10">
        <v>2602</v>
      </c>
      <c r="H10" s="10">
        <v>219</v>
      </c>
      <c r="I10" s="10">
        <v>8.4</v>
      </c>
      <c r="J10" s="10">
        <v>15.33</v>
      </c>
      <c r="K10" s="10">
        <v>183</v>
      </c>
      <c r="L10">
        <f t="shared" si="0"/>
        <v>0.15384615384615377</v>
      </c>
    </row>
    <row r="11" spans="1:12">
      <c r="A11" s="10" t="s">
        <v>160</v>
      </c>
      <c r="B11" s="10">
        <v>29.97</v>
      </c>
      <c r="C11" s="10">
        <v>31.74</v>
      </c>
      <c r="D11" s="10">
        <v>29.5</v>
      </c>
      <c r="E11" s="10">
        <v>30.44</v>
      </c>
      <c r="F11" s="10">
        <v>0.15</v>
      </c>
      <c r="G11" s="10">
        <v>2541</v>
      </c>
      <c r="H11" s="10">
        <v>206</v>
      </c>
      <c r="I11" s="10">
        <v>8.1</v>
      </c>
      <c r="J11" s="10">
        <v>15.85</v>
      </c>
      <c r="K11" s="10">
        <v>261</v>
      </c>
      <c r="L11">
        <f t="shared" si="0"/>
        <v>0</v>
      </c>
    </row>
    <row r="12" spans="1:12">
      <c r="A12" s="10" t="s">
        <v>168</v>
      </c>
      <c r="B12" s="10">
        <v>33.56</v>
      </c>
      <c r="C12" s="10">
        <v>35.4</v>
      </c>
      <c r="D12" s="10">
        <v>33.14</v>
      </c>
      <c r="E12" s="10">
        <v>35.08</v>
      </c>
      <c r="F12" s="10">
        <v>0.15</v>
      </c>
      <c r="G12" s="10">
        <v>2586</v>
      </c>
      <c r="H12" s="10">
        <v>221</v>
      </c>
      <c r="I12" s="10">
        <v>8.5500000000000007</v>
      </c>
      <c r="J12" s="10">
        <v>16.559999999999999</v>
      </c>
      <c r="K12" s="10">
        <v>322</v>
      </c>
      <c r="L12">
        <f t="shared" si="0"/>
        <v>0</v>
      </c>
    </row>
    <row r="13" spans="1:12">
      <c r="A13" s="10" t="s">
        <v>63</v>
      </c>
      <c r="B13" s="10">
        <v>34.25</v>
      </c>
      <c r="C13" s="10">
        <v>36.299999999999997</v>
      </c>
      <c r="D13" s="10">
        <v>34.18</v>
      </c>
      <c r="E13" s="10">
        <v>35.31</v>
      </c>
      <c r="F13" s="10">
        <v>0.15</v>
      </c>
      <c r="G13" s="10">
        <v>2611</v>
      </c>
      <c r="H13" s="10">
        <v>229</v>
      </c>
      <c r="I13" s="10">
        <v>8.77</v>
      </c>
      <c r="J13" s="10">
        <v>17.03</v>
      </c>
      <c r="K13" s="10">
        <v>347</v>
      </c>
      <c r="L13">
        <f t="shared" si="0"/>
        <v>0</v>
      </c>
    </row>
    <row r="14" spans="1:12">
      <c r="A14" s="10" t="s">
        <v>14</v>
      </c>
      <c r="B14" s="10">
        <v>34.049999999999997</v>
      </c>
      <c r="C14" s="10">
        <v>35.78</v>
      </c>
      <c r="D14" s="10">
        <v>33.799999999999997</v>
      </c>
      <c r="E14" s="10">
        <v>34.76</v>
      </c>
      <c r="F14" s="10">
        <v>0.15</v>
      </c>
      <c r="G14" s="10">
        <v>2654</v>
      </c>
      <c r="H14" s="10">
        <v>243</v>
      </c>
      <c r="I14" s="10">
        <v>9.14</v>
      </c>
      <c r="J14" s="10">
        <v>17.02</v>
      </c>
      <c r="K14" s="10">
        <v>379</v>
      </c>
      <c r="L14">
        <f t="shared" si="0"/>
        <v>0.13333333333333347</v>
      </c>
    </row>
    <row r="15" spans="1:12">
      <c r="A15" s="10" t="s">
        <v>288</v>
      </c>
      <c r="B15" s="10">
        <v>36.380000000000003</v>
      </c>
      <c r="C15" s="10">
        <v>37.15</v>
      </c>
      <c r="D15" s="10">
        <v>34.28</v>
      </c>
      <c r="E15" s="10">
        <v>34.380000000000003</v>
      </c>
      <c r="F15" s="10">
        <v>0.17</v>
      </c>
      <c r="G15" s="10">
        <v>2609</v>
      </c>
      <c r="H15" s="10">
        <v>221</v>
      </c>
      <c r="I15" s="10">
        <v>8.4700000000000006</v>
      </c>
      <c r="J15" s="10">
        <v>16.86</v>
      </c>
      <c r="K15" s="10">
        <v>218</v>
      </c>
      <c r="L15">
        <f t="shared" si="0"/>
        <v>0</v>
      </c>
    </row>
    <row r="16" spans="1:12">
      <c r="A16" s="10" t="s">
        <v>133</v>
      </c>
      <c r="B16" s="10">
        <v>33.020000000000003</v>
      </c>
      <c r="C16" s="10">
        <v>35.770000000000003</v>
      </c>
      <c r="D16" s="10">
        <v>31.57</v>
      </c>
      <c r="E16" s="10">
        <v>34.880000000000003</v>
      </c>
      <c r="F16" s="10">
        <v>0.17</v>
      </c>
      <c r="G16" s="10">
        <v>2636</v>
      </c>
      <c r="H16" s="10">
        <v>-279</v>
      </c>
      <c r="I16" s="10">
        <v>-10.59</v>
      </c>
      <c r="J16" s="10">
        <v>16.95</v>
      </c>
      <c r="K16" s="10">
        <v>280</v>
      </c>
      <c r="L16">
        <f t="shared" si="0"/>
        <v>0</v>
      </c>
    </row>
    <row r="17" spans="1:12">
      <c r="A17" s="10" t="s">
        <v>36</v>
      </c>
      <c r="B17" s="10">
        <v>33.61</v>
      </c>
      <c r="C17" s="10">
        <v>34.659999999999997</v>
      </c>
      <c r="D17" s="10">
        <v>32.71</v>
      </c>
      <c r="E17" s="10">
        <v>33.729999999999997</v>
      </c>
      <c r="F17" s="10">
        <v>0.17</v>
      </c>
      <c r="G17" s="10">
        <v>2647</v>
      </c>
      <c r="H17" s="10">
        <v>213</v>
      </c>
      <c r="I17" s="10">
        <v>8.0399999999999991</v>
      </c>
      <c r="J17" s="10">
        <v>38.51</v>
      </c>
      <c r="K17" s="10">
        <v>400</v>
      </c>
      <c r="L17">
        <f t="shared" si="0"/>
        <v>0</v>
      </c>
    </row>
    <row r="18" spans="1:12">
      <c r="A18" s="10" t="s">
        <v>190</v>
      </c>
      <c r="B18" s="10">
        <v>35.07</v>
      </c>
      <c r="C18" s="10">
        <v>37.17</v>
      </c>
      <c r="D18" s="10">
        <v>34.83</v>
      </c>
      <c r="E18" s="10">
        <v>35.75</v>
      </c>
      <c r="F18" s="10">
        <v>0.17</v>
      </c>
      <c r="G18" s="10">
        <v>2704</v>
      </c>
      <c r="H18" s="10">
        <v>224</v>
      </c>
      <c r="I18" s="10">
        <v>8.3000000000000007</v>
      </c>
      <c r="J18" s="10">
        <v>40.25</v>
      </c>
      <c r="K18" s="10">
        <v>326</v>
      </c>
      <c r="L18">
        <f t="shared" si="0"/>
        <v>0.11764705882352934</v>
      </c>
    </row>
    <row r="19" spans="1:12">
      <c r="A19" s="10" t="s">
        <v>256</v>
      </c>
      <c r="B19" s="10">
        <v>32.31</v>
      </c>
      <c r="C19" s="10">
        <v>33.729999999999997</v>
      </c>
      <c r="D19" s="10">
        <v>30.91</v>
      </c>
      <c r="E19" s="10">
        <v>32.08</v>
      </c>
      <c r="F19" s="10">
        <v>0.19</v>
      </c>
      <c r="G19" s="10">
        <v>2658</v>
      </c>
      <c r="H19" s="10">
        <v>204</v>
      </c>
      <c r="I19" s="10">
        <v>7.67</v>
      </c>
      <c r="J19" s="10">
        <v>42.31</v>
      </c>
      <c r="K19" s="10">
        <v>273</v>
      </c>
      <c r="L19">
        <f t="shared" si="0"/>
        <v>0</v>
      </c>
    </row>
    <row r="20" spans="1:12">
      <c r="A20" s="10" t="s">
        <v>203</v>
      </c>
      <c r="B20" s="10">
        <v>36.9</v>
      </c>
      <c r="C20" s="10">
        <v>37.26</v>
      </c>
      <c r="D20" s="10">
        <v>31.91</v>
      </c>
      <c r="E20" s="10">
        <v>33.29</v>
      </c>
      <c r="F20" s="10">
        <v>0.19</v>
      </c>
      <c r="G20" s="10">
        <v>2722</v>
      </c>
      <c r="H20" s="10">
        <v>226</v>
      </c>
      <c r="I20" s="10">
        <v>8.31</v>
      </c>
      <c r="J20" s="10">
        <v>44.74</v>
      </c>
      <c r="K20" s="10">
        <v>293</v>
      </c>
      <c r="L20">
        <f t="shared" si="0"/>
        <v>0</v>
      </c>
    </row>
    <row r="21" spans="1:12">
      <c r="A21" s="10" t="s">
        <v>89</v>
      </c>
      <c r="B21" s="10">
        <v>28.77</v>
      </c>
      <c r="C21" s="10">
        <v>32.659999999999997</v>
      </c>
      <c r="D21" s="10">
        <v>28.72</v>
      </c>
      <c r="E21" s="10">
        <v>30.92</v>
      </c>
      <c r="F21" s="10">
        <v>0.19</v>
      </c>
      <c r="G21" s="10">
        <v>2725</v>
      </c>
      <c r="H21" s="10">
        <v>211</v>
      </c>
      <c r="I21" s="10">
        <v>7.73</v>
      </c>
      <c r="J21" s="10">
        <v>20</v>
      </c>
      <c r="K21" s="10">
        <v>293</v>
      </c>
      <c r="L21">
        <f t="shared" si="0"/>
        <v>0</v>
      </c>
    </row>
    <row r="22" spans="1:12">
      <c r="A22" s="10" t="s">
        <v>127</v>
      </c>
      <c r="B22" s="10">
        <v>36.47</v>
      </c>
      <c r="C22" s="10">
        <v>36.869999999999997</v>
      </c>
      <c r="D22" s="10">
        <v>29.92</v>
      </c>
      <c r="E22" s="10">
        <v>31.79</v>
      </c>
      <c r="F22" s="10">
        <v>0.19</v>
      </c>
      <c r="G22" s="10">
        <v>2761</v>
      </c>
      <c r="H22" s="10">
        <v>237</v>
      </c>
      <c r="I22" s="10">
        <v>8.58</v>
      </c>
      <c r="J22" s="10">
        <v>20.34</v>
      </c>
      <c r="K22" s="10">
        <v>268</v>
      </c>
      <c r="L22">
        <f t="shared" si="0"/>
        <v>5.2631578947368467E-2</v>
      </c>
    </row>
    <row r="23" spans="1:12">
      <c r="A23" s="10" t="s">
        <v>88</v>
      </c>
      <c r="B23" s="10">
        <v>35.700000000000003</v>
      </c>
      <c r="C23" s="10">
        <v>35.935000000000002</v>
      </c>
      <c r="D23" s="10">
        <v>33.979999999999997</v>
      </c>
      <c r="E23" s="10">
        <v>35.31</v>
      </c>
      <c r="F23" s="10">
        <v>0.2</v>
      </c>
      <c r="G23" s="10">
        <v>2763</v>
      </c>
      <c r="H23" s="10">
        <v>236</v>
      </c>
      <c r="I23" s="10">
        <v>8.5399999999999991</v>
      </c>
      <c r="J23" s="10">
        <v>20.39</v>
      </c>
      <c r="K23" s="10">
        <v>194</v>
      </c>
      <c r="L23">
        <f t="shared" si="0"/>
        <v>0</v>
      </c>
    </row>
    <row r="24" spans="1:12">
      <c r="A24" s="10" t="s">
        <v>24</v>
      </c>
      <c r="B24" s="10">
        <v>42.6</v>
      </c>
      <c r="C24" s="10">
        <v>45.01</v>
      </c>
      <c r="D24" s="10">
        <v>42.47</v>
      </c>
      <c r="E24" s="10">
        <v>43.93</v>
      </c>
      <c r="F24" s="10">
        <v>0.2</v>
      </c>
      <c r="G24" s="10">
        <v>2797</v>
      </c>
      <c r="H24" s="10">
        <v>248</v>
      </c>
      <c r="I24" s="10">
        <v>8.8699999999999992</v>
      </c>
      <c r="J24" s="10">
        <v>19.82</v>
      </c>
      <c r="K24" s="10">
        <v>361</v>
      </c>
      <c r="L24">
        <f t="shared" si="0"/>
        <v>0</v>
      </c>
    </row>
    <row r="25" spans="1:12">
      <c r="A25" s="10" t="s">
        <v>55</v>
      </c>
      <c r="B25" s="10">
        <v>49.91</v>
      </c>
      <c r="C25" s="10">
        <v>50.27</v>
      </c>
      <c r="D25" s="10">
        <v>44.5075</v>
      </c>
      <c r="E25" s="10">
        <v>46.89</v>
      </c>
      <c r="F25" s="10">
        <v>0.2</v>
      </c>
      <c r="G25" s="10">
        <v>2807</v>
      </c>
      <c r="H25" s="10">
        <v>230</v>
      </c>
      <c r="I25" s="10">
        <v>8.19</v>
      </c>
      <c r="J25" s="10">
        <v>19.489999999999998</v>
      </c>
      <c r="K25" s="10">
        <v>308</v>
      </c>
      <c r="L25">
        <f t="shared" si="0"/>
        <v>0</v>
      </c>
    </row>
    <row r="26" spans="1:12">
      <c r="A26" s="10" t="s">
        <v>183</v>
      </c>
      <c r="B26" s="10">
        <v>45.27</v>
      </c>
      <c r="C26" s="10">
        <v>47.96</v>
      </c>
      <c r="D26" s="10">
        <v>43.55</v>
      </c>
      <c r="E26" s="10">
        <v>46.63</v>
      </c>
      <c r="F26" s="10">
        <v>0.2</v>
      </c>
      <c r="G26" s="10">
        <v>2822</v>
      </c>
      <c r="H26" s="10">
        <v>245</v>
      </c>
      <c r="I26" s="10">
        <v>8.69</v>
      </c>
      <c r="J26" s="10">
        <v>19.29</v>
      </c>
      <c r="K26" s="10">
        <v>334</v>
      </c>
      <c r="L26">
        <f t="shared" si="0"/>
        <v>0.15</v>
      </c>
    </row>
    <row r="27" spans="1:12">
      <c r="A27" s="10" t="s">
        <v>34</v>
      </c>
      <c r="B27" s="10">
        <v>48.34</v>
      </c>
      <c r="C27" s="10">
        <v>51.5</v>
      </c>
      <c r="D27" s="10">
        <v>46.08</v>
      </c>
      <c r="E27" s="10">
        <v>51.13</v>
      </c>
      <c r="F27" s="10">
        <v>0.23</v>
      </c>
      <c r="G27" s="10">
        <v>2819</v>
      </c>
      <c r="H27" s="10">
        <v>252</v>
      </c>
      <c r="I27" s="10">
        <v>8.9499999999999993</v>
      </c>
      <c r="J27" s="10">
        <v>19.28</v>
      </c>
      <c r="K27" s="10">
        <v>224</v>
      </c>
      <c r="L27">
        <f t="shared" si="0"/>
        <v>0</v>
      </c>
    </row>
    <row r="28" spans="1:12">
      <c r="A28" s="10" t="s">
        <v>173</v>
      </c>
      <c r="B28" s="10">
        <v>56.72</v>
      </c>
      <c r="C28" s="10">
        <v>57.55</v>
      </c>
      <c r="D28" s="10">
        <v>53.84</v>
      </c>
      <c r="E28" s="10">
        <v>54.89</v>
      </c>
      <c r="F28" s="10">
        <v>0.23</v>
      </c>
      <c r="G28" s="10">
        <v>2839</v>
      </c>
      <c r="H28" s="10">
        <v>267</v>
      </c>
      <c r="I28" s="10">
        <v>9.4</v>
      </c>
      <c r="J28" s="10">
        <v>19.48</v>
      </c>
      <c r="K28" s="10">
        <v>283</v>
      </c>
      <c r="L28">
        <f t="shared" si="0"/>
        <v>0</v>
      </c>
    </row>
    <row r="29" spans="1:12">
      <c r="A29" s="10" t="s">
        <v>282</v>
      </c>
      <c r="B29" s="10">
        <v>50.9</v>
      </c>
      <c r="C29" s="10">
        <v>51.33</v>
      </c>
      <c r="D29" s="10">
        <v>46.7</v>
      </c>
      <c r="E29" s="10">
        <v>47.61</v>
      </c>
      <c r="F29" s="10">
        <v>0.23</v>
      </c>
      <c r="G29" s="10">
        <v>2900</v>
      </c>
      <c r="H29" s="10">
        <v>274</v>
      </c>
      <c r="I29" s="10">
        <v>9.43</v>
      </c>
      <c r="J29" s="10">
        <v>19.68</v>
      </c>
      <c r="K29" s="10">
        <v>300</v>
      </c>
      <c r="L29">
        <f t="shared" si="0"/>
        <v>0</v>
      </c>
    </row>
    <row r="30" spans="1:12">
      <c r="A30" s="10" t="s">
        <v>110</v>
      </c>
      <c r="B30" s="10">
        <v>39.25</v>
      </c>
      <c r="C30" s="10">
        <v>39.799999999999997</v>
      </c>
      <c r="D30" s="10">
        <v>36.152500000000003</v>
      </c>
      <c r="E30" s="10">
        <v>36.99</v>
      </c>
      <c r="F30" s="10">
        <v>0.23</v>
      </c>
      <c r="G30" s="10">
        <v>2890</v>
      </c>
      <c r="H30" s="10">
        <v>286</v>
      </c>
      <c r="I30" s="10">
        <v>9.8800000000000008</v>
      </c>
      <c r="J30" s="10">
        <v>19.350000000000001</v>
      </c>
      <c r="K30" s="10">
        <v>396</v>
      </c>
      <c r="L30">
        <f t="shared" si="0"/>
        <v>0.13043478260869565</v>
      </c>
    </row>
    <row r="31" spans="1:12">
      <c r="A31" s="10" t="s">
        <v>52</v>
      </c>
      <c r="B31" s="10">
        <v>36.700000000000003</v>
      </c>
      <c r="C31" s="10">
        <v>40.76</v>
      </c>
      <c r="D31" s="10">
        <v>35</v>
      </c>
      <c r="E31" s="10">
        <v>39.07</v>
      </c>
      <c r="F31" s="10">
        <v>0.26</v>
      </c>
      <c r="G31" s="10">
        <v>2928</v>
      </c>
      <c r="H31" s="10">
        <v>-285</v>
      </c>
      <c r="I31" s="10">
        <v>-9.7200000000000006</v>
      </c>
      <c r="J31" s="10">
        <v>19.09</v>
      </c>
      <c r="K31" s="10">
        <v>387</v>
      </c>
      <c r="L31">
        <f t="shared" si="0"/>
        <v>0</v>
      </c>
    </row>
    <row r="32" spans="1:12">
      <c r="A32" s="10" t="s">
        <v>107</v>
      </c>
      <c r="B32" s="10">
        <v>36.6</v>
      </c>
      <c r="C32" s="10">
        <v>36.840000000000003</v>
      </c>
      <c r="D32" s="10">
        <v>26.765000000000001</v>
      </c>
      <c r="E32" s="10">
        <v>29.38</v>
      </c>
      <c r="F32" s="10">
        <v>0.26</v>
      </c>
      <c r="G32" s="10">
        <v>2881</v>
      </c>
      <c r="H32" s="10">
        <v>249</v>
      </c>
      <c r="I32" s="10">
        <v>8.65</v>
      </c>
      <c r="J32" s="10">
        <v>39.26</v>
      </c>
      <c r="K32" s="10">
        <v>453</v>
      </c>
      <c r="L32">
        <f t="shared" si="0"/>
        <v>0</v>
      </c>
    </row>
    <row r="33" spans="1:12">
      <c r="A33" s="10" t="s">
        <v>18</v>
      </c>
      <c r="B33" s="10">
        <v>37.78</v>
      </c>
      <c r="C33" s="10">
        <v>38.29</v>
      </c>
      <c r="D33" s="10">
        <v>33.06</v>
      </c>
      <c r="E33" s="10">
        <v>33.83</v>
      </c>
      <c r="F33" s="10">
        <v>0.26</v>
      </c>
      <c r="G33" s="10">
        <v>2988</v>
      </c>
      <c r="H33" s="10">
        <v>281</v>
      </c>
      <c r="I33" s="10">
        <v>9.4</v>
      </c>
      <c r="J33" s="10">
        <v>41.18</v>
      </c>
      <c r="K33" s="10">
        <v>517</v>
      </c>
      <c r="L33">
        <f t="shared" si="0"/>
        <v>0</v>
      </c>
    </row>
    <row r="34" spans="1:12">
      <c r="A34" s="10" t="s">
        <v>222</v>
      </c>
      <c r="B34" s="10">
        <v>31.46</v>
      </c>
      <c r="C34" s="10">
        <v>34.07</v>
      </c>
      <c r="D34" s="10">
        <v>31.425000000000001</v>
      </c>
      <c r="E34" s="10">
        <v>33.549999999999997</v>
      </c>
      <c r="F34" s="10">
        <v>0.26</v>
      </c>
      <c r="G34" s="10">
        <v>3017</v>
      </c>
      <c r="H34" s="10">
        <v>281</v>
      </c>
      <c r="I34" s="10">
        <v>9.32</v>
      </c>
      <c r="J34" s="10">
        <v>41.06</v>
      </c>
      <c r="K34" s="10">
        <v>426</v>
      </c>
      <c r="L34">
        <f t="shared" si="0"/>
        <v>0.11538461538461527</v>
      </c>
    </row>
    <row r="35" spans="1:12">
      <c r="A35" s="10" t="s">
        <v>170</v>
      </c>
      <c r="B35" s="10">
        <v>25.12</v>
      </c>
      <c r="C35" s="10">
        <v>30.21</v>
      </c>
      <c r="D35" s="10">
        <v>24.71</v>
      </c>
      <c r="E35" s="10">
        <v>29.72</v>
      </c>
      <c r="F35" s="10">
        <v>0.28999999999999998</v>
      </c>
      <c r="G35" s="10">
        <v>2960</v>
      </c>
      <c r="H35" s="10">
        <v>242</v>
      </c>
      <c r="I35" s="10">
        <v>8.18</v>
      </c>
      <c r="J35" s="10">
        <v>41.77</v>
      </c>
      <c r="K35" s="10">
        <v>314</v>
      </c>
      <c r="L35">
        <f t="shared" si="0"/>
        <v>0</v>
      </c>
    </row>
    <row r="36" spans="1:12">
      <c r="A36" s="10" t="s">
        <v>250</v>
      </c>
      <c r="B36" s="10">
        <v>30.87</v>
      </c>
      <c r="C36" s="10">
        <v>31.315000000000001</v>
      </c>
      <c r="D36" s="10">
        <v>28.7</v>
      </c>
      <c r="E36" s="10">
        <v>29.16</v>
      </c>
      <c r="F36" s="10">
        <v>0.28999999999999998</v>
      </c>
      <c r="G36" s="10">
        <v>3035</v>
      </c>
      <c r="H36" s="10">
        <v>296</v>
      </c>
      <c r="I36" s="10">
        <v>9.76</v>
      </c>
      <c r="J36" s="10">
        <v>21.52</v>
      </c>
      <c r="K36" s="10">
        <v>485</v>
      </c>
      <c r="L36">
        <f t="shared" si="0"/>
        <v>0</v>
      </c>
    </row>
    <row r="37" spans="1:12">
      <c r="A37" s="10" t="s">
        <v>126</v>
      </c>
      <c r="B37" s="10">
        <v>23.51</v>
      </c>
      <c r="C37" s="10">
        <v>25.6</v>
      </c>
      <c r="D37" s="10">
        <v>9.58</v>
      </c>
      <c r="E37" s="10">
        <v>15.01</v>
      </c>
      <c r="F37" s="10">
        <v>0.28999999999999998</v>
      </c>
      <c r="G37" s="10">
        <v>2874</v>
      </c>
      <c r="H37" s="10">
        <v>161</v>
      </c>
      <c r="I37" s="10">
        <v>5.6</v>
      </c>
      <c r="J37" s="10">
        <v>20.8</v>
      </c>
      <c r="K37" s="10">
        <v>220</v>
      </c>
      <c r="L37">
        <f t="shared" si="0"/>
        <v>0</v>
      </c>
    </row>
    <row r="38" spans="1:12">
      <c r="A38" s="10" t="s">
        <v>161</v>
      </c>
      <c r="B38" s="10">
        <v>15.12</v>
      </c>
      <c r="C38" s="10">
        <v>20.25</v>
      </c>
      <c r="D38" s="10">
        <v>14.96</v>
      </c>
      <c r="E38" s="10">
        <v>16.59</v>
      </c>
      <c r="F38" s="10">
        <v>0.28999999999999998</v>
      </c>
      <c r="G38" s="10">
        <v>3023</v>
      </c>
      <c r="H38" s="10">
        <v>266</v>
      </c>
      <c r="I38" s="10">
        <v>8.7799999999999994</v>
      </c>
      <c r="J38" s="10">
        <v>23.62</v>
      </c>
      <c r="K38" s="10">
        <v>633</v>
      </c>
      <c r="L38">
        <f t="shared" si="0"/>
        <v>0</v>
      </c>
    </row>
    <row r="39" spans="1:12">
      <c r="A39" s="10" t="s">
        <v>28</v>
      </c>
      <c r="B39" s="10">
        <v>18.3</v>
      </c>
      <c r="C39" s="10">
        <v>19.989999999999998</v>
      </c>
      <c r="D39" s="10">
        <v>15.79</v>
      </c>
      <c r="E39" s="10">
        <v>16.829999999999998</v>
      </c>
      <c r="F39" s="10">
        <v>0.28999999999999998</v>
      </c>
      <c r="G39" s="10">
        <v>2996</v>
      </c>
      <c r="H39" s="10">
        <v>231</v>
      </c>
      <c r="I39" s="10">
        <v>7.71</v>
      </c>
      <c r="J39" s="10">
        <v>24.26</v>
      </c>
      <c r="K39" s="10">
        <v>426</v>
      </c>
      <c r="L39">
        <f t="shared" si="0"/>
        <v>0</v>
      </c>
    </row>
    <row r="40" spans="1:12">
      <c r="A40" s="10" t="s">
        <v>212</v>
      </c>
      <c r="B40" s="10">
        <v>22.99</v>
      </c>
      <c r="C40" s="10">
        <v>24.33</v>
      </c>
      <c r="D40" s="10">
        <v>20.78</v>
      </c>
      <c r="E40" s="10">
        <v>22.94</v>
      </c>
      <c r="F40" s="10">
        <v>0.28999999999999998</v>
      </c>
      <c r="G40" s="10">
        <v>4274</v>
      </c>
      <c r="H40" s="10">
        <v>135</v>
      </c>
      <c r="I40" s="10">
        <v>3.17</v>
      </c>
      <c r="J40" s="10">
        <v>24.46</v>
      </c>
      <c r="K40" s="10">
        <v>-681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1"/>
  <dimension ref="A1:L38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217</v>
      </c>
      <c r="B2" s="10">
        <v>23.88</v>
      </c>
      <c r="C2" s="10">
        <v>25.72</v>
      </c>
      <c r="D2" s="10">
        <v>22.81</v>
      </c>
      <c r="E2" s="10">
        <v>24.6</v>
      </c>
      <c r="F2" s="10">
        <v>0.7</v>
      </c>
      <c r="G2" s="10">
        <v>2059</v>
      </c>
      <c r="H2" s="10">
        <v>172</v>
      </c>
      <c r="I2" s="10">
        <v>7.97</v>
      </c>
      <c r="J2" s="10">
        <v>24.77</v>
      </c>
      <c r="K2" s="10">
        <v>828</v>
      </c>
    </row>
    <row r="3" spans="1:12">
      <c r="A3" s="10" t="s">
        <v>162</v>
      </c>
      <c r="B3" s="10">
        <v>27.69</v>
      </c>
      <c r="C3" s="10">
        <v>29.84</v>
      </c>
      <c r="D3" s="10">
        <v>26.26</v>
      </c>
      <c r="E3" s="10">
        <v>29.51</v>
      </c>
      <c r="F3" s="10">
        <v>0.18</v>
      </c>
      <c r="G3" s="10">
        <v>2096</v>
      </c>
      <c r="H3" s="10">
        <v>210</v>
      </c>
      <c r="I3" s="10">
        <v>9.61</v>
      </c>
      <c r="J3" s="10">
        <v>32.56</v>
      </c>
      <c r="K3" s="10">
        <v>902</v>
      </c>
      <c r="L3">
        <f t="shared" ref="L3:L37" si="0">(F4-F3)/F3</f>
        <v>0</v>
      </c>
    </row>
    <row r="4" spans="1:12">
      <c r="A4" s="10" t="s">
        <v>64</v>
      </c>
      <c r="B4" s="10">
        <v>23.93</v>
      </c>
      <c r="C4" s="10">
        <v>26.24</v>
      </c>
      <c r="D4" s="10">
        <v>23.09</v>
      </c>
      <c r="E4" s="10">
        <v>26.23</v>
      </c>
      <c r="F4" s="10">
        <v>0.18</v>
      </c>
      <c r="G4" s="10">
        <v>2119</v>
      </c>
      <c r="H4" s="10">
        <v>181</v>
      </c>
      <c r="I4" s="10">
        <v>8.17</v>
      </c>
      <c r="J4" s="10">
        <v>39.11</v>
      </c>
      <c r="K4" s="10">
        <v>600</v>
      </c>
      <c r="L4">
        <f t="shared" si="0"/>
        <v>0.16666666666666666</v>
      </c>
    </row>
    <row r="5" spans="1:12">
      <c r="A5" s="10" t="s">
        <v>226</v>
      </c>
      <c r="B5" s="10">
        <v>27.34</v>
      </c>
      <c r="C5" s="10">
        <v>29.2</v>
      </c>
      <c r="D5" s="10">
        <v>26.53</v>
      </c>
      <c r="E5" s="10">
        <v>26.94</v>
      </c>
      <c r="F5" s="10">
        <v>0.21</v>
      </c>
      <c r="G5" s="10">
        <v>2705</v>
      </c>
      <c r="H5" s="10">
        <v>188</v>
      </c>
      <c r="I5" s="10">
        <v>6.64</v>
      </c>
      <c r="J5" s="10">
        <v>49.07</v>
      </c>
      <c r="K5" s="10">
        <v>872</v>
      </c>
      <c r="L5">
        <f t="shared" si="0"/>
        <v>0</v>
      </c>
    </row>
    <row r="6" spans="1:12">
      <c r="A6" s="10" t="s">
        <v>247</v>
      </c>
      <c r="B6" s="10">
        <v>27.28</v>
      </c>
      <c r="C6" s="10">
        <v>28.71</v>
      </c>
      <c r="D6" s="10">
        <v>27.16</v>
      </c>
      <c r="E6" s="10">
        <v>28.52</v>
      </c>
      <c r="F6" s="10">
        <v>0.21</v>
      </c>
      <c r="G6" s="10">
        <v>2296</v>
      </c>
      <c r="H6" s="10">
        <v>227</v>
      </c>
      <c r="I6" s="10">
        <v>9.52</v>
      </c>
      <c r="J6" s="10">
        <v>30.35</v>
      </c>
      <c r="K6" s="10">
        <v>707</v>
      </c>
      <c r="L6">
        <f t="shared" si="0"/>
        <v>9.523809523809533E-2</v>
      </c>
    </row>
    <row r="7" spans="1:12">
      <c r="A7" s="10" t="s">
        <v>19</v>
      </c>
      <c r="B7" s="10">
        <v>31.4</v>
      </c>
      <c r="C7" s="10">
        <v>34.58</v>
      </c>
      <c r="D7" s="10">
        <v>31.05</v>
      </c>
      <c r="E7" s="10">
        <v>34.03</v>
      </c>
      <c r="F7" s="10">
        <v>0.23</v>
      </c>
      <c r="G7" s="10">
        <v>2167</v>
      </c>
      <c r="H7" s="10">
        <v>187</v>
      </c>
      <c r="I7" s="10">
        <v>8.23</v>
      </c>
      <c r="J7" s="10">
        <v>30.35</v>
      </c>
      <c r="K7" s="10">
        <v>596</v>
      </c>
      <c r="L7">
        <f t="shared" si="0"/>
        <v>0</v>
      </c>
    </row>
    <row r="8" spans="1:12">
      <c r="A8" s="10" t="s">
        <v>192</v>
      </c>
      <c r="B8" s="10">
        <v>37.99</v>
      </c>
      <c r="C8" s="10">
        <v>39.049999999999997</v>
      </c>
      <c r="D8" s="10">
        <v>35.65</v>
      </c>
      <c r="E8" s="10">
        <v>37.450000000000003</v>
      </c>
      <c r="F8" s="10">
        <v>0.23</v>
      </c>
      <c r="G8" s="10">
        <v>2211</v>
      </c>
      <c r="H8" s="10">
        <v>231</v>
      </c>
      <c r="I8" s="10">
        <v>10.06</v>
      </c>
      <c r="J8" s="10">
        <v>33.200000000000003</v>
      </c>
      <c r="K8" s="10">
        <v>188</v>
      </c>
      <c r="L8">
        <f t="shared" si="0"/>
        <v>0.13043478260869565</v>
      </c>
    </row>
    <row r="9" spans="1:12">
      <c r="A9" s="10" t="s">
        <v>160</v>
      </c>
      <c r="B9" s="10">
        <v>41.22</v>
      </c>
      <c r="C9" s="10">
        <v>44.23</v>
      </c>
      <c r="D9" s="10">
        <v>41.05</v>
      </c>
      <c r="E9" s="10">
        <v>42.82</v>
      </c>
      <c r="F9" s="10">
        <v>0.26</v>
      </c>
      <c r="G9" s="10">
        <v>2240</v>
      </c>
      <c r="H9" s="10">
        <v>254</v>
      </c>
      <c r="I9" s="10">
        <v>10.97</v>
      </c>
      <c r="J9" s="10">
        <v>32.590000000000003</v>
      </c>
      <c r="K9" s="10">
        <v>614</v>
      </c>
      <c r="L9">
        <f t="shared" si="0"/>
        <v>0</v>
      </c>
    </row>
    <row r="10" spans="1:12">
      <c r="A10" s="10" t="s">
        <v>168</v>
      </c>
      <c r="B10" s="10">
        <v>50.86</v>
      </c>
      <c r="C10" s="10">
        <v>50.91</v>
      </c>
      <c r="D10" s="10">
        <v>47.28</v>
      </c>
      <c r="E10" s="10">
        <v>49.31</v>
      </c>
      <c r="F10" s="10">
        <v>0.26</v>
      </c>
      <c r="G10" s="10">
        <v>2673</v>
      </c>
      <c r="H10" s="10">
        <v>242</v>
      </c>
      <c r="I10" s="10">
        <v>8.73</v>
      </c>
      <c r="J10" s="10">
        <v>32.18</v>
      </c>
      <c r="K10" s="10">
        <v>823</v>
      </c>
      <c r="L10">
        <f t="shared" si="0"/>
        <v>7.6923076923076983E-2</v>
      </c>
    </row>
    <row r="11" spans="1:12">
      <c r="A11" s="10" t="s">
        <v>63</v>
      </c>
      <c r="B11" s="10">
        <v>44.78</v>
      </c>
      <c r="C11" s="10">
        <v>47.74</v>
      </c>
      <c r="D11" s="10">
        <v>44.4</v>
      </c>
      <c r="E11" s="10">
        <v>45.99</v>
      </c>
      <c r="F11" s="10">
        <v>0.28000000000000003</v>
      </c>
      <c r="G11" s="10">
        <v>2479</v>
      </c>
      <c r="H11" s="10">
        <v>302</v>
      </c>
      <c r="I11" s="10">
        <v>11.85</v>
      </c>
      <c r="J11" s="10">
        <v>33.22</v>
      </c>
      <c r="K11" s="10">
        <v>591</v>
      </c>
      <c r="L11">
        <f t="shared" si="0"/>
        <v>0.14285714285714277</v>
      </c>
    </row>
    <row r="12" spans="1:12">
      <c r="A12" s="10" t="s">
        <v>14</v>
      </c>
      <c r="B12" s="10">
        <v>46.87</v>
      </c>
      <c r="C12" s="10">
        <v>50.74</v>
      </c>
      <c r="D12" s="10">
        <v>46.57</v>
      </c>
      <c r="E12" s="10">
        <v>50.48</v>
      </c>
      <c r="F12" s="10">
        <v>0.32</v>
      </c>
      <c r="G12" s="10">
        <v>2607</v>
      </c>
      <c r="H12" s="10">
        <v>315</v>
      </c>
      <c r="I12" s="10">
        <v>11.75</v>
      </c>
      <c r="J12" s="10">
        <v>31.31</v>
      </c>
      <c r="K12" s="10">
        <v>786</v>
      </c>
      <c r="L12">
        <f t="shared" si="0"/>
        <v>6.2500000000000056E-2</v>
      </c>
    </row>
    <row r="13" spans="1:12">
      <c r="A13" s="10" t="s">
        <v>288</v>
      </c>
      <c r="B13" s="10">
        <v>54.59</v>
      </c>
      <c r="C13" s="10">
        <v>55.07</v>
      </c>
      <c r="D13" s="10">
        <v>52.46</v>
      </c>
      <c r="E13" s="10">
        <v>52.47</v>
      </c>
      <c r="F13" s="10">
        <v>0.34</v>
      </c>
      <c r="G13" s="10">
        <v>2484</v>
      </c>
      <c r="H13" s="10">
        <v>249</v>
      </c>
      <c r="I13" s="10">
        <v>9.69</v>
      </c>
      <c r="J13" s="10">
        <v>31.28</v>
      </c>
      <c r="K13" s="10">
        <v>820</v>
      </c>
      <c r="L13">
        <f t="shared" si="0"/>
        <v>0</v>
      </c>
    </row>
    <row r="14" spans="1:12">
      <c r="A14" s="10" t="s">
        <v>133</v>
      </c>
      <c r="B14" s="10">
        <v>52.83</v>
      </c>
      <c r="C14" s="10">
        <v>54.19</v>
      </c>
      <c r="D14" s="10">
        <v>48.95</v>
      </c>
      <c r="E14" s="10">
        <v>51.94</v>
      </c>
      <c r="F14" s="10">
        <v>0.34</v>
      </c>
      <c r="G14" s="10">
        <v>2908</v>
      </c>
      <c r="H14" s="10">
        <v>279</v>
      </c>
      <c r="I14" s="10">
        <v>9.3000000000000007</v>
      </c>
      <c r="J14" s="10">
        <v>33.99</v>
      </c>
      <c r="K14" s="10">
        <v>905</v>
      </c>
      <c r="L14">
        <f t="shared" si="0"/>
        <v>5.8823529411764594E-2</v>
      </c>
    </row>
    <row r="15" spans="1:12">
      <c r="A15" s="10" t="s">
        <v>36</v>
      </c>
      <c r="B15" s="10">
        <v>51.35</v>
      </c>
      <c r="C15" s="10">
        <v>52.56</v>
      </c>
      <c r="D15" s="10">
        <v>49.29</v>
      </c>
      <c r="E15" s="10">
        <v>51.37</v>
      </c>
      <c r="F15" s="10">
        <v>0.36</v>
      </c>
      <c r="G15" s="10">
        <v>2657</v>
      </c>
      <c r="H15" s="10">
        <v>422</v>
      </c>
      <c r="I15" s="10">
        <v>15.59</v>
      </c>
      <c r="J15" s="10">
        <v>35.07</v>
      </c>
      <c r="K15" s="10">
        <v>631</v>
      </c>
      <c r="L15">
        <f t="shared" si="0"/>
        <v>5.5555555555555608E-2</v>
      </c>
    </row>
    <row r="16" spans="1:12">
      <c r="A16" s="10" t="s">
        <v>190</v>
      </c>
      <c r="B16" s="10">
        <v>51.88</v>
      </c>
      <c r="C16" s="10">
        <v>53.42</v>
      </c>
      <c r="D16" s="10">
        <v>50.66</v>
      </c>
      <c r="E16" s="10">
        <v>51.29</v>
      </c>
      <c r="F16" s="10">
        <v>0.38</v>
      </c>
      <c r="G16" s="10">
        <v>3259</v>
      </c>
      <c r="H16" s="10">
        <v>258</v>
      </c>
      <c r="I16" s="10">
        <v>7.4</v>
      </c>
      <c r="J16" s="10">
        <v>33.25</v>
      </c>
      <c r="K16" s="10">
        <v>1487</v>
      </c>
      <c r="L16">
        <f t="shared" si="0"/>
        <v>0</v>
      </c>
    </row>
    <row r="17" spans="1:12">
      <c r="A17" s="10" t="s">
        <v>256</v>
      </c>
      <c r="B17" s="10">
        <v>49.57</v>
      </c>
      <c r="C17" s="10">
        <v>50</v>
      </c>
      <c r="D17" s="10">
        <v>41.67</v>
      </c>
      <c r="E17" s="10">
        <v>47.34</v>
      </c>
      <c r="F17" s="10">
        <v>0.38</v>
      </c>
      <c r="G17" s="10">
        <v>3241</v>
      </c>
      <c r="H17" s="10">
        <v>300</v>
      </c>
      <c r="I17" s="10">
        <v>9.27</v>
      </c>
      <c r="J17" s="10">
        <v>36.69</v>
      </c>
      <c r="K17" s="10">
        <v>1206</v>
      </c>
      <c r="L17">
        <f t="shared" si="0"/>
        <v>0</v>
      </c>
    </row>
    <row r="18" spans="1:12">
      <c r="A18" s="10" t="s">
        <v>203</v>
      </c>
      <c r="B18" s="10">
        <v>51.77</v>
      </c>
      <c r="C18" s="10">
        <v>52.18</v>
      </c>
      <c r="D18" s="10">
        <v>43.64</v>
      </c>
      <c r="E18" s="10">
        <v>44.98</v>
      </c>
      <c r="F18" s="10">
        <v>0.38</v>
      </c>
      <c r="G18" s="10">
        <v>2807</v>
      </c>
      <c r="H18" s="10">
        <v>254</v>
      </c>
      <c r="I18" s="10">
        <v>9.0299999999999994</v>
      </c>
      <c r="J18" s="10">
        <v>35.61</v>
      </c>
      <c r="K18" s="10">
        <v>1054</v>
      </c>
      <c r="L18">
        <f t="shared" si="0"/>
        <v>0</v>
      </c>
    </row>
    <row r="19" spans="1:12">
      <c r="A19" s="10" t="s">
        <v>89</v>
      </c>
      <c r="B19" s="10">
        <v>38.21</v>
      </c>
      <c r="C19" s="10">
        <v>41.68</v>
      </c>
      <c r="D19" s="10">
        <v>37.69</v>
      </c>
      <c r="E19" s="10">
        <v>39.450000000000003</v>
      </c>
      <c r="F19" s="10">
        <v>0.38</v>
      </c>
      <c r="G19" s="10">
        <v>3037</v>
      </c>
      <c r="H19" s="10">
        <v>368</v>
      </c>
      <c r="I19" s="10">
        <v>12.12</v>
      </c>
      <c r="J19" s="10">
        <v>36.950000000000003</v>
      </c>
      <c r="K19" s="10">
        <v>896</v>
      </c>
      <c r="L19">
        <f t="shared" si="0"/>
        <v>2.6315789473684233E-2</v>
      </c>
    </row>
    <row r="20" spans="1:12">
      <c r="A20" s="10" t="s">
        <v>127</v>
      </c>
      <c r="B20" s="10">
        <v>43.97</v>
      </c>
      <c r="C20" s="10">
        <v>44.82</v>
      </c>
      <c r="D20" s="10">
        <v>38.034999999999997</v>
      </c>
      <c r="E20" s="10">
        <v>41.11</v>
      </c>
      <c r="F20" s="10">
        <v>0.39</v>
      </c>
      <c r="G20" s="10">
        <v>3026</v>
      </c>
      <c r="H20" s="10">
        <v>322</v>
      </c>
      <c r="I20" s="10">
        <v>10.65</v>
      </c>
      <c r="J20" s="10">
        <v>38.78</v>
      </c>
      <c r="K20" s="10">
        <v>1230</v>
      </c>
      <c r="L20">
        <f t="shared" si="0"/>
        <v>5.1282051282051183E-2</v>
      </c>
    </row>
    <row r="21" spans="1:12">
      <c r="A21" s="10" t="s">
        <v>88</v>
      </c>
      <c r="B21" s="10">
        <v>49.22</v>
      </c>
      <c r="C21" s="10">
        <v>51.72</v>
      </c>
      <c r="D21" s="10">
        <v>47.56</v>
      </c>
      <c r="E21" s="10">
        <v>51.51</v>
      </c>
      <c r="F21" s="10">
        <v>0.41</v>
      </c>
      <c r="G21" s="10">
        <v>2818</v>
      </c>
      <c r="H21" s="10">
        <v>308</v>
      </c>
      <c r="I21" s="10">
        <v>10.94</v>
      </c>
      <c r="J21" s="10">
        <v>36.340000000000003</v>
      </c>
      <c r="K21" s="10">
        <v>802</v>
      </c>
      <c r="L21">
        <f t="shared" si="0"/>
        <v>4.8780487804878092E-2</v>
      </c>
    </row>
    <row r="22" spans="1:12">
      <c r="A22" s="10" t="s">
        <v>24</v>
      </c>
      <c r="B22" s="10">
        <v>57.75</v>
      </c>
      <c r="C22" s="10">
        <v>61.34</v>
      </c>
      <c r="D22" s="10">
        <v>57.392000000000003</v>
      </c>
      <c r="E22" s="10">
        <v>57.86</v>
      </c>
      <c r="F22" s="10">
        <v>0.43</v>
      </c>
      <c r="G22" s="10">
        <v>3514</v>
      </c>
      <c r="H22" s="10">
        <v>318</v>
      </c>
      <c r="I22" s="10">
        <v>9.0500000000000007</v>
      </c>
      <c r="J22" s="10">
        <v>36.53</v>
      </c>
      <c r="K22" s="10">
        <v>931</v>
      </c>
      <c r="L22">
        <f t="shared" si="0"/>
        <v>4.6511627906976785E-2</v>
      </c>
    </row>
    <row r="23" spans="1:12">
      <c r="A23" s="10" t="s">
        <v>55</v>
      </c>
      <c r="B23" s="10">
        <v>63.53</v>
      </c>
      <c r="C23" s="10">
        <v>64.650000000000006</v>
      </c>
      <c r="D23" s="10">
        <v>60.18</v>
      </c>
      <c r="E23" s="10">
        <v>63.11</v>
      </c>
      <c r="F23" s="10">
        <v>0.45</v>
      </c>
      <c r="G23" s="10">
        <v>3049</v>
      </c>
      <c r="H23" s="10">
        <v>349</v>
      </c>
      <c r="I23" s="10">
        <v>11.44</v>
      </c>
      <c r="J23" s="10">
        <v>35.78</v>
      </c>
      <c r="K23" s="10">
        <v>523</v>
      </c>
      <c r="L23">
        <f t="shared" si="0"/>
        <v>2.222222222222224E-2</v>
      </c>
    </row>
    <row r="24" spans="1:12">
      <c r="A24" s="10" t="s">
        <v>183</v>
      </c>
      <c r="B24" s="10">
        <v>62.75</v>
      </c>
      <c r="C24" s="10">
        <v>66.12</v>
      </c>
      <c r="D24" s="10">
        <v>61.95</v>
      </c>
      <c r="E24" s="10">
        <v>64.069999999999993</v>
      </c>
      <c r="F24" s="10">
        <v>0.46</v>
      </c>
      <c r="G24" s="10">
        <v>3178</v>
      </c>
      <c r="H24" s="10">
        <v>310</v>
      </c>
      <c r="I24" s="10">
        <v>9.74</v>
      </c>
      <c r="J24" s="10">
        <v>37.840000000000003</v>
      </c>
      <c r="K24" s="10">
        <v>1306</v>
      </c>
      <c r="L24">
        <f t="shared" si="0"/>
        <v>2.1739130434782507E-2</v>
      </c>
    </row>
    <row r="25" spans="1:12">
      <c r="A25" s="10" t="s">
        <v>34</v>
      </c>
      <c r="B25" s="10">
        <v>62.65</v>
      </c>
      <c r="C25" s="10">
        <v>64.75</v>
      </c>
      <c r="D25" s="10">
        <v>59.62</v>
      </c>
      <c r="E25" s="10">
        <v>64.34</v>
      </c>
      <c r="F25" s="10">
        <v>0.47</v>
      </c>
      <c r="G25" s="10">
        <v>4628</v>
      </c>
      <c r="H25" s="10">
        <v>810</v>
      </c>
      <c r="I25" s="10">
        <v>17.510000000000002</v>
      </c>
      <c r="J25" s="10">
        <v>39.770000000000003</v>
      </c>
      <c r="K25" s="10">
        <v>1800</v>
      </c>
      <c r="L25">
        <f t="shared" si="0"/>
        <v>4.2553191489361743E-2</v>
      </c>
    </row>
    <row r="26" spans="1:12">
      <c r="A26" s="10" t="s">
        <v>173</v>
      </c>
      <c r="B26" s="10">
        <v>70.569999999999993</v>
      </c>
      <c r="C26" s="10">
        <v>72.040000000000006</v>
      </c>
      <c r="D26" s="10">
        <v>68.28</v>
      </c>
      <c r="E26" s="10">
        <v>70.56</v>
      </c>
      <c r="F26" s="10">
        <v>0.49</v>
      </c>
      <c r="G26" s="10">
        <v>3238</v>
      </c>
      <c r="H26" s="10">
        <v>842</v>
      </c>
      <c r="I26" s="10">
        <v>26</v>
      </c>
      <c r="J26" s="10">
        <v>29.62</v>
      </c>
      <c r="K26" s="10">
        <v>559</v>
      </c>
      <c r="L26">
        <f t="shared" si="0"/>
        <v>4.0816326530612283E-2</v>
      </c>
    </row>
    <row r="27" spans="1:12">
      <c r="A27" s="10" t="s">
        <v>282</v>
      </c>
      <c r="B27" s="10">
        <v>62.37</v>
      </c>
      <c r="C27" s="10">
        <v>63.5839</v>
      </c>
      <c r="D27" s="10">
        <v>57.62</v>
      </c>
      <c r="E27" s="10">
        <v>60.91</v>
      </c>
      <c r="F27" s="10">
        <v>0.51</v>
      </c>
      <c r="G27" s="10">
        <v>2884</v>
      </c>
      <c r="H27" s="10">
        <v>397</v>
      </c>
      <c r="I27" s="10">
        <v>13.77</v>
      </c>
      <c r="J27" s="10">
        <v>23.73</v>
      </c>
      <c r="K27" s="10">
        <v>747</v>
      </c>
      <c r="L27">
        <f t="shared" si="0"/>
        <v>1.9607843137254919E-2</v>
      </c>
    </row>
    <row r="28" spans="1:12">
      <c r="A28" s="10" t="s">
        <v>110</v>
      </c>
      <c r="B28" s="10">
        <v>55.99</v>
      </c>
      <c r="C28" s="10">
        <v>57.86</v>
      </c>
      <c r="D28" s="10">
        <v>52.31</v>
      </c>
      <c r="E28" s="10">
        <v>52.95</v>
      </c>
      <c r="F28" s="10">
        <v>0.52</v>
      </c>
      <c r="G28" s="10">
        <v>3235</v>
      </c>
      <c r="H28" s="10">
        <v>457</v>
      </c>
      <c r="I28" s="10">
        <v>14.11</v>
      </c>
      <c r="J28" s="10">
        <v>23.98</v>
      </c>
      <c r="K28" s="10">
        <v>892</v>
      </c>
      <c r="L28">
        <f t="shared" si="0"/>
        <v>1.9230769230769246E-2</v>
      </c>
    </row>
    <row r="29" spans="1:12">
      <c r="A29" s="10" t="s">
        <v>52</v>
      </c>
      <c r="B29" s="10">
        <v>55.06</v>
      </c>
      <c r="C29" s="10">
        <v>60.15</v>
      </c>
      <c r="D29" s="10">
        <v>53.93</v>
      </c>
      <c r="E29" s="10">
        <v>58.59</v>
      </c>
      <c r="F29" s="10">
        <v>0.53</v>
      </c>
      <c r="G29" s="10">
        <v>4348</v>
      </c>
      <c r="H29" s="10">
        <v>456</v>
      </c>
      <c r="I29" s="10">
        <v>10.49</v>
      </c>
      <c r="J29" s="10">
        <v>23.25</v>
      </c>
      <c r="K29" s="10">
        <v>2076</v>
      </c>
      <c r="L29">
        <f t="shared" si="0"/>
        <v>1.8867924528301903E-2</v>
      </c>
    </row>
    <row r="30" spans="1:12">
      <c r="A30" s="10" t="s">
        <v>107</v>
      </c>
      <c r="B30" s="10">
        <v>49.82</v>
      </c>
      <c r="C30" s="10">
        <v>50.03</v>
      </c>
      <c r="D30" s="10">
        <v>40.42</v>
      </c>
      <c r="E30" s="10">
        <v>44.17</v>
      </c>
      <c r="F30" s="10">
        <v>0.54</v>
      </c>
      <c r="G30" s="10">
        <v>3771</v>
      </c>
      <c r="H30" s="10">
        <v>237</v>
      </c>
      <c r="I30" s="10">
        <v>6.27</v>
      </c>
      <c r="J30" s="10">
        <v>27.78</v>
      </c>
      <c r="K30" s="10">
        <v>1443</v>
      </c>
      <c r="L30">
        <f t="shared" si="0"/>
        <v>0</v>
      </c>
    </row>
    <row r="31" spans="1:12">
      <c r="A31" s="10" t="s">
        <v>18</v>
      </c>
      <c r="B31" s="10">
        <v>52.38</v>
      </c>
      <c r="C31" s="10">
        <v>53.24</v>
      </c>
      <c r="D31" s="10">
        <v>48.84</v>
      </c>
      <c r="E31" s="10">
        <v>50.19</v>
      </c>
      <c r="F31" s="10">
        <v>0.54</v>
      </c>
      <c r="G31" s="10">
        <v>3744</v>
      </c>
      <c r="H31" s="10">
        <v>430</v>
      </c>
      <c r="I31" s="10">
        <v>11.48</v>
      </c>
      <c r="J31" s="10">
        <v>39.18</v>
      </c>
      <c r="K31" s="10">
        <v>1176</v>
      </c>
      <c r="L31">
        <f t="shared" si="0"/>
        <v>0</v>
      </c>
    </row>
    <row r="32" spans="1:12">
      <c r="A32" s="10" t="s">
        <v>222</v>
      </c>
      <c r="B32" s="10">
        <v>51.5</v>
      </c>
      <c r="C32" s="10">
        <v>58.56</v>
      </c>
      <c r="D32" s="10">
        <v>51.364800000000002</v>
      </c>
      <c r="E32" s="10">
        <v>57.92</v>
      </c>
      <c r="F32" s="10">
        <v>0.54</v>
      </c>
      <c r="G32" s="10">
        <v>3973</v>
      </c>
      <c r="H32" s="10">
        <v>386</v>
      </c>
      <c r="I32" s="10">
        <v>9.7200000000000006</v>
      </c>
      <c r="J32" s="10">
        <v>38.520000000000003</v>
      </c>
      <c r="K32" s="10">
        <v>1502</v>
      </c>
      <c r="L32">
        <f t="shared" si="0"/>
        <v>1.8518518518518535E-2</v>
      </c>
    </row>
    <row r="33" spans="1:12">
      <c r="A33" s="10" t="s">
        <v>170</v>
      </c>
      <c r="B33" s="10">
        <v>52.95</v>
      </c>
      <c r="C33" s="10">
        <v>58.28</v>
      </c>
      <c r="D33" s="10">
        <v>52.03</v>
      </c>
      <c r="E33" s="10">
        <v>57.14</v>
      </c>
      <c r="F33" s="10">
        <v>0.55000000000000004</v>
      </c>
      <c r="G33" s="10">
        <v>4458</v>
      </c>
      <c r="H33" s="10">
        <v>277</v>
      </c>
      <c r="I33" s="10">
        <v>6.22</v>
      </c>
      <c r="J33" s="10">
        <v>40.340000000000003</v>
      </c>
      <c r="K33" s="10">
        <v>1786</v>
      </c>
      <c r="L33">
        <f t="shared" si="0"/>
        <v>0</v>
      </c>
    </row>
    <row r="34" spans="1:12">
      <c r="A34" s="10" t="s">
        <v>250</v>
      </c>
      <c r="B34" s="10">
        <v>54.63</v>
      </c>
      <c r="C34" s="10">
        <v>55.88</v>
      </c>
      <c r="D34" s="10">
        <v>52.17</v>
      </c>
      <c r="E34" s="10">
        <v>55</v>
      </c>
      <c r="F34" s="10">
        <v>0.55000000000000004</v>
      </c>
      <c r="G34" s="10">
        <v>4047</v>
      </c>
      <c r="H34" s="10">
        <v>301</v>
      </c>
      <c r="I34" s="10">
        <v>7.43</v>
      </c>
      <c r="J34" s="10">
        <v>45.88</v>
      </c>
      <c r="K34" s="10">
        <v>1028</v>
      </c>
      <c r="L34">
        <f t="shared" si="0"/>
        <v>1.8181818181818195E-2</v>
      </c>
    </row>
    <row r="35" spans="1:12">
      <c r="A35" s="10" t="s">
        <v>126</v>
      </c>
      <c r="B35" s="10">
        <v>44.6</v>
      </c>
      <c r="C35" s="10">
        <v>47.63</v>
      </c>
      <c r="D35" s="10">
        <v>23.31</v>
      </c>
      <c r="E35" s="10">
        <v>31.34</v>
      </c>
      <c r="F35" s="10">
        <v>0.56000000000000005</v>
      </c>
      <c r="G35" s="10">
        <v>4551</v>
      </c>
      <c r="H35" s="10">
        <v>289</v>
      </c>
      <c r="I35" s="10">
        <v>6.35</v>
      </c>
      <c r="J35" s="10">
        <v>43.95</v>
      </c>
      <c r="K35" s="10">
        <v>1589</v>
      </c>
      <c r="L35">
        <f t="shared" si="0"/>
        <v>0</v>
      </c>
    </row>
    <row r="36" spans="1:12">
      <c r="A36" s="10" t="s">
        <v>161</v>
      </c>
      <c r="B36" s="10">
        <v>38.619999999999997</v>
      </c>
      <c r="C36" s="10">
        <v>49.34</v>
      </c>
      <c r="D36" s="10">
        <v>37.950000000000003</v>
      </c>
      <c r="E36" s="10">
        <v>41.54</v>
      </c>
      <c r="F36" s="10">
        <v>0.56000000000000005</v>
      </c>
      <c r="G36" s="10">
        <v>3115</v>
      </c>
      <c r="H36" s="10">
        <v>398</v>
      </c>
      <c r="I36" s="10">
        <v>12.79</v>
      </c>
      <c r="J36" s="10">
        <v>49.22</v>
      </c>
      <c r="K36" s="10">
        <v>457</v>
      </c>
      <c r="L36">
        <f t="shared" si="0"/>
        <v>0</v>
      </c>
    </row>
    <row r="37" spans="1:12">
      <c r="A37" s="10" t="s">
        <v>28</v>
      </c>
      <c r="B37" s="10">
        <v>41.75</v>
      </c>
      <c r="C37" s="10">
        <v>44.53</v>
      </c>
      <c r="D37" s="10">
        <v>37.03</v>
      </c>
      <c r="E37" s="10">
        <v>40.270000000000003</v>
      </c>
      <c r="F37" s="10">
        <v>0.56000000000000005</v>
      </c>
      <c r="G37" s="10">
        <v>3311</v>
      </c>
      <c r="H37" s="10">
        <v>236</v>
      </c>
      <c r="I37" s="10">
        <v>7.13</v>
      </c>
      <c r="J37" s="10">
        <v>48.79</v>
      </c>
      <c r="K37" s="10">
        <v>1064</v>
      </c>
      <c r="L37">
        <f t="shared" si="0"/>
        <v>0</v>
      </c>
    </row>
    <row r="38" spans="1:12">
      <c r="A38" s="10" t="s">
        <v>212</v>
      </c>
      <c r="B38" s="10">
        <v>50.027099999999997</v>
      </c>
      <c r="C38" s="10">
        <v>52.7</v>
      </c>
      <c r="D38" s="10">
        <v>46.81</v>
      </c>
      <c r="E38" s="10">
        <v>49.61</v>
      </c>
      <c r="F38" s="10">
        <v>0.56000000000000005</v>
      </c>
      <c r="G38" s="10">
        <v>3765</v>
      </c>
      <c r="H38" s="10">
        <v>473</v>
      </c>
      <c r="I38" s="10">
        <v>12.55</v>
      </c>
      <c r="J38" s="10">
        <v>50.57</v>
      </c>
      <c r="K38" s="10">
        <v>628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2"/>
  <dimension ref="A1:L40"/>
  <sheetViews>
    <sheetView zoomScale="55" zoomScaleNormal="55" zoomScaleSheetLayoutView="75" workbookViewId="0">
      <selection activeCell="AE14" sqref="AE14"/>
    </sheetView>
  </sheetViews>
  <sheetFormatPr baseColWidth="10" defaultColWidth="9.1640625" defaultRowHeight="15"/>
  <sheetData>
    <row r="1" spans="1:12">
      <c r="A1" s="10" t="s">
        <v>273</v>
      </c>
      <c r="B1" s="10" t="s">
        <v>69</v>
      </c>
      <c r="C1" s="10" t="s">
        <v>201</v>
      </c>
      <c r="D1" s="10" t="s">
        <v>105</v>
      </c>
      <c r="E1" s="10" t="s">
        <v>262</v>
      </c>
      <c r="F1" s="10" t="s">
        <v>223</v>
      </c>
      <c r="G1" s="10" t="s">
        <v>259</v>
      </c>
      <c r="H1" s="10" t="s">
        <v>27</v>
      </c>
      <c r="I1" s="10" t="s">
        <v>278</v>
      </c>
      <c r="J1" s="10" t="s">
        <v>128</v>
      </c>
      <c r="K1" s="10" t="s">
        <v>308</v>
      </c>
    </row>
    <row r="2" spans="1:12">
      <c r="A2" s="10" t="s">
        <v>79</v>
      </c>
      <c r="B2" s="10">
        <v>31.39</v>
      </c>
      <c r="C2" s="10">
        <v>31.41</v>
      </c>
      <c r="D2" s="10">
        <v>28.251000000000001</v>
      </c>
      <c r="E2" s="10">
        <v>30.08</v>
      </c>
      <c r="F2" s="10">
        <v>0.36</v>
      </c>
      <c r="G2" s="10">
        <v>5157</v>
      </c>
      <c r="H2" s="10">
        <v>432</v>
      </c>
      <c r="I2" s="10">
        <v>7.91</v>
      </c>
      <c r="J2" s="10">
        <v>43.24</v>
      </c>
      <c r="K2" s="10">
        <v>2081</v>
      </c>
      <c r="L2">
        <f t="shared" ref="L2:L39" si="0">(F3-F2)/F2</f>
        <v>0</v>
      </c>
    </row>
    <row r="3" spans="1:12">
      <c r="A3" s="10" t="s">
        <v>181</v>
      </c>
      <c r="B3" s="10">
        <v>27.19</v>
      </c>
      <c r="C3" s="10">
        <v>27.38</v>
      </c>
      <c r="D3" s="10">
        <v>22.62</v>
      </c>
      <c r="E3" s="10">
        <v>23.79</v>
      </c>
      <c r="F3" s="10">
        <v>0.36</v>
      </c>
      <c r="G3" s="10">
        <v>7506</v>
      </c>
      <c r="H3" s="10">
        <v>-596</v>
      </c>
      <c r="I3" s="10">
        <v>-8.27</v>
      </c>
      <c r="J3" s="10">
        <v>90.57</v>
      </c>
      <c r="K3" s="10">
        <v>-428</v>
      </c>
      <c r="L3">
        <f t="shared" si="0"/>
        <v>0</v>
      </c>
    </row>
    <row r="4" spans="1:12">
      <c r="A4" s="10" t="s">
        <v>217</v>
      </c>
      <c r="B4" s="10">
        <v>17.98</v>
      </c>
      <c r="C4" s="10">
        <v>19.559999999999999</v>
      </c>
      <c r="D4" s="10">
        <v>17.59</v>
      </c>
      <c r="E4" s="10">
        <v>18.52</v>
      </c>
      <c r="F4" s="10">
        <v>0.36</v>
      </c>
      <c r="G4" s="10">
        <v>5715</v>
      </c>
      <c r="H4" s="10">
        <v>-491</v>
      </c>
      <c r="I4" s="10">
        <v>-9.19</v>
      </c>
      <c r="J4" s="10">
        <v>90.57</v>
      </c>
      <c r="K4" s="10">
        <v>529</v>
      </c>
      <c r="L4">
        <f t="shared" si="0"/>
        <v>0</v>
      </c>
    </row>
    <row r="5" spans="1:12">
      <c r="A5" s="10" t="s">
        <v>162</v>
      </c>
      <c r="B5" s="10">
        <v>22.06</v>
      </c>
      <c r="C5" s="10">
        <v>24.41</v>
      </c>
      <c r="D5" s="10">
        <v>20.4801</v>
      </c>
      <c r="E5" s="10">
        <v>23.69</v>
      </c>
      <c r="F5" s="10">
        <v>0.36</v>
      </c>
      <c r="G5" s="10">
        <v>3140</v>
      </c>
      <c r="H5" s="10">
        <v>717</v>
      </c>
      <c r="I5" s="10">
        <v>21.85</v>
      </c>
      <c r="J5" s="10" t="s">
        <v>240</v>
      </c>
      <c r="K5" s="10">
        <v>-752</v>
      </c>
      <c r="L5">
        <f t="shared" si="0"/>
        <v>0</v>
      </c>
    </row>
    <row r="6" spans="1:12">
      <c r="A6" s="10" t="s">
        <v>64</v>
      </c>
      <c r="B6" s="10">
        <v>20.03</v>
      </c>
      <c r="C6" s="10">
        <v>22.495999999999999</v>
      </c>
      <c r="D6" s="10">
        <v>18.940000000000001</v>
      </c>
      <c r="E6" s="10">
        <v>21.76</v>
      </c>
      <c r="F6" s="10">
        <v>0.36</v>
      </c>
      <c r="G6" s="10">
        <v>6050</v>
      </c>
      <c r="H6" s="10">
        <v>81</v>
      </c>
      <c r="I6" s="10">
        <v>0.84</v>
      </c>
      <c r="J6" s="10" t="s">
        <v>240</v>
      </c>
      <c r="K6" s="10">
        <v>1664</v>
      </c>
      <c r="L6">
        <f t="shared" si="0"/>
        <v>0</v>
      </c>
    </row>
    <row r="7" spans="1:12">
      <c r="A7" s="10" t="s">
        <v>226</v>
      </c>
      <c r="B7" s="10">
        <v>23.37</v>
      </c>
      <c r="C7" s="10">
        <v>25.73</v>
      </c>
      <c r="D7" s="10">
        <v>22.4922</v>
      </c>
      <c r="E7" s="10">
        <v>23.23</v>
      </c>
      <c r="F7" s="10">
        <v>0.36</v>
      </c>
      <c r="G7" s="10">
        <v>5236</v>
      </c>
      <c r="H7" s="10">
        <v>412</v>
      </c>
      <c r="I7" s="10">
        <v>7.31</v>
      </c>
      <c r="J7" s="10" t="s">
        <v>240</v>
      </c>
      <c r="K7" s="10">
        <v>-480</v>
      </c>
      <c r="L7">
        <f t="shared" si="0"/>
        <v>0</v>
      </c>
    </row>
    <row r="8" spans="1:12">
      <c r="A8" s="10" t="s">
        <v>247</v>
      </c>
      <c r="B8" s="10">
        <v>27.42</v>
      </c>
      <c r="C8" s="10">
        <v>28.48</v>
      </c>
      <c r="D8" s="10">
        <v>26.03</v>
      </c>
      <c r="E8" s="10">
        <v>26.53</v>
      </c>
      <c r="F8" s="10">
        <v>0.36</v>
      </c>
      <c r="G8" s="10">
        <v>3133</v>
      </c>
      <c r="H8" s="10">
        <v>471</v>
      </c>
      <c r="I8" s="10">
        <v>13.85</v>
      </c>
      <c r="J8" s="10">
        <v>63.3</v>
      </c>
      <c r="K8" s="10">
        <v>310</v>
      </c>
      <c r="L8">
        <f t="shared" si="0"/>
        <v>0</v>
      </c>
    </row>
    <row r="9" spans="1:12">
      <c r="A9" s="10" t="s">
        <v>19</v>
      </c>
      <c r="B9" s="10">
        <v>27.84</v>
      </c>
      <c r="C9" s="10">
        <v>28.31</v>
      </c>
      <c r="D9" s="10">
        <v>26.65</v>
      </c>
      <c r="E9" s="10">
        <v>27.29</v>
      </c>
      <c r="F9" s="10">
        <v>0.36</v>
      </c>
      <c r="G9" s="10">
        <v>3790</v>
      </c>
      <c r="H9" s="10">
        <v>536</v>
      </c>
      <c r="I9" s="10">
        <v>13.54</v>
      </c>
      <c r="J9" s="10">
        <v>63.3</v>
      </c>
      <c r="K9" s="10">
        <v>972</v>
      </c>
      <c r="L9">
        <f t="shared" si="0"/>
        <v>0</v>
      </c>
    </row>
    <row r="10" spans="1:12">
      <c r="A10" s="10" t="s">
        <v>192</v>
      </c>
      <c r="B10" s="10">
        <v>29.31</v>
      </c>
      <c r="C10" s="10">
        <v>30.31</v>
      </c>
      <c r="D10" s="10">
        <v>28.1</v>
      </c>
      <c r="E10" s="10">
        <v>29.62</v>
      </c>
      <c r="F10" s="10">
        <v>0.36</v>
      </c>
      <c r="G10" s="10">
        <v>1218</v>
      </c>
      <c r="H10" s="10">
        <v>428</v>
      </c>
      <c r="I10" s="10">
        <v>32.76</v>
      </c>
      <c r="J10" s="10">
        <v>63.38</v>
      </c>
      <c r="K10" s="10">
        <v>-847</v>
      </c>
      <c r="L10">
        <f t="shared" si="0"/>
        <v>0</v>
      </c>
    </row>
    <row r="11" spans="1:12">
      <c r="A11" s="10" t="s">
        <v>160</v>
      </c>
      <c r="B11" s="10">
        <v>30.72</v>
      </c>
      <c r="C11" s="10">
        <v>32.840000000000003</v>
      </c>
      <c r="D11" s="10">
        <v>30.46</v>
      </c>
      <c r="E11" s="10">
        <v>31.97</v>
      </c>
      <c r="F11" s="10">
        <v>0.36</v>
      </c>
      <c r="G11" s="10">
        <v>4156</v>
      </c>
      <c r="H11" s="10">
        <v>-488</v>
      </c>
      <c r="I11" s="10">
        <v>-12.51</v>
      </c>
      <c r="J11" s="10">
        <v>57.51</v>
      </c>
      <c r="K11" s="10">
        <v>615</v>
      </c>
      <c r="L11">
        <f t="shared" si="0"/>
        <v>0</v>
      </c>
    </row>
    <row r="12" spans="1:12">
      <c r="A12" s="10" t="s">
        <v>168</v>
      </c>
      <c r="B12" s="10">
        <v>34.5</v>
      </c>
      <c r="C12" s="10">
        <v>35.58</v>
      </c>
      <c r="D12" s="10">
        <v>33.46</v>
      </c>
      <c r="E12" s="10">
        <v>35.33</v>
      </c>
      <c r="F12" s="10">
        <v>0.36</v>
      </c>
      <c r="G12" s="10">
        <v>4710</v>
      </c>
      <c r="H12" s="10">
        <v>579</v>
      </c>
      <c r="I12" s="10">
        <v>11.68</v>
      </c>
      <c r="J12" s="10">
        <v>62.55</v>
      </c>
      <c r="K12" s="10">
        <v>-113</v>
      </c>
      <c r="L12">
        <f t="shared" si="0"/>
        <v>0</v>
      </c>
    </row>
    <row r="13" spans="1:12">
      <c r="A13" s="10" t="s">
        <v>63</v>
      </c>
      <c r="B13" s="10">
        <v>34.28</v>
      </c>
      <c r="C13" s="10">
        <v>35.44</v>
      </c>
      <c r="D13" s="10">
        <v>33.799999999999997</v>
      </c>
      <c r="E13" s="10">
        <v>34.630000000000003</v>
      </c>
      <c r="F13" s="10">
        <v>0.36</v>
      </c>
      <c r="G13" s="10">
        <v>6460</v>
      </c>
      <c r="H13" s="10">
        <v>433</v>
      </c>
      <c r="I13" s="10">
        <v>6.19</v>
      </c>
      <c r="J13" s="10">
        <v>51.83</v>
      </c>
      <c r="K13" s="10">
        <v>167</v>
      </c>
      <c r="L13">
        <f t="shared" si="0"/>
        <v>0</v>
      </c>
    </row>
    <row r="14" spans="1:12">
      <c r="A14" s="10" t="s">
        <v>14</v>
      </c>
      <c r="B14" s="10">
        <v>33.79</v>
      </c>
      <c r="C14" s="10">
        <v>36.869999999999997</v>
      </c>
      <c r="D14" s="10">
        <v>33.67</v>
      </c>
      <c r="E14" s="10">
        <v>36.71</v>
      </c>
      <c r="F14" s="10">
        <v>0.36</v>
      </c>
      <c r="G14" s="10">
        <v>6315</v>
      </c>
      <c r="H14" s="10">
        <v>455</v>
      </c>
      <c r="I14" s="10">
        <v>6.73</v>
      </c>
      <c r="J14" s="10">
        <v>52.3</v>
      </c>
      <c r="K14" s="10">
        <v>743</v>
      </c>
      <c r="L14">
        <f t="shared" si="0"/>
        <v>0</v>
      </c>
    </row>
    <row r="15" spans="1:12">
      <c r="A15" s="10" t="s">
        <v>288</v>
      </c>
      <c r="B15" s="10">
        <v>37.090000000000003</v>
      </c>
      <c r="C15" s="10">
        <v>38.71</v>
      </c>
      <c r="D15" s="10">
        <v>36.130099999999999</v>
      </c>
      <c r="E15" s="10">
        <v>36.270000000000003</v>
      </c>
      <c r="F15" s="10">
        <v>0.36</v>
      </c>
      <c r="G15" s="10">
        <v>5614</v>
      </c>
      <c r="H15" s="10">
        <v>460</v>
      </c>
      <c r="I15" s="10">
        <v>7.75</v>
      </c>
      <c r="J15" s="10">
        <v>51.38</v>
      </c>
      <c r="K15" s="10">
        <v>958</v>
      </c>
      <c r="L15">
        <f t="shared" si="0"/>
        <v>0</v>
      </c>
    </row>
    <row r="16" spans="1:12">
      <c r="A16" s="10" t="s">
        <v>133</v>
      </c>
      <c r="B16" s="10">
        <v>37.270000000000003</v>
      </c>
      <c r="C16" s="10">
        <v>38.08</v>
      </c>
      <c r="D16" s="10">
        <v>34.69</v>
      </c>
      <c r="E16" s="10">
        <v>36.06</v>
      </c>
      <c r="F16" s="10">
        <v>0.36</v>
      </c>
      <c r="G16" s="10">
        <v>7375</v>
      </c>
      <c r="H16" s="10">
        <v>534</v>
      </c>
      <c r="I16" s="10">
        <v>6.81</v>
      </c>
      <c r="J16" s="10">
        <v>48.34</v>
      </c>
      <c r="K16" s="10">
        <v>-64</v>
      </c>
      <c r="L16">
        <f t="shared" si="0"/>
        <v>0</v>
      </c>
    </row>
    <row r="17" spans="1:12">
      <c r="A17" s="10" t="s">
        <v>36</v>
      </c>
      <c r="B17" s="10">
        <v>30.81</v>
      </c>
      <c r="C17" s="10">
        <v>32.840000000000003</v>
      </c>
      <c r="D17" s="10">
        <v>30.309799999999999</v>
      </c>
      <c r="E17" s="10">
        <v>30.82</v>
      </c>
      <c r="F17" s="10">
        <v>0.36</v>
      </c>
      <c r="G17" s="10">
        <v>7332</v>
      </c>
      <c r="H17" s="10">
        <v>462</v>
      </c>
      <c r="I17" s="10">
        <v>6.01</v>
      </c>
      <c r="J17" s="10">
        <v>50.3</v>
      </c>
      <c r="K17" s="10">
        <v>890</v>
      </c>
      <c r="L17">
        <f t="shared" si="0"/>
        <v>5.5555555555555608E-2</v>
      </c>
    </row>
    <row r="18" spans="1:12">
      <c r="A18" s="10" t="s">
        <v>190</v>
      </c>
      <c r="B18" s="10">
        <v>31.85</v>
      </c>
      <c r="C18" s="10">
        <v>35.130000000000003</v>
      </c>
      <c r="D18" s="10">
        <v>31.43</v>
      </c>
      <c r="E18" s="10">
        <v>33.4</v>
      </c>
      <c r="F18" s="10">
        <v>0.38</v>
      </c>
      <c r="G18" s="10">
        <v>1682</v>
      </c>
      <c r="H18" s="10">
        <v>750</v>
      </c>
      <c r="I18" s="10">
        <v>43.16</v>
      </c>
      <c r="J18" s="10">
        <v>49.1</v>
      </c>
      <c r="K18" s="10">
        <v>570</v>
      </c>
      <c r="L18">
        <f t="shared" si="0"/>
        <v>0</v>
      </c>
    </row>
    <row r="19" spans="1:12">
      <c r="A19" s="10" t="s">
        <v>256</v>
      </c>
      <c r="B19" s="10">
        <v>31.38</v>
      </c>
      <c r="C19" s="10">
        <v>33.03</v>
      </c>
      <c r="D19" s="10">
        <v>30.57</v>
      </c>
      <c r="E19" s="10">
        <v>32.26</v>
      </c>
      <c r="F19" s="10">
        <v>0.38</v>
      </c>
      <c r="G19" s="10">
        <v>4693</v>
      </c>
      <c r="H19" s="10">
        <v>527</v>
      </c>
      <c r="I19" s="10">
        <v>10.27</v>
      </c>
      <c r="J19" s="10">
        <v>42.66</v>
      </c>
      <c r="K19" s="10">
        <v>1265</v>
      </c>
      <c r="L19">
        <f t="shared" si="0"/>
        <v>2.6315789473684233E-2</v>
      </c>
    </row>
    <row r="20" spans="1:12">
      <c r="A20" s="10" t="s">
        <v>203</v>
      </c>
      <c r="B20" s="10">
        <v>32.94</v>
      </c>
      <c r="C20" s="10">
        <v>33.770000000000003</v>
      </c>
      <c r="D20" s="10">
        <v>30.59</v>
      </c>
      <c r="E20" s="10">
        <v>31.2</v>
      </c>
      <c r="F20" s="10">
        <v>0.39</v>
      </c>
      <c r="G20" s="10">
        <v>5567</v>
      </c>
      <c r="H20" s="10">
        <v>561</v>
      </c>
      <c r="I20" s="10">
        <v>9.6300000000000008</v>
      </c>
      <c r="J20" s="10">
        <v>42.37</v>
      </c>
      <c r="K20" s="10">
        <v>1736</v>
      </c>
      <c r="L20">
        <f t="shared" si="0"/>
        <v>0</v>
      </c>
    </row>
    <row r="21" spans="1:12">
      <c r="A21" s="10" t="s">
        <v>89</v>
      </c>
      <c r="B21" s="10">
        <v>30.01</v>
      </c>
      <c r="C21" s="10">
        <v>32.9</v>
      </c>
      <c r="D21" s="10">
        <v>29.79</v>
      </c>
      <c r="E21" s="10">
        <v>32.270000000000003</v>
      </c>
      <c r="F21" s="10">
        <v>0.39</v>
      </c>
      <c r="G21" s="10">
        <v>8782</v>
      </c>
      <c r="H21" s="10">
        <v>570</v>
      </c>
      <c r="I21" s="10">
        <v>6.15</v>
      </c>
      <c r="J21" s="10">
        <v>42.54</v>
      </c>
      <c r="K21" s="10">
        <v>321</v>
      </c>
      <c r="L21">
        <f t="shared" si="0"/>
        <v>5.1282051282051183E-2</v>
      </c>
    </row>
    <row r="22" spans="1:12">
      <c r="A22" s="10" t="s">
        <v>127</v>
      </c>
      <c r="B22" s="10">
        <v>34.46</v>
      </c>
      <c r="C22" s="10">
        <v>35.43</v>
      </c>
      <c r="D22" s="10">
        <v>30.79</v>
      </c>
      <c r="E22" s="10">
        <v>32.83</v>
      </c>
      <c r="F22" s="10">
        <v>0.41</v>
      </c>
      <c r="G22" s="10">
        <v>9533</v>
      </c>
      <c r="H22" s="10">
        <v>511</v>
      </c>
      <c r="I22" s="10">
        <v>5.04</v>
      </c>
      <c r="J22" s="10">
        <v>41.51</v>
      </c>
      <c r="K22" s="10">
        <v>1330</v>
      </c>
      <c r="L22">
        <f t="shared" si="0"/>
        <v>0</v>
      </c>
    </row>
    <row r="23" spans="1:12">
      <c r="A23" s="10" t="s">
        <v>88</v>
      </c>
      <c r="B23" s="10">
        <v>31.41</v>
      </c>
      <c r="C23" s="10">
        <v>33.119999999999997</v>
      </c>
      <c r="D23" s="10">
        <v>30.38</v>
      </c>
      <c r="E23" s="10">
        <v>32.54</v>
      </c>
      <c r="F23" s="10">
        <v>0.41</v>
      </c>
      <c r="G23" s="10">
        <v>7892</v>
      </c>
      <c r="H23" s="10">
        <v>917</v>
      </c>
      <c r="I23" s="10">
        <v>9.34</v>
      </c>
      <c r="J23" s="10">
        <v>47.28</v>
      </c>
      <c r="K23" s="10">
        <v>640</v>
      </c>
      <c r="L23">
        <f t="shared" si="0"/>
        <v>2.4390243902439046E-2</v>
      </c>
    </row>
    <row r="24" spans="1:12">
      <c r="A24" s="10" t="s">
        <v>24</v>
      </c>
      <c r="B24" s="10">
        <v>38.74</v>
      </c>
      <c r="C24" s="10">
        <v>39.630000000000003</v>
      </c>
      <c r="D24" s="10">
        <v>37.781599999999997</v>
      </c>
      <c r="E24" s="10">
        <v>38.409999999999997</v>
      </c>
      <c r="F24" s="10">
        <v>0.42</v>
      </c>
      <c r="G24" s="10">
        <v>2366</v>
      </c>
      <c r="H24" s="10">
        <v>828</v>
      </c>
      <c r="I24" s="10">
        <v>30.77</v>
      </c>
      <c r="J24" s="10">
        <v>42.74</v>
      </c>
      <c r="K24" s="10">
        <v>1377</v>
      </c>
      <c r="L24">
        <f t="shared" si="0"/>
        <v>0</v>
      </c>
    </row>
    <row r="25" spans="1:12">
      <c r="A25" s="10" t="s">
        <v>55</v>
      </c>
      <c r="B25" s="10">
        <v>36.56</v>
      </c>
      <c r="C25" s="10">
        <v>37.43</v>
      </c>
      <c r="D25" s="10">
        <v>35.03</v>
      </c>
      <c r="E25" s="10">
        <v>36.549999999999997</v>
      </c>
      <c r="F25" s="10">
        <v>0.42</v>
      </c>
      <c r="G25" s="10">
        <v>7009</v>
      </c>
      <c r="H25" s="10">
        <v>749</v>
      </c>
      <c r="I25" s="10">
        <v>7.86</v>
      </c>
      <c r="J25" s="10">
        <v>40.200000000000003</v>
      </c>
      <c r="K25" s="10">
        <v>-618</v>
      </c>
      <c r="L25">
        <f t="shared" si="0"/>
        <v>4.7619047619047665E-2</v>
      </c>
    </row>
    <row r="26" spans="1:12">
      <c r="A26" s="10" t="s">
        <v>183</v>
      </c>
      <c r="B26" s="10">
        <v>32.83</v>
      </c>
      <c r="C26" s="10">
        <v>35.905000000000001</v>
      </c>
      <c r="D26" s="10">
        <v>32.369999999999997</v>
      </c>
      <c r="E26" s="10">
        <v>35.75</v>
      </c>
      <c r="F26" s="10">
        <v>0.44</v>
      </c>
      <c r="G26" s="10">
        <v>8122</v>
      </c>
      <c r="H26" s="10">
        <v>642</v>
      </c>
      <c r="I26" s="10">
        <v>7.07</v>
      </c>
      <c r="J26" s="10">
        <v>40.840000000000003</v>
      </c>
      <c r="K26" s="10">
        <v>1322</v>
      </c>
      <c r="L26">
        <f t="shared" si="0"/>
        <v>0</v>
      </c>
    </row>
    <row r="27" spans="1:12">
      <c r="A27" s="10" t="s">
        <v>34</v>
      </c>
      <c r="B27" s="10">
        <v>38.72</v>
      </c>
      <c r="C27" s="10">
        <v>40.04</v>
      </c>
      <c r="D27" s="10">
        <v>37.97</v>
      </c>
      <c r="E27" s="10">
        <v>39.82</v>
      </c>
      <c r="F27" s="10">
        <v>0.44</v>
      </c>
      <c r="G27" s="10">
        <v>5555</v>
      </c>
      <c r="H27" s="10">
        <v>850</v>
      </c>
      <c r="I27" s="10">
        <v>14.71</v>
      </c>
      <c r="J27" s="10">
        <v>40</v>
      </c>
      <c r="K27" s="10">
        <v>630</v>
      </c>
      <c r="L27">
        <f t="shared" si="0"/>
        <v>4.5454545454545497E-2</v>
      </c>
    </row>
    <row r="28" spans="1:12">
      <c r="A28" s="10" t="s">
        <v>173</v>
      </c>
      <c r="B28" s="10">
        <v>39.89</v>
      </c>
      <c r="C28" s="10">
        <v>41.4</v>
      </c>
      <c r="D28" s="10">
        <v>39.82</v>
      </c>
      <c r="E28" s="10">
        <v>41.26</v>
      </c>
      <c r="F28" s="10">
        <v>0.46</v>
      </c>
      <c r="G28" s="10">
        <v>8648</v>
      </c>
      <c r="H28" s="10">
        <v>246</v>
      </c>
      <c r="I28" s="10">
        <v>2.39</v>
      </c>
      <c r="J28" s="10">
        <v>39.4</v>
      </c>
      <c r="K28" s="10">
        <v>650</v>
      </c>
      <c r="L28">
        <f t="shared" si="0"/>
        <v>0</v>
      </c>
    </row>
    <row r="29" spans="1:12">
      <c r="A29" s="10" t="s">
        <v>282</v>
      </c>
      <c r="B29" s="10">
        <v>41.11</v>
      </c>
      <c r="C29" s="10">
        <v>43.2</v>
      </c>
      <c r="D29" s="10">
        <v>40.200000000000003</v>
      </c>
      <c r="E29" s="10">
        <v>41.12</v>
      </c>
      <c r="F29" s="10">
        <v>0.46</v>
      </c>
      <c r="G29" s="10">
        <v>5993</v>
      </c>
      <c r="H29" s="10">
        <v>605</v>
      </c>
      <c r="I29" s="10">
        <v>11.16</v>
      </c>
      <c r="J29" s="10">
        <v>50</v>
      </c>
      <c r="K29" s="10">
        <v>430</v>
      </c>
      <c r="L29">
        <f t="shared" si="0"/>
        <v>4.3478260869565133E-2</v>
      </c>
    </row>
    <row r="30" spans="1:12">
      <c r="A30" s="10" t="s">
        <v>110</v>
      </c>
      <c r="B30" s="10">
        <v>41.64</v>
      </c>
      <c r="C30" s="10">
        <v>42.75</v>
      </c>
      <c r="D30" s="10">
        <v>39.08</v>
      </c>
      <c r="E30" s="10">
        <v>40.14</v>
      </c>
      <c r="F30" s="10">
        <v>0.48</v>
      </c>
      <c r="G30" s="10">
        <v>6826</v>
      </c>
      <c r="H30" s="10">
        <v>770</v>
      </c>
      <c r="I30" s="10">
        <v>10.34</v>
      </c>
      <c r="J30" s="10">
        <v>48.24</v>
      </c>
      <c r="K30" s="10">
        <v>403</v>
      </c>
      <c r="L30">
        <f t="shared" si="0"/>
        <v>0</v>
      </c>
    </row>
    <row r="31" spans="1:12">
      <c r="A31" s="10" t="s">
        <v>52</v>
      </c>
      <c r="B31" s="10">
        <v>39.42</v>
      </c>
      <c r="C31" s="10">
        <v>40.89</v>
      </c>
      <c r="D31" s="10">
        <v>38.25</v>
      </c>
      <c r="E31" s="10">
        <v>39.76</v>
      </c>
      <c r="F31" s="10">
        <v>0.48</v>
      </c>
      <c r="G31" s="10">
        <v>5998</v>
      </c>
      <c r="H31" s="10">
        <v>877</v>
      </c>
      <c r="I31" s="10">
        <v>9.4499999999999993</v>
      </c>
      <c r="J31" s="10">
        <v>46.55</v>
      </c>
      <c r="K31" s="10">
        <v>1118</v>
      </c>
      <c r="L31">
        <f t="shared" si="0"/>
        <v>4.1666666666666706E-2</v>
      </c>
    </row>
    <row r="32" spans="1:12">
      <c r="A32" s="10" t="s">
        <v>107</v>
      </c>
      <c r="B32" s="10">
        <v>37.409999999999997</v>
      </c>
      <c r="C32" s="10">
        <v>37.43</v>
      </c>
      <c r="D32" s="10">
        <v>31.49</v>
      </c>
      <c r="E32" s="10">
        <v>33.19</v>
      </c>
      <c r="F32" s="10">
        <v>0.5</v>
      </c>
      <c r="G32" s="10">
        <v>8180</v>
      </c>
      <c r="H32" s="10">
        <v>662</v>
      </c>
      <c r="I32" s="10">
        <v>7.09</v>
      </c>
      <c r="J32" s="10">
        <v>52.99</v>
      </c>
      <c r="K32" s="10">
        <v>1883</v>
      </c>
      <c r="L32">
        <f t="shared" si="0"/>
        <v>0</v>
      </c>
    </row>
    <row r="33" spans="1:12">
      <c r="A33" s="10" t="s">
        <v>18</v>
      </c>
      <c r="B33" s="10">
        <v>37.83</v>
      </c>
      <c r="C33" s="10">
        <v>39.340000000000003</v>
      </c>
      <c r="D33" s="10">
        <v>37.25</v>
      </c>
      <c r="E33" s="10">
        <v>38.409999999999997</v>
      </c>
      <c r="F33" s="10">
        <v>0.5</v>
      </c>
      <c r="G33" s="10">
        <v>11392</v>
      </c>
      <c r="H33" s="10">
        <v>714</v>
      </c>
      <c r="I33" s="10">
        <v>5.47</v>
      </c>
      <c r="J33" s="10">
        <v>46.01</v>
      </c>
      <c r="K33" s="10">
        <v>-1227</v>
      </c>
      <c r="L33">
        <f t="shared" si="0"/>
        <v>6.0000000000000053E-2</v>
      </c>
    </row>
    <row r="34" spans="1:12">
      <c r="A34" s="10" t="s">
        <v>222</v>
      </c>
      <c r="B34" s="10">
        <v>38.86</v>
      </c>
      <c r="C34" s="10">
        <v>41.58</v>
      </c>
      <c r="D34" s="10">
        <v>38.75</v>
      </c>
      <c r="E34" s="10">
        <v>41.36</v>
      </c>
      <c r="F34" s="10">
        <v>0.53</v>
      </c>
      <c r="G34" s="10">
        <v>10146</v>
      </c>
      <c r="H34" s="10">
        <v>664</v>
      </c>
      <c r="I34" s="10">
        <v>5.86</v>
      </c>
      <c r="J34" s="10">
        <v>47.68</v>
      </c>
      <c r="K34" s="10">
        <v>1901</v>
      </c>
      <c r="L34">
        <f t="shared" si="0"/>
        <v>0</v>
      </c>
    </row>
    <row r="35" spans="1:12">
      <c r="A35" s="10" t="s">
        <v>170</v>
      </c>
      <c r="B35" s="10">
        <v>40.67</v>
      </c>
      <c r="C35" s="10">
        <v>45.02</v>
      </c>
      <c r="D35" s="10">
        <v>40.49</v>
      </c>
      <c r="E35" s="10">
        <v>44.81</v>
      </c>
      <c r="F35" s="10">
        <v>0.53</v>
      </c>
      <c r="G35" s="10">
        <v>9616</v>
      </c>
      <c r="H35" s="10">
        <v>756</v>
      </c>
      <c r="I35" s="10">
        <v>7.08</v>
      </c>
      <c r="J35" s="10">
        <v>50.89</v>
      </c>
      <c r="K35" s="10">
        <v>193</v>
      </c>
      <c r="L35">
        <f t="shared" si="0"/>
        <v>3.7735849056603807E-2</v>
      </c>
    </row>
    <row r="36" spans="1:12">
      <c r="A36" s="10" t="s">
        <v>250</v>
      </c>
      <c r="B36" s="10">
        <v>45.47</v>
      </c>
      <c r="C36" s="10">
        <v>45.9</v>
      </c>
      <c r="D36" s="10">
        <v>43.92</v>
      </c>
      <c r="E36" s="10">
        <v>45.57</v>
      </c>
      <c r="F36" s="10">
        <v>0.55000000000000004</v>
      </c>
      <c r="G36" s="10">
        <v>8525</v>
      </c>
      <c r="H36" s="10">
        <v>809</v>
      </c>
      <c r="I36" s="10">
        <v>8.43</v>
      </c>
      <c r="J36" s="10">
        <v>49.4</v>
      </c>
      <c r="K36" s="10">
        <v>1680</v>
      </c>
      <c r="L36">
        <f t="shared" si="0"/>
        <v>0</v>
      </c>
    </row>
    <row r="37" spans="1:12">
      <c r="A37" s="10" t="s">
        <v>126</v>
      </c>
      <c r="B37" s="10">
        <v>43.44</v>
      </c>
      <c r="C37" s="10">
        <v>44.71</v>
      </c>
      <c r="D37" s="10">
        <v>24.37</v>
      </c>
      <c r="E37" s="10">
        <v>32.090000000000003</v>
      </c>
      <c r="F37" s="10">
        <v>0.55000000000000004</v>
      </c>
      <c r="G37" s="10">
        <v>6487</v>
      </c>
      <c r="H37" s="10">
        <v>380</v>
      </c>
      <c r="I37" s="10">
        <v>6.03</v>
      </c>
      <c r="J37" s="10">
        <v>47.73</v>
      </c>
      <c r="K37" s="10">
        <v>83</v>
      </c>
      <c r="L37">
        <f t="shared" si="0"/>
        <v>0</v>
      </c>
    </row>
    <row r="38" spans="1:12">
      <c r="A38" s="10" t="s">
        <v>161</v>
      </c>
      <c r="B38" s="10">
        <v>34.630000000000003</v>
      </c>
      <c r="C38" s="10">
        <v>39.81</v>
      </c>
      <c r="D38" s="10">
        <v>34.524900000000002</v>
      </c>
      <c r="E38" s="10">
        <v>36.75</v>
      </c>
      <c r="F38" s="10">
        <v>0.55000000000000004</v>
      </c>
      <c r="G38" s="10">
        <v>15203</v>
      </c>
      <c r="H38" s="10">
        <v>648</v>
      </c>
      <c r="I38" s="10">
        <v>3.41</v>
      </c>
      <c r="J38" s="10">
        <v>53.35</v>
      </c>
      <c r="K38" s="10">
        <v>3056</v>
      </c>
      <c r="L38">
        <f t="shared" si="0"/>
        <v>0</v>
      </c>
    </row>
    <row r="39" spans="1:12">
      <c r="A39" s="10" t="s">
        <v>28</v>
      </c>
      <c r="B39" s="10">
        <v>41.71</v>
      </c>
      <c r="C39" s="10">
        <v>42.89</v>
      </c>
      <c r="D39" s="10">
        <v>39.270000000000003</v>
      </c>
      <c r="E39" s="10">
        <v>40.729999999999997</v>
      </c>
      <c r="F39" s="10">
        <v>0.55000000000000004</v>
      </c>
      <c r="G39" s="10">
        <v>10049</v>
      </c>
      <c r="H39" s="10">
        <v>889</v>
      </c>
      <c r="I39" s="10">
        <v>7.46</v>
      </c>
      <c r="J39" s="10">
        <v>55.63</v>
      </c>
      <c r="K39" s="10">
        <v>3155</v>
      </c>
      <c r="L39">
        <f t="shared" si="0"/>
        <v>0</v>
      </c>
    </row>
    <row r="40" spans="1:12">
      <c r="A40" s="10" t="s">
        <v>212</v>
      </c>
      <c r="B40" s="10">
        <v>44.88</v>
      </c>
      <c r="C40" s="10">
        <v>45.38</v>
      </c>
      <c r="D40" s="10">
        <v>42.503999999999998</v>
      </c>
      <c r="E40" s="10">
        <v>44.46</v>
      </c>
      <c r="F40" s="10">
        <v>0.55000000000000004</v>
      </c>
      <c r="G40" s="10">
        <v>11598</v>
      </c>
      <c r="H40" s="10">
        <v>864</v>
      </c>
      <c r="I40" s="10">
        <v>6.41</v>
      </c>
      <c r="J40" s="10">
        <v>54.46</v>
      </c>
      <c r="K40" s="10">
        <v>1160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3"/>
  <dimension ref="A1:K60"/>
  <sheetViews>
    <sheetView zoomScaleSheetLayoutView="75" workbookViewId="0">
      <selection activeCell="L3" sqref="L3"/>
    </sheetView>
  </sheetViews>
  <sheetFormatPr baseColWidth="10" defaultColWidth="9.1640625" defaultRowHeight="15"/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193</v>
      </c>
      <c r="B2" s="10">
        <v>28.626799999999999</v>
      </c>
      <c r="C2" s="10">
        <v>596</v>
      </c>
      <c r="D2" s="10">
        <v>105</v>
      </c>
      <c r="E2" s="10" t="s">
        <v>240</v>
      </c>
      <c r="F2" s="10" t="s">
        <v>240</v>
      </c>
      <c r="G2" s="10">
        <v>16.309999999999999</v>
      </c>
      <c r="H2" s="10">
        <v>4.47</v>
      </c>
      <c r="I2" s="10">
        <v>97</v>
      </c>
      <c r="J2" s="10">
        <v>27</v>
      </c>
      <c r="K2" t="e">
        <f>(E3-E2)/E3</f>
        <v>#VALUE!</v>
      </c>
    </row>
    <row r="3" spans="1:11">
      <c r="A3" s="10" t="s">
        <v>154</v>
      </c>
      <c r="B3" s="10">
        <v>27.560099999999998</v>
      </c>
      <c r="C3" s="10">
        <v>610</v>
      </c>
      <c r="D3" s="10">
        <v>95</v>
      </c>
      <c r="E3" s="10" t="s">
        <v>240</v>
      </c>
      <c r="F3" s="10" t="s">
        <v>240</v>
      </c>
      <c r="G3" s="10">
        <v>18.82</v>
      </c>
      <c r="H3" s="10">
        <v>6.09</v>
      </c>
      <c r="I3" s="10">
        <v>115</v>
      </c>
      <c r="J3" s="10">
        <v>37</v>
      </c>
      <c r="K3" t="e">
        <f t="shared" ref="K3:K59" si="0">(E4-E3)/E4</f>
        <v>#VALUE!</v>
      </c>
    </row>
    <row r="4" spans="1:11">
      <c r="A4" s="10" t="s">
        <v>230</v>
      </c>
      <c r="B4" s="10">
        <v>26.13</v>
      </c>
      <c r="C4" s="10">
        <v>633</v>
      </c>
      <c r="D4" s="10">
        <v>102</v>
      </c>
      <c r="E4" s="10" t="s">
        <v>240</v>
      </c>
      <c r="F4" s="10" t="s">
        <v>240</v>
      </c>
      <c r="G4" s="10">
        <v>15.78</v>
      </c>
      <c r="H4" s="10">
        <v>5.49</v>
      </c>
      <c r="I4" s="10">
        <v>100</v>
      </c>
      <c r="J4" s="10">
        <v>35</v>
      </c>
      <c r="K4" t="e">
        <f t="shared" si="0"/>
        <v>#VALUE!</v>
      </c>
    </row>
    <row r="5" spans="1:11">
      <c r="A5" s="10" t="s">
        <v>268</v>
      </c>
      <c r="B5" s="10">
        <v>26.13</v>
      </c>
      <c r="C5" s="10">
        <v>669</v>
      </c>
      <c r="D5" s="10">
        <v>105</v>
      </c>
      <c r="E5" s="10" t="s">
        <v>240</v>
      </c>
      <c r="F5" s="10" t="s">
        <v>240</v>
      </c>
      <c r="G5" s="10">
        <v>16.63</v>
      </c>
      <c r="H5" s="10">
        <v>5.84</v>
      </c>
      <c r="I5" s="10">
        <v>111</v>
      </c>
      <c r="J5" s="10">
        <v>39</v>
      </c>
      <c r="K5" t="e">
        <f t="shared" si="0"/>
        <v>#VALUE!</v>
      </c>
    </row>
    <row r="6" spans="1:11">
      <c r="A6" s="10" t="s">
        <v>150</v>
      </c>
      <c r="B6" s="10">
        <v>30.48</v>
      </c>
      <c r="C6" s="10">
        <v>702</v>
      </c>
      <c r="D6" s="10">
        <v>121</v>
      </c>
      <c r="E6" s="10" t="s">
        <v>240</v>
      </c>
      <c r="F6" s="10" t="s">
        <v>240</v>
      </c>
      <c r="G6" s="10">
        <v>18.350000000000001</v>
      </c>
      <c r="H6" s="10">
        <v>7.31</v>
      </c>
      <c r="I6" s="10">
        <v>129</v>
      </c>
      <c r="J6" s="10">
        <v>51</v>
      </c>
      <c r="K6" t="e">
        <f t="shared" si="0"/>
        <v>#VALUE!</v>
      </c>
    </row>
    <row r="7" spans="1:11">
      <c r="A7" s="10" t="s">
        <v>80</v>
      </c>
      <c r="B7" s="10">
        <v>37.020000000000003</v>
      </c>
      <c r="C7" s="10">
        <v>727</v>
      </c>
      <c r="D7" s="10">
        <v>157</v>
      </c>
      <c r="E7" s="10" t="s">
        <v>240</v>
      </c>
      <c r="F7" s="10" t="s">
        <v>240</v>
      </c>
      <c r="G7" s="10">
        <v>15.81</v>
      </c>
      <c r="H7" s="10">
        <v>3.85</v>
      </c>
      <c r="I7" s="10">
        <v>115</v>
      </c>
      <c r="J7" s="10">
        <v>28</v>
      </c>
      <c r="K7" t="e">
        <f t="shared" si="0"/>
        <v>#VALUE!</v>
      </c>
    </row>
    <row r="8" spans="1:11">
      <c r="A8" s="10" t="s">
        <v>51</v>
      </c>
      <c r="B8" s="10">
        <v>26.44</v>
      </c>
      <c r="C8" s="10">
        <v>749</v>
      </c>
      <c r="D8" s="10">
        <v>73</v>
      </c>
      <c r="E8" s="10" t="s">
        <v>240</v>
      </c>
      <c r="F8" s="10" t="s">
        <v>240</v>
      </c>
      <c r="G8" s="10">
        <v>14.19</v>
      </c>
      <c r="H8" s="10">
        <v>4.47</v>
      </c>
      <c r="I8" s="10">
        <v>106</v>
      </c>
      <c r="J8" s="10">
        <v>33</v>
      </c>
      <c r="K8" t="e">
        <f t="shared" si="0"/>
        <v>#VALUE!</v>
      </c>
    </row>
    <row r="9" spans="1:11">
      <c r="A9" s="10" t="s">
        <v>9</v>
      </c>
      <c r="B9" s="10">
        <v>26.55</v>
      </c>
      <c r="C9" s="10">
        <v>769</v>
      </c>
      <c r="D9" s="10">
        <v>117</v>
      </c>
      <c r="E9" s="10" t="s">
        <v>240</v>
      </c>
      <c r="F9" s="10" t="s">
        <v>240</v>
      </c>
      <c r="G9" s="10">
        <v>16.11</v>
      </c>
      <c r="H9" s="10">
        <v>4.67</v>
      </c>
      <c r="I9" s="10">
        <v>124</v>
      </c>
      <c r="J9" s="10">
        <v>36</v>
      </c>
      <c r="K9" t="e">
        <f t="shared" si="0"/>
        <v>#VALUE!</v>
      </c>
    </row>
    <row r="10" spans="1:11">
      <c r="A10" s="10" t="s">
        <v>17</v>
      </c>
      <c r="B10" s="10">
        <v>24.41</v>
      </c>
      <c r="C10" s="10">
        <v>784</v>
      </c>
      <c r="D10" s="10">
        <v>161</v>
      </c>
      <c r="E10" s="10" t="s">
        <v>240</v>
      </c>
      <c r="F10" s="10" t="s">
        <v>240</v>
      </c>
      <c r="G10" s="10">
        <v>17.38</v>
      </c>
      <c r="H10" s="10">
        <v>1.44</v>
      </c>
      <c r="I10" s="10">
        <v>136</v>
      </c>
      <c r="J10" s="10">
        <v>11</v>
      </c>
      <c r="K10" t="e">
        <f t="shared" si="0"/>
        <v>#VALUE!</v>
      </c>
    </row>
    <row r="11" spans="1:11">
      <c r="A11" s="10" t="s">
        <v>271</v>
      </c>
      <c r="B11" s="10">
        <v>24.73</v>
      </c>
      <c r="C11" s="10">
        <v>753</v>
      </c>
      <c r="D11" s="10">
        <v>187</v>
      </c>
      <c r="E11" s="10" t="s">
        <v>240</v>
      </c>
      <c r="F11" s="10" t="s">
        <v>240</v>
      </c>
      <c r="G11" s="10">
        <v>16.739999999999998</v>
      </c>
      <c r="H11" s="10">
        <v>0.18</v>
      </c>
      <c r="I11" s="10">
        <v>126</v>
      </c>
      <c r="J11" s="10">
        <v>1</v>
      </c>
      <c r="K11" t="e">
        <f t="shared" si="0"/>
        <v>#VALUE!</v>
      </c>
    </row>
    <row r="12" spans="1:11">
      <c r="A12" s="10" t="s">
        <v>33</v>
      </c>
      <c r="B12" s="10">
        <v>22.17</v>
      </c>
      <c r="C12" s="10">
        <v>723</v>
      </c>
      <c r="D12" s="10">
        <v>127</v>
      </c>
      <c r="E12" s="10" t="s">
        <v>240</v>
      </c>
      <c r="F12" s="10" t="s">
        <v>240</v>
      </c>
      <c r="G12" s="10">
        <v>16.55</v>
      </c>
      <c r="H12" s="10">
        <v>3.98</v>
      </c>
      <c r="I12" s="10">
        <v>120</v>
      </c>
      <c r="J12" s="10">
        <v>29</v>
      </c>
      <c r="K12" t="e">
        <f t="shared" si="0"/>
        <v>#VALUE!</v>
      </c>
    </row>
    <row r="13" spans="1:11">
      <c r="A13" s="10" t="s">
        <v>207</v>
      </c>
      <c r="B13" s="10">
        <v>28.75</v>
      </c>
      <c r="C13" s="10">
        <v>746</v>
      </c>
      <c r="D13" s="10">
        <v>121</v>
      </c>
      <c r="E13" s="10" t="s">
        <v>240</v>
      </c>
      <c r="F13" s="10" t="s">
        <v>240</v>
      </c>
      <c r="G13" s="10">
        <v>18.600000000000001</v>
      </c>
      <c r="H13" s="10">
        <v>11.75</v>
      </c>
      <c r="I13" s="10">
        <v>139</v>
      </c>
      <c r="J13" s="10">
        <v>88</v>
      </c>
      <c r="K13" t="e">
        <f t="shared" si="0"/>
        <v>#VALUE!</v>
      </c>
    </row>
    <row r="14" spans="1:11">
      <c r="A14" s="10" t="s">
        <v>147</v>
      </c>
      <c r="B14" s="10">
        <v>26.66</v>
      </c>
      <c r="C14" s="10">
        <v>765</v>
      </c>
      <c r="D14" s="10">
        <v>186</v>
      </c>
      <c r="E14" s="10" t="s">
        <v>240</v>
      </c>
      <c r="F14" s="10" t="s">
        <v>240</v>
      </c>
      <c r="G14" s="10">
        <v>18.649999999999999</v>
      </c>
      <c r="H14" s="10">
        <v>5.65</v>
      </c>
      <c r="I14" s="10">
        <v>143</v>
      </c>
      <c r="J14" s="10">
        <v>43</v>
      </c>
      <c r="K14" t="e">
        <f t="shared" si="0"/>
        <v>#VALUE!</v>
      </c>
    </row>
    <row r="15" spans="1:11">
      <c r="A15" s="10" t="s">
        <v>122</v>
      </c>
      <c r="B15" s="10">
        <v>22.76</v>
      </c>
      <c r="C15" s="10">
        <v>779</v>
      </c>
      <c r="D15" s="10">
        <v>183</v>
      </c>
      <c r="E15" s="10" t="s">
        <v>240</v>
      </c>
      <c r="F15" s="10" t="s">
        <v>240</v>
      </c>
      <c r="G15" s="10">
        <v>18.88</v>
      </c>
      <c r="H15" s="10">
        <v>7.86</v>
      </c>
      <c r="I15" s="10">
        <v>147</v>
      </c>
      <c r="J15" s="10">
        <v>61</v>
      </c>
      <c r="K15" t="e">
        <f t="shared" si="0"/>
        <v>#VALUE!</v>
      </c>
    </row>
    <row r="16" spans="1:11">
      <c r="A16" s="10" t="s">
        <v>151</v>
      </c>
      <c r="B16" s="10">
        <v>27.4</v>
      </c>
      <c r="C16" s="10">
        <v>777</v>
      </c>
      <c r="D16" s="10">
        <v>131</v>
      </c>
      <c r="E16" s="10">
        <v>0.06</v>
      </c>
      <c r="F16" s="10">
        <v>5.9</v>
      </c>
      <c r="G16" s="10">
        <v>17.09</v>
      </c>
      <c r="H16" s="10">
        <v>3.29</v>
      </c>
      <c r="I16" s="10">
        <v>133</v>
      </c>
      <c r="J16" s="10">
        <v>26</v>
      </c>
      <c r="K16">
        <f t="shared" si="0"/>
        <v>0</v>
      </c>
    </row>
    <row r="17" spans="1:11">
      <c r="A17" s="10" t="s">
        <v>265</v>
      </c>
      <c r="B17" s="10">
        <v>22.46</v>
      </c>
      <c r="C17" s="10">
        <v>780</v>
      </c>
      <c r="D17" s="10">
        <v>137</v>
      </c>
      <c r="E17" s="10">
        <v>0.06</v>
      </c>
      <c r="F17" s="10">
        <v>14.88</v>
      </c>
      <c r="G17" s="10">
        <v>19.29</v>
      </c>
      <c r="H17" s="10">
        <v>5.3</v>
      </c>
      <c r="I17" s="10">
        <v>150</v>
      </c>
      <c r="J17" s="10">
        <v>41</v>
      </c>
      <c r="K17">
        <f t="shared" si="0"/>
        <v>0</v>
      </c>
    </row>
    <row r="18" spans="1:11">
      <c r="A18" s="10" t="s">
        <v>297</v>
      </c>
      <c r="B18" s="10">
        <v>22.34</v>
      </c>
      <c r="C18" s="10">
        <v>783</v>
      </c>
      <c r="D18" s="10">
        <v>177</v>
      </c>
      <c r="E18" s="10">
        <v>0.06</v>
      </c>
      <c r="F18" s="10" t="s">
        <v>240</v>
      </c>
      <c r="G18" s="10">
        <v>21.85</v>
      </c>
      <c r="H18" s="10">
        <v>-19.649999999999999</v>
      </c>
      <c r="I18" s="10">
        <v>171</v>
      </c>
      <c r="J18" s="10">
        <v>-154</v>
      </c>
      <c r="K18">
        <f t="shared" si="0"/>
        <v>0.68421052631578949</v>
      </c>
    </row>
    <row r="19" spans="1:11">
      <c r="A19" s="10" t="s">
        <v>253</v>
      </c>
      <c r="B19" s="10">
        <v>25.01</v>
      </c>
      <c r="C19" s="10">
        <v>789</v>
      </c>
      <c r="D19" s="10">
        <v>180</v>
      </c>
      <c r="E19" s="10">
        <v>0.19</v>
      </c>
      <c r="F19" s="10" t="s">
        <v>240</v>
      </c>
      <c r="G19" s="10">
        <v>18.64</v>
      </c>
      <c r="H19" s="10">
        <v>4.1900000000000004</v>
      </c>
      <c r="I19" s="10">
        <v>147</v>
      </c>
      <c r="J19" s="10">
        <v>33</v>
      </c>
      <c r="K19">
        <f t="shared" si="0"/>
        <v>0</v>
      </c>
    </row>
    <row r="20" spans="1:11">
      <c r="A20" s="10" t="s">
        <v>99</v>
      </c>
      <c r="B20" s="10">
        <v>31.23</v>
      </c>
      <c r="C20" s="10">
        <v>799</v>
      </c>
      <c r="D20" s="10">
        <v>119</v>
      </c>
      <c r="E20" s="10">
        <v>0.19</v>
      </c>
      <c r="F20" s="10" t="s">
        <v>240</v>
      </c>
      <c r="G20" s="10">
        <v>16.57</v>
      </c>
      <c r="H20" s="10">
        <v>9.19</v>
      </c>
      <c r="I20" s="10">
        <v>132</v>
      </c>
      <c r="J20" s="10">
        <v>73</v>
      </c>
      <c r="K20">
        <f t="shared" si="0"/>
        <v>0.24</v>
      </c>
    </row>
    <row r="21" spans="1:11">
      <c r="A21" s="10" t="s">
        <v>56</v>
      </c>
      <c r="B21" s="10">
        <v>34.090000000000003</v>
      </c>
      <c r="C21" s="10">
        <v>763</v>
      </c>
      <c r="D21" s="10">
        <v>124</v>
      </c>
      <c r="E21" s="10">
        <v>0.25</v>
      </c>
      <c r="F21" s="10">
        <v>1718.75</v>
      </c>
      <c r="G21" s="10">
        <v>19.29</v>
      </c>
      <c r="H21" s="10">
        <v>33.119999999999997</v>
      </c>
      <c r="I21" s="10">
        <v>147</v>
      </c>
      <c r="J21" s="10">
        <v>253</v>
      </c>
      <c r="K21">
        <f t="shared" si="0"/>
        <v>0</v>
      </c>
    </row>
    <row r="22" spans="1:11">
      <c r="A22" s="10" t="s">
        <v>49</v>
      </c>
      <c r="B22" s="10">
        <v>31.62</v>
      </c>
      <c r="C22" s="10">
        <v>772</v>
      </c>
      <c r="D22" s="10">
        <v>168</v>
      </c>
      <c r="E22" s="10">
        <v>0.25</v>
      </c>
      <c r="F22" s="10">
        <v>1250</v>
      </c>
      <c r="G22" s="10">
        <v>22.59</v>
      </c>
      <c r="H22" s="10">
        <v>4.84</v>
      </c>
      <c r="I22" s="10">
        <v>174</v>
      </c>
      <c r="J22" s="10">
        <v>37</v>
      </c>
      <c r="K22">
        <f t="shared" si="0"/>
        <v>0</v>
      </c>
    </row>
    <row r="23" spans="1:11">
      <c r="A23" s="10" t="s">
        <v>81</v>
      </c>
      <c r="B23" s="10">
        <v>30.8</v>
      </c>
      <c r="C23" s="10">
        <v>729</v>
      </c>
      <c r="D23" s="10">
        <v>204</v>
      </c>
      <c r="E23" s="10">
        <v>0.25</v>
      </c>
      <c r="F23" s="10">
        <v>1250</v>
      </c>
      <c r="G23" s="10">
        <v>21.83</v>
      </c>
      <c r="H23" s="10">
        <v>4.3899999999999997</v>
      </c>
      <c r="I23" s="10">
        <v>159</v>
      </c>
      <c r="J23" s="10">
        <v>32</v>
      </c>
      <c r="K23">
        <f t="shared" si="0"/>
        <v>0</v>
      </c>
    </row>
    <row r="24" spans="1:11">
      <c r="A24" s="10" t="s">
        <v>233</v>
      </c>
      <c r="B24" s="10">
        <v>28.8</v>
      </c>
      <c r="C24" s="10">
        <v>746</v>
      </c>
      <c r="D24" s="10">
        <v>75</v>
      </c>
      <c r="E24" s="10">
        <v>0.25</v>
      </c>
      <c r="F24" s="10">
        <v>74.400000000000006</v>
      </c>
      <c r="G24" s="10">
        <v>19.09</v>
      </c>
      <c r="H24" s="10">
        <v>7.41</v>
      </c>
      <c r="I24" s="10">
        <v>143</v>
      </c>
      <c r="J24" s="10">
        <v>55</v>
      </c>
      <c r="K24">
        <f t="shared" si="0"/>
        <v>7.4074074074074139E-2</v>
      </c>
    </row>
    <row r="25" spans="1:11">
      <c r="A25" s="10" t="s">
        <v>82</v>
      </c>
      <c r="B25" s="10">
        <v>32.96</v>
      </c>
      <c r="C25" s="10">
        <v>752</v>
      </c>
      <c r="D25" s="10">
        <v>137</v>
      </c>
      <c r="E25" s="10">
        <v>0.27</v>
      </c>
      <c r="F25" s="10">
        <v>82.64</v>
      </c>
      <c r="G25" s="10">
        <v>21.02</v>
      </c>
      <c r="H25" s="10">
        <v>5.0599999999999996</v>
      </c>
      <c r="I25" s="10">
        <v>158</v>
      </c>
      <c r="J25" s="10">
        <v>38</v>
      </c>
      <c r="K25">
        <f t="shared" si="0"/>
        <v>0</v>
      </c>
    </row>
    <row r="26" spans="1:11">
      <c r="A26" s="10" t="s">
        <v>180</v>
      </c>
      <c r="B26" s="10">
        <v>34.11</v>
      </c>
      <c r="C26" s="10">
        <v>748</v>
      </c>
      <c r="D26" s="10">
        <v>89</v>
      </c>
      <c r="E26" s="10">
        <v>0.27</v>
      </c>
      <c r="F26" s="10">
        <v>90.27</v>
      </c>
      <c r="G26" s="10">
        <v>20.36</v>
      </c>
      <c r="H26" s="10">
        <v>7.06</v>
      </c>
      <c r="I26" s="10">
        <v>152</v>
      </c>
      <c r="J26" s="10">
        <v>53</v>
      </c>
      <c r="K26">
        <f t="shared" si="0"/>
        <v>0</v>
      </c>
    </row>
    <row r="27" spans="1:11">
      <c r="A27" s="10" t="s">
        <v>61</v>
      </c>
      <c r="B27" s="10">
        <v>31.05</v>
      </c>
      <c r="C27" s="10">
        <v>758</v>
      </c>
      <c r="D27" s="10">
        <v>132</v>
      </c>
      <c r="E27" s="10">
        <v>0.27</v>
      </c>
      <c r="F27" s="10">
        <v>100.95</v>
      </c>
      <c r="G27" s="10">
        <v>15.4</v>
      </c>
      <c r="H27" s="10">
        <v>3.36</v>
      </c>
      <c r="I27" s="10">
        <v>117</v>
      </c>
      <c r="J27" s="10">
        <v>25</v>
      </c>
      <c r="K27">
        <f t="shared" si="0"/>
        <v>0</v>
      </c>
    </row>
    <row r="28" spans="1:11">
      <c r="A28" s="10" t="s">
        <v>96</v>
      </c>
      <c r="B28" s="10">
        <v>36.31</v>
      </c>
      <c r="C28" s="10">
        <v>747</v>
      </c>
      <c r="D28" s="10">
        <v>107</v>
      </c>
      <c r="E28" s="10">
        <v>0.27</v>
      </c>
      <c r="F28" s="10">
        <v>100.95</v>
      </c>
      <c r="G28" s="10">
        <v>16.68</v>
      </c>
      <c r="H28" s="10">
        <v>2.6</v>
      </c>
      <c r="I28" s="10">
        <v>125</v>
      </c>
      <c r="J28" s="10">
        <v>19</v>
      </c>
      <c r="K28">
        <f t="shared" si="0"/>
        <v>0</v>
      </c>
    </row>
    <row r="29" spans="1:11">
      <c r="A29" s="10" t="s">
        <v>176</v>
      </c>
      <c r="B29" s="10">
        <v>26.61</v>
      </c>
      <c r="C29" s="10">
        <v>755</v>
      </c>
      <c r="D29" s="10">
        <v>107</v>
      </c>
      <c r="E29" s="10">
        <v>0.27</v>
      </c>
      <c r="F29" s="10">
        <v>135</v>
      </c>
      <c r="G29" s="10">
        <v>17.55</v>
      </c>
      <c r="H29" s="10">
        <v>3.52</v>
      </c>
      <c r="I29" s="10">
        <v>132</v>
      </c>
      <c r="J29" s="10">
        <v>27</v>
      </c>
      <c r="K29">
        <f t="shared" si="0"/>
        <v>0</v>
      </c>
    </row>
    <row r="30" spans="1:11">
      <c r="A30" s="10" t="s">
        <v>244</v>
      </c>
      <c r="B30" s="10">
        <v>27.02</v>
      </c>
      <c r="C30" s="10">
        <v>756</v>
      </c>
      <c r="D30" s="10">
        <v>121</v>
      </c>
      <c r="E30" s="10">
        <v>0.27</v>
      </c>
      <c r="F30" s="10">
        <v>156.52000000000001</v>
      </c>
      <c r="G30" s="10">
        <v>18.84</v>
      </c>
      <c r="H30" s="10">
        <v>0.54</v>
      </c>
      <c r="I30" s="10">
        <v>142</v>
      </c>
      <c r="J30" s="10">
        <v>4</v>
      </c>
      <c r="K30">
        <f t="shared" si="0"/>
        <v>0</v>
      </c>
    </row>
    <row r="31" spans="1:11">
      <c r="A31" s="10" t="s">
        <v>221</v>
      </c>
      <c r="B31" s="10">
        <v>30.35</v>
      </c>
      <c r="C31" s="10">
        <v>769</v>
      </c>
      <c r="D31" s="10">
        <v>173</v>
      </c>
      <c r="E31" s="10">
        <v>0.27</v>
      </c>
      <c r="F31" s="10">
        <v>263.41000000000003</v>
      </c>
      <c r="G31" s="10">
        <v>13.39</v>
      </c>
      <c r="H31" s="10">
        <v>6.15</v>
      </c>
      <c r="I31" s="10">
        <v>103</v>
      </c>
      <c r="J31" s="10">
        <v>47</v>
      </c>
      <c r="K31">
        <f t="shared" si="0"/>
        <v>0</v>
      </c>
    </row>
    <row r="32" spans="1:11">
      <c r="A32" s="10" t="s">
        <v>59</v>
      </c>
      <c r="B32" s="10">
        <v>27.57</v>
      </c>
      <c r="C32" s="10">
        <v>770</v>
      </c>
      <c r="D32" s="10">
        <v>56</v>
      </c>
      <c r="E32" s="10">
        <v>0.27</v>
      </c>
      <c r="F32" s="10">
        <v>207.69</v>
      </c>
      <c r="G32" s="10">
        <v>17.98</v>
      </c>
      <c r="H32" s="10">
        <v>5.41</v>
      </c>
      <c r="I32" s="10">
        <v>138</v>
      </c>
      <c r="J32" s="10">
        <v>42</v>
      </c>
      <c r="K32">
        <f t="shared" si="0"/>
        <v>0</v>
      </c>
    </row>
    <row r="33" spans="1:11">
      <c r="A33" s="10" t="s">
        <v>213</v>
      </c>
      <c r="B33" s="10">
        <v>35.450000000000003</v>
      </c>
      <c r="C33" s="10">
        <v>787</v>
      </c>
      <c r="D33" s="10">
        <v>140</v>
      </c>
      <c r="E33" s="10">
        <v>0.27</v>
      </c>
      <c r="F33" s="10">
        <v>168.75</v>
      </c>
      <c r="G33" s="10">
        <v>19.309999999999999</v>
      </c>
      <c r="H33" s="10">
        <v>34.520000000000003</v>
      </c>
      <c r="I33" s="10">
        <v>152</v>
      </c>
      <c r="J33" s="10">
        <v>272</v>
      </c>
      <c r="K33">
        <f t="shared" si="0"/>
        <v>0.43749999999999994</v>
      </c>
    </row>
    <row r="34" spans="1:11">
      <c r="A34" s="10" t="s">
        <v>25</v>
      </c>
      <c r="B34" s="10">
        <v>32.65</v>
      </c>
      <c r="C34" s="10">
        <v>783</v>
      </c>
      <c r="D34" s="10">
        <v>106</v>
      </c>
      <c r="E34" s="10">
        <v>0.48</v>
      </c>
      <c r="F34" s="10">
        <v>56.54</v>
      </c>
      <c r="G34" s="10">
        <v>18.760000000000002</v>
      </c>
      <c r="H34" s="10">
        <v>0.01</v>
      </c>
      <c r="I34" s="10">
        <v>147</v>
      </c>
      <c r="J34" s="10" t="s">
        <v>240</v>
      </c>
      <c r="K34">
        <f t="shared" si="0"/>
        <v>0</v>
      </c>
    </row>
    <row r="35" spans="1:11">
      <c r="A35" s="10" t="s">
        <v>264</v>
      </c>
      <c r="B35" s="10">
        <v>38.659999999999997</v>
      </c>
      <c r="C35" s="10">
        <v>778</v>
      </c>
      <c r="D35" s="10">
        <v>171</v>
      </c>
      <c r="E35" s="10">
        <v>0.48</v>
      </c>
      <c r="F35" s="10">
        <v>67.989999999999995</v>
      </c>
      <c r="G35" s="10">
        <v>16.36</v>
      </c>
      <c r="H35" s="10">
        <v>1.64</v>
      </c>
      <c r="I35" s="10">
        <v>127</v>
      </c>
      <c r="J35" s="10">
        <v>13</v>
      </c>
      <c r="K35">
        <f t="shared" si="0"/>
        <v>0</v>
      </c>
    </row>
    <row r="36" spans="1:11">
      <c r="A36" s="10" t="s">
        <v>132</v>
      </c>
      <c r="B36" s="10">
        <v>36.479999999999997</v>
      </c>
      <c r="C36" s="10">
        <v>749</v>
      </c>
      <c r="D36" s="10">
        <v>6</v>
      </c>
      <c r="E36" s="10">
        <v>0.48</v>
      </c>
      <c r="F36" s="10">
        <v>89.22</v>
      </c>
      <c r="G36" s="10">
        <v>19.63</v>
      </c>
      <c r="H36" s="10">
        <v>5.48</v>
      </c>
      <c r="I36" s="10">
        <v>147</v>
      </c>
      <c r="J36" s="10">
        <v>41</v>
      </c>
      <c r="K36">
        <f t="shared" si="0"/>
        <v>0</v>
      </c>
    </row>
    <row r="37" spans="1:11">
      <c r="A37" s="10" t="s">
        <v>229</v>
      </c>
      <c r="B37" s="10">
        <v>31</v>
      </c>
      <c r="C37" s="10">
        <v>760</v>
      </c>
      <c r="D37" s="10">
        <v>174</v>
      </c>
      <c r="E37" s="10">
        <v>0.48</v>
      </c>
      <c r="F37" s="10">
        <v>102.73</v>
      </c>
      <c r="G37" s="10">
        <v>18.239999999999998</v>
      </c>
      <c r="H37" s="10">
        <v>7.02</v>
      </c>
      <c r="I37" s="10">
        <v>139</v>
      </c>
      <c r="J37" s="10">
        <v>53</v>
      </c>
      <c r="K37">
        <f t="shared" si="0"/>
        <v>0</v>
      </c>
    </row>
    <row r="38" spans="1:11">
      <c r="A38" s="10" t="s">
        <v>87</v>
      </c>
      <c r="B38" s="10">
        <v>31.02</v>
      </c>
      <c r="C38" s="10">
        <v>747</v>
      </c>
      <c r="D38" s="10">
        <v>140</v>
      </c>
      <c r="E38" s="10">
        <v>0.48</v>
      </c>
      <c r="F38" s="10">
        <v>387.76</v>
      </c>
      <c r="G38" s="10">
        <v>17.670000000000002</v>
      </c>
      <c r="H38" s="10">
        <v>3.1</v>
      </c>
      <c r="I38" s="10">
        <v>132</v>
      </c>
      <c r="J38" s="10">
        <v>23</v>
      </c>
      <c r="K38">
        <f t="shared" si="0"/>
        <v>2.0408163265306142E-2</v>
      </c>
    </row>
    <row r="39" spans="1:11">
      <c r="A39" s="10" t="s">
        <v>296</v>
      </c>
      <c r="B39" s="10">
        <v>27.01</v>
      </c>
      <c r="C39" s="10">
        <v>752</v>
      </c>
      <c r="D39" s="10">
        <v>222</v>
      </c>
      <c r="E39" s="10">
        <v>0.49</v>
      </c>
      <c r="F39" s="10">
        <v>316.67</v>
      </c>
      <c r="G39" s="10">
        <v>16.64</v>
      </c>
      <c r="H39" s="10">
        <v>0.76</v>
      </c>
      <c r="I39" s="10">
        <v>125</v>
      </c>
      <c r="J39" s="10">
        <v>6</v>
      </c>
      <c r="K39">
        <f t="shared" si="0"/>
        <v>0</v>
      </c>
    </row>
    <row r="40" spans="1:11">
      <c r="A40" s="10" t="s">
        <v>218</v>
      </c>
      <c r="B40" s="10">
        <v>33.909999999999997</v>
      </c>
      <c r="C40" s="10">
        <v>751</v>
      </c>
      <c r="D40" s="10">
        <v>81</v>
      </c>
      <c r="E40" s="10">
        <v>0.49</v>
      </c>
      <c r="F40" s="10">
        <v>323.73</v>
      </c>
      <c r="G40" s="10">
        <v>17.28</v>
      </c>
      <c r="H40" s="10">
        <v>8.36</v>
      </c>
      <c r="I40" s="10">
        <v>130</v>
      </c>
      <c r="J40" s="10">
        <v>63</v>
      </c>
      <c r="K40">
        <f t="shared" si="0"/>
        <v>0</v>
      </c>
    </row>
    <row r="41" spans="1:11">
      <c r="A41" s="10" t="s">
        <v>275</v>
      </c>
      <c r="B41" s="10">
        <v>39.83</v>
      </c>
      <c r="C41" s="10">
        <v>884</v>
      </c>
      <c r="D41" s="10">
        <v>126</v>
      </c>
      <c r="E41" s="10">
        <v>0.49</v>
      </c>
      <c r="F41" s="10">
        <v>278.26</v>
      </c>
      <c r="G41" s="10">
        <v>16.87</v>
      </c>
      <c r="H41" s="10">
        <v>-1.58</v>
      </c>
      <c r="I41" s="10">
        <v>149</v>
      </c>
      <c r="J41" s="10">
        <v>-14</v>
      </c>
      <c r="K41">
        <f t="shared" si="0"/>
        <v>0</v>
      </c>
    </row>
    <row r="42" spans="1:11">
      <c r="A42" s="10" t="s">
        <v>269</v>
      </c>
      <c r="B42" s="10">
        <v>37.53</v>
      </c>
      <c r="C42" s="10">
        <v>943</v>
      </c>
      <c r="D42" s="10">
        <v>216</v>
      </c>
      <c r="E42" s="10">
        <v>0.49</v>
      </c>
      <c r="F42" s="10">
        <v>551.42999999999995</v>
      </c>
      <c r="G42" s="10">
        <v>17.78</v>
      </c>
      <c r="H42" s="10">
        <v>0.75</v>
      </c>
      <c r="I42" s="10">
        <v>168</v>
      </c>
      <c r="J42" s="10">
        <v>7</v>
      </c>
      <c r="K42">
        <f t="shared" si="0"/>
        <v>0.10909090909090918</v>
      </c>
    </row>
    <row r="43" spans="1:11">
      <c r="A43" s="10" t="s">
        <v>16</v>
      </c>
      <c r="B43" s="10">
        <v>32.479999999999997</v>
      </c>
      <c r="C43" s="10">
        <v>934</v>
      </c>
      <c r="D43" s="10">
        <v>121</v>
      </c>
      <c r="E43" s="10">
        <v>0.55000000000000004</v>
      </c>
      <c r="F43" s="10">
        <v>808.33</v>
      </c>
      <c r="G43" s="10">
        <v>17.86</v>
      </c>
      <c r="H43" s="10">
        <v>5.24</v>
      </c>
      <c r="I43" s="10">
        <v>167</v>
      </c>
      <c r="J43" s="10">
        <v>49</v>
      </c>
      <c r="K43">
        <f t="shared" si="0"/>
        <v>0</v>
      </c>
    </row>
    <row r="44" spans="1:11">
      <c r="A44" s="10" t="s">
        <v>172</v>
      </c>
      <c r="B44" s="10">
        <v>35.67</v>
      </c>
      <c r="C44" s="10">
        <v>939</v>
      </c>
      <c r="D44" s="10">
        <v>122</v>
      </c>
      <c r="E44" s="10">
        <v>0.55000000000000004</v>
      </c>
      <c r="F44" s="10">
        <v>489.02</v>
      </c>
      <c r="G44" s="10">
        <v>16.78</v>
      </c>
      <c r="H44" s="10">
        <v>6.19</v>
      </c>
      <c r="I44" s="10">
        <v>158</v>
      </c>
      <c r="J44" s="10">
        <v>58</v>
      </c>
      <c r="K44">
        <f t="shared" si="0"/>
        <v>0</v>
      </c>
    </row>
    <row r="45" spans="1:11">
      <c r="A45" s="10" t="s">
        <v>210</v>
      </c>
      <c r="B45" s="10">
        <v>34.36</v>
      </c>
      <c r="C45" s="10">
        <v>950</v>
      </c>
      <c r="D45" s="10">
        <v>198</v>
      </c>
      <c r="E45" s="10">
        <v>0.55000000000000004</v>
      </c>
      <c r="F45" s="10">
        <v>627.27</v>
      </c>
      <c r="G45" s="10">
        <v>19.93</v>
      </c>
      <c r="H45" s="10">
        <v>8.2799999999999994</v>
      </c>
      <c r="I45" s="10">
        <v>189</v>
      </c>
      <c r="J45" s="10">
        <v>79</v>
      </c>
      <c r="K45">
        <f t="shared" si="0"/>
        <v>0</v>
      </c>
    </row>
    <row r="46" spans="1:11">
      <c r="A46" s="10" t="s">
        <v>199</v>
      </c>
      <c r="B46" s="10">
        <v>38.9</v>
      </c>
      <c r="C46" s="10">
        <v>966</v>
      </c>
      <c r="D46" s="10">
        <v>199</v>
      </c>
      <c r="E46" s="10">
        <v>0.55000000000000004</v>
      </c>
      <c r="F46" s="10">
        <v>292.47000000000003</v>
      </c>
      <c r="G46" s="10">
        <v>20.22</v>
      </c>
      <c r="H46" s="10">
        <v>2.52</v>
      </c>
      <c r="I46" s="10">
        <v>195</v>
      </c>
      <c r="J46" s="10">
        <v>24</v>
      </c>
      <c r="K46">
        <f t="shared" si="0"/>
        <v>6.77966101694914E-2</v>
      </c>
    </row>
    <row r="47" spans="1:11">
      <c r="A47" s="10" t="s">
        <v>12</v>
      </c>
      <c r="B47" s="10">
        <v>37.729999999999997</v>
      </c>
      <c r="C47" s="10">
        <v>991</v>
      </c>
      <c r="D47" s="10">
        <v>202</v>
      </c>
      <c r="E47" s="10">
        <v>0.59</v>
      </c>
      <c r="F47" s="10">
        <v>271.60000000000002</v>
      </c>
      <c r="G47" s="10">
        <v>19.170000000000002</v>
      </c>
      <c r="H47" s="10">
        <v>2.29</v>
      </c>
      <c r="I47" s="10">
        <v>190</v>
      </c>
      <c r="J47" s="10">
        <v>23</v>
      </c>
      <c r="K47">
        <f t="shared" si="0"/>
        <v>0</v>
      </c>
    </row>
    <row r="48" spans="1:11">
      <c r="A48" s="10" t="s">
        <v>164</v>
      </c>
      <c r="B48" s="10">
        <v>32.86</v>
      </c>
      <c r="C48" s="10">
        <v>1042</v>
      </c>
      <c r="D48" s="10">
        <v>92</v>
      </c>
      <c r="E48" s="10">
        <v>0.59</v>
      </c>
      <c r="F48" s="10">
        <v>315.14</v>
      </c>
      <c r="G48" s="10">
        <v>18.079999999999998</v>
      </c>
      <c r="H48" s="10">
        <v>4.29</v>
      </c>
      <c r="I48" s="10">
        <v>188</v>
      </c>
      <c r="J48" s="10">
        <v>45</v>
      </c>
      <c r="K48">
        <f t="shared" si="0"/>
        <v>0</v>
      </c>
    </row>
    <row r="49" spans="1:11">
      <c r="A49" s="10" t="s">
        <v>279</v>
      </c>
      <c r="B49" s="10">
        <v>35.01</v>
      </c>
      <c r="C49" s="10">
        <v>1061</v>
      </c>
      <c r="D49" s="10">
        <v>302</v>
      </c>
      <c r="E49" s="10">
        <v>0.59</v>
      </c>
      <c r="F49" s="10">
        <v>350</v>
      </c>
      <c r="G49" s="10">
        <v>20.43</v>
      </c>
      <c r="H49" s="10">
        <v>8.8000000000000007</v>
      </c>
      <c r="I49" s="10">
        <v>217</v>
      </c>
      <c r="J49" s="10">
        <v>93</v>
      </c>
      <c r="K49">
        <f t="shared" si="0"/>
        <v>0</v>
      </c>
    </row>
    <row r="50" spans="1:11">
      <c r="A50" s="10" t="s">
        <v>286</v>
      </c>
      <c r="B50" s="10">
        <v>34.520000000000003</v>
      </c>
      <c r="C50" s="10">
        <v>1061</v>
      </c>
      <c r="D50" s="10">
        <v>231</v>
      </c>
      <c r="E50" s="10">
        <v>0.59</v>
      </c>
      <c r="F50" s="10">
        <v>345.15</v>
      </c>
      <c r="G50" s="10">
        <v>19.75</v>
      </c>
      <c r="H50" s="10">
        <v>6.33</v>
      </c>
      <c r="I50" s="10">
        <v>210</v>
      </c>
      <c r="J50" s="10">
        <v>67</v>
      </c>
      <c r="K50">
        <f t="shared" si="0"/>
        <v>3.2786885245901669E-2</v>
      </c>
    </row>
    <row r="51" spans="1:11">
      <c r="A51" s="10" t="s">
        <v>113</v>
      </c>
      <c r="B51" s="10">
        <v>32.409999999999997</v>
      </c>
      <c r="C51" s="10">
        <v>1061</v>
      </c>
      <c r="D51" s="10">
        <v>311</v>
      </c>
      <c r="E51" s="10">
        <v>0.61</v>
      </c>
      <c r="F51" s="10">
        <v>276.47000000000003</v>
      </c>
      <c r="G51" s="10">
        <v>18.14</v>
      </c>
      <c r="H51" s="10">
        <v>14.9</v>
      </c>
      <c r="I51" s="10">
        <v>193</v>
      </c>
      <c r="J51" s="10">
        <v>158</v>
      </c>
      <c r="K51">
        <f t="shared" si="0"/>
        <v>0</v>
      </c>
    </row>
    <row r="52" spans="1:11">
      <c r="A52" s="10" t="s">
        <v>142</v>
      </c>
      <c r="B52" s="10">
        <v>35.46</v>
      </c>
      <c r="C52" s="10">
        <v>1054</v>
      </c>
      <c r="D52" s="10">
        <v>117</v>
      </c>
      <c r="E52" s="10">
        <v>0.61</v>
      </c>
      <c r="F52" s="10">
        <v>181.18</v>
      </c>
      <c r="G52" s="10">
        <v>15.77</v>
      </c>
      <c r="H52" s="10">
        <v>2.81</v>
      </c>
      <c r="I52" s="10">
        <v>166</v>
      </c>
      <c r="J52" s="10">
        <v>30</v>
      </c>
      <c r="K52">
        <f t="shared" si="0"/>
        <v>0</v>
      </c>
    </row>
    <row r="53" spans="1:11">
      <c r="A53" s="10" t="s">
        <v>60</v>
      </c>
      <c r="B53" s="10">
        <v>31.3</v>
      </c>
      <c r="C53" s="10">
        <v>1067</v>
      </c>
      <c r="D53" s="10">
        <v>313</v>
      </c>
      <c r="E53" s="10">
        <v>0.61</v>
      </c>
      <c r="F53" s="10">
        <v>191.76</v>
      </c>
      <c r="G53" s="10">
        <v>17.72</v>
      </c>
      <c r="H53" s="10">
        <v>8.66</v>
      </c>
      <c r="I53" s="10">
        <v>189</v>
      </c>
      <c r="J53" s="10">
        <v>92</v>
      </c>
      <c r="K53">
        <f t="shared" si="0"/>
        <v>0</v>
      </c>
    </row>
    <row r="54" spans="1:11">
      <c r="A54" s="10" t="s">
        <v>276</v>
      </c>
      <c r="B54" s="10">
        <v>32.39</v>
      </c>
      <c r="C54" s="10">
        <v>1062</v>
      </c>
      <c r="D54" s="10">
        <v>218</v>
      </c>
      <c r="E54" s="10">
        <v>0.61</v>
      </c>
      <c r="F54" s="10">
        <v>190.59</v>
      </c>
      <c r="G54" s="10">
        <v>21.07</v>
      </c>
      <c r="H54" s="10">
        <v>10.14</v>
      </c>
      <c r="I54" s="10">
        <v>224</v>
      </c>
      <c r="J54" s="10">
        <v>108</v>
      </c>
      <c r="K54">
        <f t="shared" si="0"/>
        <v>1.612903225806453E-2</v>
      </c>
    </row>
    <row r="55" spans="1:11">
      <c r="A55" s="10" t="s">
        <v>45</v>
      </c>
      <c r="B55" s="10">
        <v>31.87</v>
      </c>
      <c r="C55" s="10">
        <v>1080</v>
      </c>
      <c r="D55" s="10">
        <v>319</v>
      </c>
      <c r="E55" s="10">
        <v>0.62</v>
      </c>
      <c r="F55" s="10">
        <v>177.1</v>
      </c>
      <c r="G55" s="10">
        <v>20.36</v>
      </c>
      <c r="H55" s="10">
        <v>3.49</v>
      </c>
      <c r="I55" s="10">
        <v>220</v>
      </c>
      <c r="J55" s="10">
        <v>38</v>
      </c>
      <c r="K55">
        <f t="shared" si="0"/>
        <v>0</v>
      </c>
    </row>
    <row r="56" spans="1:11">
      <c r="A56" s="10" t="s">
        <v>186</v>
      </c>
      <c r="B56" s="10">
        <v>23.8</v>
      </c>
      <c r="C56" s="10">
        <v>1069</v>
      </c>
      <c r="D56" s="10">
        <v>125</v>
      </c>
      <c r="E56" s="10">
        <v>0.62</v>
      </c>
      <c r="F56" s="10">
        <v>263.60000000000002</v>
      </c>
      <c r="G56" s="10">
        <v>19.34</v>
      </c>
      <c r="H56" s="10">
        <v>5.99</v>
      </c>
      <c r="I56" s="10">
        <v>207</v>
      </c>
      <c r="J56" s="10">
        <v>64</v>
      </c>
      <c r="K56">
        <f t="shared" si="0"/>
        <v>0</v>
      </c>
    </row>
    <row r="57" spans="1:11">
      <c r="A57" s="10" t="s">
        <v>149</v>
      </c>
      <c r="B57" s="10">
        <v>26.1</v>
      </c>
      <c r="C57" s="10">
        <v>982</v>
      </c>
      <c r="D57" s="10">
        <v>314</v>
      </c>
      <c r="E57" s="10">
        <v>0.62</v>
      </c>
      <c r="F57" s="10">
        <v>234.19</v>
      </c>
      <c r="G57" s="10">
        <v>18.97</v>
      </c>
      <c r="H57" s="10">
        <v>-0.72</v>
      </c>
      <c r="I57" s="10">
        <v>186</v>
      </c>
      <c r="J57" s="10">
        <v>-7</v>
      </c>
      <c r="K57">
        <f t="shared" si="0"/>
        <v>0</v>
      </c>
    </row>
    <row r="58" spans="1:11">
      <c r="A58" s="10" t="s">
        <v>136</v>
      </c>
      <c r="B58" s="10">
        <v>26.79</v>
      </c>
      <c r="C58" s="10">
        <v>1037</v>
      </c>
      <c r="D58" s="10">
        <v>188</v>
      </c>
      <c r="E58" s="10">
        <v>0.62</v>
      </c>
      <c r="F58" s="10">
        <v>352.36</v>
      </c>
      <c r="G58" s="10">
        <v>20.97</v>
      </c>
      <c r="H58" s="10">
        <v>3.7</v>
      </c>
      <c r="I58" s="10">
        <v>217</v>
      </c>
      <c r="J58" s="10">
        <v>38</v>
      </c>
      <c r="K58">
        <f t="shared" si="0"/>
        <v>0</v>
      </c>
    </row>
    <row r="59" spans="1:11">
      <c r="A59" s="10" t="s">
        <v>290</v>
      </c>
      <c r="B59" s="10">
        <v>29.48</v>
      </c>
      <c r="C59" s="10">
        <v>1060</v>
      </c>
      <c r="D59" s="10">
        <v>360</v>
      </c>
      <c r="E59" s="10">
        <v>0.62</v>
      </c>
      <c r="F59" s="10">
        <v>537.83000000000004</v>
      </c>
      <c r="G59" s="10">
        <v>20.22</v>
      </c>
      <c r="H59" s="10">
        <v>23.35</v>
      </c>
      <c r="I59" s="10">
        <v>214</v>
      </c>
      <c r="J59" s="10">
        <v>247</v>
      </c>
      <c r="K59">
        <f t="shared" si="0"/>
        <v>0</v>
      </c>
    </row>
    <row r="60" spans="1:11">
      <c r="A60" s="10" t="s">
        <v>153</v>
      </c>
      <c r="B60" s="10">
        <v>37.01</v>
      </c>
      <c r="C60" s="10">
        <v>1082</v>
      </c>
      <c r="D60" s="10">
        <v>69</v>
      </c>
      <c r="E60" s="10">
        <v>0.62</v>
      </c>
      <c r="F60" s="10">
        <v>207.9</v>
      </c>
      <c r="G60" s="10">
        <v>19.93</v>
      </c>
      <c r="H60" s="10">
        <v>4.21</v>
      </c>
      <c r="I60" s="10">
        <v>216</v>
      </c>
      <c r="J60" s="10">
        <v>46</v>
      </c>
    </row>
  </sheetData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4"/>
  <dimension ref="A1:K58"/>
  <sheetViews>
    <sheetView topLeftCell="A16" zoomScaleSheetLayoutView="75" workbookViewId="0">
      <selection activeCell="N38" sqref="N38"/>
    </sheetView>
  </sheetViews>
  <sheetFormatPr baseColWidth="10" defaultColWidth="9.1640625" defaultRowHeight="15"/>
  <cols>
    <col min="1" max="1" width="21.1640625" customWidth="1"/>
  </cols>
  <sheetData>
    <row r="1" spans="1:11">
      <c r="A1" s="10" t="s">
        <v>273</v>
      </c>
      <c r="B1" s="10" t="s">
        <v>262</v>
      </c>
      <c r="C1" s="10" t="s">
        <v>259</v>
      </c>
      <c r="D1" s="10" t="s">
        <v>308</v>
      </c>
      <c r="E1" s="10" t="s">
        <v>223</v>
      </c>
      <c r="F1" s="10" t="s">
        <v>128</v>
      </c>
      <c r="G1" s="10" t="s">
        <v>77</v>
      </c>
      <c r="H1" s="10" t="s">
        <v>278</v>
      </c>
      <c r="I1" s="10" t="s">
        <v>258</v>
      </c>
      <c r="J1" s="10" t="s">
        <v>27</v>
      </c>
    </row>
    <row r="2" spans="1:11">
      <c r="A2" s="10" t="s">
        <v>154</v>
      </c>
      <c r="B2" s="10">
        <v>77.739999999999995</v>
      </c>
      <c r="C2" s="10">
        <v>81</v>
      </c>
      <c r="D2" s="10">
        <v>13</v>
      </c>
      <c r="E2" s="10">
        <v>0.74</v>
      </c>
      <c r="F2" s="10">
        <v>14.17</v>
      </c>
      <c r="G2" s="10">
        <v>17.7</v>
      </c>
      <c r="H2" s="10">
        <v>13.29</v>
      </c>
      <c r="I2" s="10">
        <v>14</v>
      </c>
      <c r="J2" s="10">
        <v>11</v>
      </c>
      <c r="K2">
        <f t="shared" ref="K2:K58" si="0">(C3-C2)/C3</f>
        <v>8.98876404494382E-2</v>
      </c>
    </row>
    <row r="3" spans="1:11">
      <c r="A3" s="10" t="s">
        <v>230</v>
      </c>
      <c r="B3" s="10">
        <v>91.82</v>
      </c>
      <c r="C3" s="10">
        <v>89</v>
      </c>
      <c r="D3" s="10">
        <v>23</v>
      </c>
      <c r="E3" s="10">
        <v>0.88</v>
      </c>
      <c r="F3" s="10">
        <v>12.46</v>
      </c>
      <c r="G3" s="10">
        <v>22.81</v>
      </c>
      <c r="H3" s="10">
        <v>15.82</v>
      </c>
      <c r="I3" s="10">
        <v>20</v>
      </c>
      <c r="J3" s="10">
        <v>14</v>
      </c>
      <c r="K3">
        <f t="shared" si="0"/>
        <v>0</v>
      </c>
    </row>
    <row r="4" spans="1:11">
      <c r="A4" s="10" t="s">
        <v>268</v>
      </c>
      <c r="B4" s="10">
        <v>98.79</v>
      </c>
      <c r="C4" s="10">
        <v>89</v>
      </c>
      <c r="D4" s="10">
        <v>23</v>
      </c>
      <c r="E4" s="10">
        <v>0.88</v>
      </c>
      <c r="F4" s="10">
        <v>12.46</v>
      </c>
      <c r="G4" s="10">
        <v>22.81</v>
      </c>
      <c r="H4" s="10">
        <v>15.82</v>
      </c>
      <c r="I4" s="10">
        <v>20</v>
      </c>
      <c r="J4" s="10">
        <v>14</v>
      </c>
      <c r="K4">
        <f t="shared" si="0"/>
        <v>0</v>
      </c>
    </row>
    <row r="5" spans="1:11">
      <c r="A5" s="10" t="s">
        <v>150</v>
      </c>
      <c r="B5" s="10">
        <v>125</v>
      </c>
      <c r="C5" s="10">
        <v>89</v>
      </c>
      <c r="D5" s="10">
        <v>23</v>
      </c>
      <c r="E5" s="10">
        <v>0.88</v>
      </c>
      <c r="F5" s="10">
        <v>12.46</v>
      </c>
      <c r="G5" s="10">
        <v>22.81</v>
      </c>
      <c r="H5" s="10">
        <v>15.82</v>
      </c>
      <c r="I5" s="10">
        <v>20</v>
      </c>
      <c r="J5" s="10">
        <v>14</v>
      </c>
      <c r="K5">
        <f t="shared" si="0"/>
        <v>0</v>
      </c>
    </row>
    <row r="6" spans="1:11">
      <c r="A6" s="10" t="s">
        <v>80</v>
      </c>
      <c r="B6" s="10">
        <v>125</v>
      </c>
      <c r="C6" s="10">
        <v>89</v>
      </c>
      <c r="D6" s="10">
        <v>23</v>
      </c>
      <c r="E6" s="10">
        <v>0.88</v>
      </c>
      <c r="F6" s="10">
        <v>12.46</v>
      </c>
      <c r="G6" s="10">
        <v>22.81</v>
      </c>
      <c r="H6" s="10">
        <v>15.82</v>
      </c>
      <c r="I6" s="10">
        <v>20</v>
      </c>
      <c r="J6" s="10">
        <v>14</v>
      </c>
      <c r="K6">
        <f t="shared" si="0"/>
        <v>7.2916666666666671E-2</v>
      </c>
    </row>
    <row r="7" spans="1:11">
      <c r="A7" s="10" t="s">
        <v>51</v>
      </c>
      <c r="B7" s="10">
        <v>99.99</v>
      </c>
      <c r="C7" s="10">
        <v>96</v>
      </c>
      <c r="D7" s="10">
        <v>19</v>
      </c>
      <c r="E7" s="10">
        <v>1.08</v>
      </c>
      <c r="F7" s="10">
        <v>13.81</v>
      </c>
      <c r="G7" s="10">
        <v>23.96</v>
      </c>
      <c r="H7" s="10">
        <v>16.34</v>
      </c>
      <c r="I7" s="10">
        <v>23</v>
      </c>
      <c r="J7" s="10">
        <v>16</v>
      </c>
      <c r="K7">
        <f t="shared" si="0"/>
        <v>0</v>
      </c>
    </row>
    <row r="8" spans="1:11">
      <c r="A8" s="10" t="s">
        <v>9</v>
      </c>
      <c r="B8" s="10">
        <v>95.82</v>
      </c>
      <c r="C8" s="10">
        <v>96</v>
      </c>
      <c r="D8" s="10">
        <v>19</v>
      </c>
      <c r="E8" s="10">
        <v>1.08</v>
      </c>
      <c r="F8" s="10">
        <v>13.81</v>
      </c>
      <c r="G8" s="10">
        <v>23.96</v>
      </c>
      <c r="H8" s="10">
        <v>16.34</v>
      </c>
      <c r="I8" s="10">
        <v>23</v>
      </c>
      <c r="J8" s="10">
        <v>16</v>
      </c>
      <c r="K8">
        <f t="shared" si="0"/>
        <v>0</v>
      </c>
    </row>
    <row r="9" spans="1:11">
      <c r="A9" s="10" t="s">
        <v>17</v>
      </c>
      <c r="B9" s="10">
        <v>103.03</v>
      </c>
      <c r="C9" s="10">
        <v>96</v>
      </c>
      <c r="D9" s="10">
        <v>19</v>
      </c>
      <c r="E9" s="10">
        <v>1.08</v>
      </c>
      <c r="F9" s="10">
        <v>13.81</v>
      </c>
      <c r="G9" s="10">
        <v>23.96</v>
      </c>
      <c r="H9" s="10">
        <v>16.34</v>
      </c>
      <c r="I9" s="10">
        <v>23</v>
      </c>
      <c r="J9" s="10">
        <v>16</v>
      </c>
      <c r="K9">
        <f t="shared" si="0"/>
        <v>0</v>
      </c>
    </row>
    <row r="10" spans="1:11">
      <c r="A10" s="10" t="s">
        <v>271</v>
      </c>
      <c r="B10" s="10">
        <v>97.1</v>
      </c>
      <c r="C10" s="10">
        <v>96</v>
      </c>
      <c r="D10" s="10">
        <v>19</v>
      </c>
      <c r="E10" s="10">
        <v>1.08</v>
      </c>
      <c r="F10" s="10">
        <v>13.81</v>
      </c>
      <c r="G10" s="10">
        <v>23.96</v>
      </c>
      <c r="H10" s="10">
        <v>16.34</v>
      </c>
      <c r="I10" s="10">
        <v>23</v>
      </c>
      <c r="J10" s="10">
        <v>16</v>
      </c>
      <c r="K10">
        <f t="shared" si="0"/>
        <v>4.9504950495049507E-2</v>
      </c>
    </row>
    <row r="11" spans="1:11">
      <c r="A11" s="10" t="s">
        <v>33</v>
      </c>
      <c r="B11" s="10">
        <v>88.24</v>
      </c>
      <c r="C11" s="10">
        <v>101</v>
      </c>
      <c r="D11" s="10">
        <v>28</v>
      </c>
      <c r="E11" s="10">
        <v>1.32</v>
      </c>
      <c r="F11" s="10">
        <v>15.79</v>
      </c>
      <c r="G11" s="10">
        <v>24.84</v>
      </c>
      <c r="H11" s="10">
        <v>16.739999999999998</v>
      </c>
      <c r="I11" s="10">
        <v>25</v>
      </c>
      <c r="J11" s="10">
        <v>17</v>
      </c>
      <c r="K11">
        <f t="shared" si="0"/>
        <v>0</v>
      </c>
    </row>
    <row r="12" spans="1:11">
      <c r="A12" s="10" t="s">
        <v>207</v>
      </c>
      <c r="B12" s="10">
        <v>134.09</v>
      </c>
      <c r="C12" s="10">
        <v>101</v>
      </c>
      <c r="D12" s="10">
        <v>28</v>
      </c>
      <c r="E12" s="10">
        <v>1.32</v>
      </c>
      <c r="F12" s="10">
        <v>15.79</v>
      </c>
      <c r="G12" s="10">
        <v>24.84</v>
      </c>
      <c r="H12" s="10">
        <v>16.739999999999998</v>
      </c>
      <c r="I12" s="10">
        <v>25</v>
      </c>
      <c r="J12" s="10">
        <v>17</v>
      </c>
      <c r="K12">
        <f t="shared" si="0"/>
        <v>0</v>
      </c>
    </row>
    <row r="13" spans="1:11">
      <c r="A13" s="10" t="s">
        <v>147</v>
      </c>
      <c r="B13" s="10">
        <v>144.4</v>
      </c>
      <c r="C13" s="10">
        <v>101</v>
      </c>
      <c r="D13" s="10">
        <v>28</v>
      </c>
      <c r="E13" s="10">
        <v>1.32</v>
      </c>
      <c r="F13" s="10">
        <v>15.79</v>
      </c>
      <c r="G13" s="10">
        <v>24.84</v>
      </c>
      <c r="H13" s="10">
        <v>16.739999999999998</v>
      </c>
      <c r="I13" s="10">
        <v>25</v>
      </c>
      <c r="J13" s="10">
        <v>17</v>
      </c>
      <c r="K13">
        <f t="shared" si="0"/>
        <v>0</v>
      </c>
    </row>
    <row r="14" spans="1:11">
      <c r="A14" s="10" t="s">
        <v>122</v>
      </c>
      <c r="B14" s="10">
        <v>155.72</v>
      </c>
      <c r="C14" s="10">
        <v>101</v>
      </c>
      <c r="D14" s="10">
        <v>28</v>
      </c>
      <c r="E14" s="10">
        <v>1.32</v>
      </c>
      <c r="F14" s="10">
        <v>15.79</v>
      </c>
      <c r="G14" s="10">
        <v>24.84</v>
      </c>
      <c r="H14" s="10">
        <v>16.739999999999998</v>
      </c>
      <c r="I14" s="10">
        <v>25</v>
      </c>
      <c r="J14" s="10">
        <v>17</v>
      </c>
      <c r="K14">
        <f t="shared" si="0"/>
        <v>7.3394495412844041E-2</v>
      </c>
    </row>
    <row r="15" spans="1:11">
      <c r="A15" s="10" t="s">
        <v>151</v>
      </c>
      <c r="B15" s="10">
        <v>143.04</v>
      </c>
      <c r="C15" s="10">
        <v>109</v>
      </c>
      <c r="D15" s="10">
        <v>31</v>
      </c>
      <c r="E15" s="10">
        <v>1.56</v>
      </c>
      <c r="F15" s="10">
        <v>15.12</v>
      </c>
      <c r="G15" s="10">
        <v>28.53</v>
      </c>
      <c r="H15" s="10">
        <v>19.3</v>
      </c>
      <c r="I15" s="10">
        <v>31</v>
      </c>
      <c r="J15" s="10">
        <v>21</v>
      </c>
      <c r="K15">
        <f t="shared" si="0"/>
        <v>0</v>
      </c>
    </row>
    <row r="16" spans="1:11">
      <c r="A16" s="10" t="s">
        <v>265</v>
      </c>
      <c r="B16" s="10">
        <v>135.05000000000001</v>
      </c>
      <c r="C16" s="10">
        <v>109</v>
      </c>
      <c r="D16" s="10">
        <v>31</v>
      </c>
      <c r="E16" s="10">
        <v>1.56</v>
      </c>
      <c r="F16" s="10">
        <v>15.12</v>
      </c>
      <c r="G16" s="10">
        <v>28.53</v>
      </c>
      <c r="H16" s="10">
        <v>19.3</v>
      </c>
      <c r="I16" s="10">
        <v>31</v>
      </c>
      <c r="J16" s="10">
        <v>21</v>
      </c>
      <c r="K16">
        <f t="shared" si="0"/>
        <v>0</v>
      </c>
    </row>
    <row r="17" spans="1:11">
      <c r="A17" s="10" t="s">
        <v>297</v>
      </c>
      <c r="B17" s="10">
        <v>157.51</v>
      </c>
      <c r="C17" s="10">
        <v>109</v>
      </c>
      <c r="D17" s="10">
        <v>31</v>
      </c>
      <c r="E17" s="10">
        <v>1.56</v>
      </c>
      <c r="F17" s="10">
        <v>15.12</v>
      </c>
      <c r="G17" s="10">
        <v>28.53</v>
      </c>
      <c r="H17" s="10">
        <v>19.3</v>
      </c>
      <c r="I17" s="10">
        <v>31</v>
      </c>
      <c r="J17" s="10">
        <v>21</v>
      </c>
      <c r="K17">
        <f t="shared" si="0"/>
        <v>0</v>
      </c>
    </row>
    <row r="18" spans="1:11">
      <c r="A18" s="10" t="s">
        <v>253</v>
      </c>
      <c r="B18" s="10">
        <v>179.46</v>
      </c>
      <c r="C18" s="10">
        <v>109</v>
      </c>
      <c r="D18" s="10">
        <v>31</v>
      </c>
      <c r="E18" s="10">
        <v>1.56</v>
      </c>
      <c r="F18" s="10">
        <v>15.12</v>
      </c>
      <c r="G18" s="10">
        <v>28.53</v>
      </c>
      <c r="H18" s="10">
        <v>19.3</v>
      </c>
      <c r="I18" s="10">
        <v>31</v>
      </c>
      <c r="J18" s="10">
        <v>21</v>
      </c>
      <c r="K18">
        <f t="shared" si="0"/>
        <v>7.6271186440677971E-2</v>
      </c>
    </row>
    <row r="19" spans="1:11">
      <c r="A19" s="10" t="s">
        <v>99</v>
      </c>
      <c r="B19" s="10">
        <v>174.47</v>
      </c>
      <c r="C19" s="10">
        <v>118</v>
      </c>
      <c r="D19" s="10">
        <v>31</v>
      </c>
      <c r="E19" s="10">
        <v>1.82</v>
      </c>
      <c r="F19" s="10">
        <v>13.63</v>
      </c>
      <c r="G19" s="10">
        <v>32.43</v>
      </c>
      <c r="H19" s="10">
        <v>22.12</v>
      </c>
      <c r="I19" s="10">
        <v>38</v>
      </c>
      <c r="J19" s="10">
        <v>26</v>
      </c>
      <c r="K19">
        <f t="shared" si="0"/>
        <v>0</v>
      </c>
    </row>
    <row r="20" spans="1:11">
      <c r="A20" s="10" t="s">
        <v>56</v>
      </c>
      <c r="B20" s="10">
        <v>197.8</v>
      </c>
      <c r="C20" s="10">
        <v>118</v>
      </c>
      <c r="D20" s="10">
        <v>31</v>
      </c>
      <c r="E20" s="10">
        <v>1.82</v>
      </c>
      <c r="F20" s="10">
        <v>13.63</v>
      </c>
      <c r="G20" s="10">
        <v>32.43</v>
      </c>
      <c r="H20" s="10">
        <v>22.12</v>
      </c>
      <c r="I20" s="10">
        <v>38</v>
      </c>
      <c r="J20" s="10">
        <v>26</v>
      </c>
      <c r="K20">
        <f t="shared" si="0"/>
        <v>0</v>
      </c>
    </row>
    <row r="21" spans="1:11">
      <c r="A21" s="10" t="s">
        <v>49</v>
      </c>
      <c r="B21" s="10">
        <v>207.39</v>
      </c>
      <c r="C21" s="10">
        <v>118</v>
      </c>
      <c r="D21" s="10">
        <v>31</v>
      </c>
      <c r="E21" s="10">
        <v>1.82</v>
      </c>
      <c r="F21" s="10">
        <v>13.63</v>
      </c>
      <c r="G21" s="10">
        <v>32.43</v>
      </c>
      <c r="H21" s="10">
        <v>22.12</v>
      </c>
      <c r="I21" s="10">
        <v>38</v>
      </c>
      <c r="J21" s="10">
        <v>26</v>
      </c>
      <c r="K21">
        <f t="shared" si="0"/>
        <v>0</v>
      </c>
    </row>
    <row r="22" spans="1:11">
      <c r="A22" s="10" t="s">
        <v>81</v>
      </c>
      <c r="B22" s="10">
        <v>240.23</v>
      </c>
      <c r="C22" s="10">
        <v>118</v>
      </c>
      <c r="D22" s="10">
        <v>31</v>
      </c>
      <c r="E22" s="10">
        <v>1.82</v>
      </c>
      <c r="F22" s="10">
        <v>13.63</v>
      </c>
      <c r="G22" s="10">
        <v>32.43</v>
      </c>
      <c r="H22" s="10">
        <v>22.12</v>
      </c>
      <c r="I22" s="10">
        <v>38</v>
      </c>
      <c r="J22" s="10">
        <v>26</v>
      </c>
      <c r="K22">
        <f t="shared" si="0"/>
        <v>8.4033613445378148E-3</v>
      </c>
    </row>
    <row r="23" spans="1:11">
      <c r="A23" s="10" t="s">
        <v>233</v>
      </c>
      <c r="B23" s="10">
        <v>210.21</v>
      </c>
      <c r="C23" s="10">
        <v>119</v>
      </c>
      <c r="D23" s="10">
        <v>29</v>
      </c>
      <c r="E23" s="10">
        <v>2.1</v>
      </c>
      <c r="F23" s="10">
        <v>18.010000000000002</v>
      </c>
      <c r="G23" s="10">
        <v>28.24</v>
      </c>
      <c r="H23" s="10">
        <v>19.850000000000001</v>
      </c>
      <c r="I23" s="10">
        <v>34</v>
      </c>
      <c r="J23" s="10">
        <v>24</v>
      </c>
      <c r="K23">
        <f t="shared" si="0"/>
        <v>0</v>
      </c>
    </row>
    <row r="24" spans="1:11">
      <c r="A24" s="10" t="s">
        <v>82</v>
      </c>
      <c r="B24" s="10">
        <v>204.98</v>
      </c>
      <c r="C24" s="10">
        <v>119</v>
      </c>
      <c r="D24" s="10">
        <v>29</v>
      </c>
      <c r="E24" s="10">
        <v>2.1</v>
      </c>
      <c r="F24" s="10">
        <v>18.010000000000002</v>
      </c>
      <c r="G24" s="10">
        <v>28.24</v>
      </c>
      <c r="H24" s="10">
        <v>19.850000000000001</v>
      </c>
      <c r="I24" s="10">
        <v>34</v>
      </c>
      <c r="J24" s="10">
        <v>24</v>
      </c>
      <c r="K24">
        <f t="shared" si="0"/>
        <v>0</v>
      </c>
    </row>
    <row r="25" spans="1:11">
      <c r="A25" s="10" t="s">
        <v>180</v>
      </c>
      <c r="B25" s="10">
        <v>221.5</v>
      </c>
      <c r="C25" s="10">
        <v>119</v>
      </c>
      <c r="D25" s="10">
        <v>29</v>
      </c>
      <c r="E25" s="10">
        <v>2.1</v>
      </c>
      <c r="F25" s="10">
        <v>18.010000000000002</v>
      </c>
      <c r="G25" s="10">
        <v>28.24</v>
      </c>
      <c r="H25" s="10">
        <v>19.850000000000001</v>
      </c>
      <c r="I25" s="10">
        <v>34</v>
      </c>
      <c r="J25" s="10">
        <v>24</v>
      </c>
      <c r="K25">
        <f t="shared" si="0"/>
        <v>0</v>
      </c>
    </row>
    <row r="26" spans="1:11">
      <c r="A26" s="10" t="s">
        <v>61</v>
      </c>
      <c r="B26" s="10">
        <v>196</v>
      </c>
      <c r="C26" s="10">
        <v>119</v>
      </c>
      <c r="D26" s="10">
        <v>29</v>
      </c>
      <c r="E26" s="10">
        <v>2.1</v>
      </c>
      <c r="F26" s="10">
        <v>18.010000000000002</v>
      </c>
      <c r="G26" s="10">
        <v>28.24</v>
      </c>
      <c r="H26" s="10">
        <v>19.850000000000001</v>
      </c>
      <c r="I26" s="10">
        <v>34</v>
      </c>
      <c r="J26" s="10">
        <v>24</v>
      </c>
      <c r="K26">
        <f t="shared" si="0"/>
        <v>9.8484848484848481E-2</v>
      </c>
    </row>
    <row r="27" spans="1:11">
      <c r="A27" s="10" t="s">
        <v>96</v>
      </c>
      <c r="B27" s="10">
        <v>191.99</v>
      </c>
      <c r="C27" s="10">
        <v>132</v>
      </c>
      <c r="D27" s="10">
        <v>37</v>
      </c>
      <c r="E27" s="10">
        <v>2.4</v>
      </c>
      <c r="F27" s="10">
        <v>18.22</v>
      </c>
      <c r="G27" s="10">
        <v>28.75</v>
      </c>
      <c r="H27" s="10">
        <v>20.14</v>
      </c>
      <c r="I27" s="10">
        <v>38</v>
      </c>
      <c r="J27" s="10">
        <v>27</v>
      </c>
      <c r="K27">
        <f t="shared" si="0"/>
        <v>0</v>
      </c>
    </row>
    <row r="28" spans="1:11">
      <c r="A28" s="10" t="s">
        <v>176</v>
      </c>
      <c r="B28" s="10">
        <v>218.71</v>
      </c>
      <c r="C28" s="10">
        <v>132</v>
      </c>
      <c r="D28" s="10">
        <v>37</v>
      </c>
      <c r="E28" s="10">
        <v>2.4</v>
      </c>
      <c r="F28" s="10">
        <v>18.22</v>
      </c>
      <c r="G28" s="10">
        <v>28.75</v>
      </c>
      <c r="H28" s="10">
        <v>20.14</v>
      </c>
      <c r="I28" s="10">
        <v>38</v>
      </c>
      <c r="J28" s="10">
        <v>27</v>
      </c>
      <c r="K28">
        <f t="shared" si="0"/>
        <v>0</v>
      </c>
    </row>
    <row r="29" spans="1:11">
      <c r="A29" s="10" t="s">
        <v>244</v>
      </c>
      <c r="B29" s="10">
        <v>258.77999999999997</v>
      </c>
      <c r="C29" s="10">
        <v>132</v>
      </c>
      <c r="D29" s="10">
        <v>37</v>
      </c>
      <c r="E29" s="10">
        <v>2.4</v>
      </c>
      <c r="F29" s="10">
        <v>18.22</v>
      </c>
      <c r="G29" s="10">
        <v>28.75</v>
      </c>
      <c r="H29" s="10">
        <v>20.14</v>
      </c>
      <c r="I29" s="10">
        <v>38</v>
      </c>
      <c r="J29" s="10">
        <v>27</v>
      </c>
      <c r="K29">
        <f t="shared" si="0"/>
        <v>0</v>
      </c>
    </row>
    <row r="30" spans="1:11">
      <c r="A30" s="10" t="s">
        <v>221</v>
      </c>
      <c r="B30" s="10">
        <v>296.25</v>
      </c>
      <c r="C30" s="10">
        <v>132</v>
      </c>
      <c r="D30" s="10">
        <v>37</v>
      </c>
      <c r="E30" s="10">
        <v>2.4</v>
      </c>
      <c r="F30" s="10">
        <v>18.22</v>
      </c>
      <c r="G30" s="10">
        <v>28.75</v>
      </c>
      <c r="H30" s="10">
        <v>20.14</v>
      </c>
      <c r="I30" s="10">
        <v>38</v>
      </c>
      <c r="J30" s="10">
        <v>27</v>
      </c>
      <c r="K30">
        <f t="shared" si="0"/>
        <v>6.3829787234042548E-2</v>
      </c>
    </row>
    <row r="31" spans="1:11">
      <c r="A31" s="10" t="s">
        <v>59</v>
      </c>
      <c r="B31" s="10">
        <v>306.14</v>
      </c>
      <c r="C31" s="10">
        <v>141</v>
      </c>
      <c r="D31" s="10">
        <v>31</v>
      </c>
      <c r="E31" s="10">
        <v>2.78</v>
      </c>
      <c r="F31" s="10">
        <v>19.260000000000002</v>
      </c>
      <c r="G31" s="10">
        <v>29</v>
      </c>
      <c r="H31" s="10">
        <v>19.760000000000002</v>
      </c>
      <c r="I31" s="10">
        <v>41</v>
      </c>
      <c r="J31" s="10">
        <v>28</v>
      </c>
      <c r="K31">
        <f t="shared" si="0"/>
        <v>0</v>
      </c>
    </row>
    <row r="32" spans="1:11">
      <c r="A32" s="10" t="s">
        <v>213</v>
      </c>
      <c r="B32" s="10">
        <v>326</v>
      </c>
      <c r="C32" s="10">
        <v>141</v>
      </c>
      <c r="D32" s="10">
        <v>31</v>
      </c>
      <c r="E32" s="10">
        <v>2.78</v>
      </c>
      <c r="F32" s="10">
        <v>19.260000000000002</v>
      </c>
      <c r="G32" s="10">
        <v>29</v>
      </c>
      <c r="H32" s="10">
        <v>19.760000000000002</v>
      </c>
      <c r="I32" s="10">
        <v>41</v>
      </c>
      <c r="J32" s="10">
        <v>28</v>
      </c>
      <c r="K32">
        <f t="shared" si="0"/>
        <v>0</v>
      </c>
    </row>
    <row r="33" spans="1:11">
      <c r="A33" s="10" t="s">
        <v>25</v>
      </c>
      <c r="B33" s="10">
        <v>305.01</v>
      </c>
      <c r="C33" s="10">
        <v>141</v>
      </c>
      <c r="D33" s="10">
        <v>31</v>
      </c>
      <c r="E33" s="10">
        <v>2.78</v>
      </c>
      <c r="F33" s="10">
        <v>19.260000000000002</v>
      </c>
      <c r="G33" s="10">
        <v>29</v>
      </c>
      <c r="H33" s="10">
        <v>19.760000000000002</v>
      </c>
      <c r="I33" s="10">
        <v>41</v>
      </c>
      <c r="J33" s="10">
        <v>28</v>
      </c>
      <c r="K33">
        <f t="shared" si="0"/>
        <v>0</v>
      </c>
    </row>
    <row r="34" spans="1:11">
      <c r="A34" s="10" t="s">
        <v>264</v>
      </c>
      <c r="B34" s="10">
        <v>340.01</v>
      </c>
      <c r="C34" s="10">
        <v>141</v>
      </c>
      <c r="D34" s="10">
        <v>31</v>
      </c>
      <c r="E34" s="10">
        <v>2.78</v>
      </c>
      <c r="F34" s="10">
        <v>19.260000000000002</v>
      </c>
      <c r="G34" s="10">
        <v>29</v>
      </c>
      <c r="H34" s="10">
        <v>19.760000000000002</v>
      </c>
      <c r="I34" s="10">
        <v>41</v>
      </c>
      <c r="J34" s="10">
        <v>28</v>
      </c>
      <c r="K34">
        <f t="shared" si="0"/>
        <v>3.4246575342465752E-2</v>
      </c>
    </row>
    <row r="35" spans="1:11">
      <c r="A35" s="10" t="s">
        <v>132</v>
      </c>
      <c r="B35" s="10">
        <v>345.51</v>
      </c>
      <c r="C35" s="10">
        <v>146</v>
      </c>
      <c r="D35" s="10">
        <v>40</v>
      </c>
      <c r="E35" s="10">
        <v>3.3</v>
      </c>
      <c r="F35" s="10">
        <v>20.62</v>
      </c>
      <c r="G35" s="10">
        <v>29.17</v>
      </c>
      <c r="H35" s="10">
        <v>19.850000000000001</v>
      </c>
      <c r="I35" s="10">
        <v>43</v>
      </c>
      <c r="J35" s="10">
        <v>29</v>
      </c>
      <c r="K35">
        <f t="shared" si="0"/>
        <v>0</v>
      </c>
    </row>
    <row r="36" spans="1:11">
      <c r="A36" s="10" t="s">
        <v>229</v>
      </c>
      <c r="B36" s="10">
        <v>392.31</v>
      </c>
      <c r="C36" s="10">
        <v>146</v>
      </c>
      <c r="D36" s="10">
        <v>40</v>
      </c>
      <c r="E36" s="10">
        <v>3.3</v>
      </c>
      <c r="F36" s="10">
        <v>20.62</v>
      </c>
      <c r="G36" s="10">
        <v>29.17</v>
      </c>
      <c r="H36" s="10">
        <v>19.850000000000001</v>
      </c>
      <c r="I36" s="10">
        <v>43</v>
      </c>
      <c r="J36" s="10">
        <v>29</v>
      </c>
      <c r="K36">
        <f t="shared" si="0"/>
        <v>0</v>
      </c>
    </row>
    <row r="37" spans="1:11">
      <c r="A37" s="10" t="s">
        <v>87</v>
      </c>
      <c r="B37" s="10">
        <v>374.96</v>
      </c>
      <c r="C37" s="10">
        <v>146</v>
      </c>
      <c r="D37" s="10">
        <v>40</v>
      </c>
      <c r="E37" s="10">
        <v>3.3</v>
      </c>
      <c r="F37" s="10">
        <v>20.62</v>
      </c>
      <c r="G37" s="10">
        <v>29.17</v>
      </c>
      <c r="H37" s="10">
        <v>19.850000000000001</v>
      </c>
      <c r="I37" s="10">
        <v>43</v>
      </c>
      <c r="J37" s="10">
        <v>29</v>
      </c>
      <c r="K37">
        <f t="shared" si="0"/>
        <v>0</v>
      </c>
    </row>
    <row r="38" spans="1:11">
      <c r="A38" s="10" t="s">
        <v>296</v>
      </c>
      <c r="B38" s="10">
        <v>381.2</v>
      </c>
      <c r="C38" s="10">
        <v>146</v>
      </c>
      <c r="D38" s="10">
        <v>40</v>
      </c>
      <c r="E38" s="10">
        <v>3.3</v>
      </c>
      <c r="F38" s="10">
        <v>20.62</v>
      </c>
      <c r="G38" s="10">
        <v>29.17</v>
      </c>
      <c r="H38" s="10">
        <v>19.850000000000001</v>
      </c>
      <c r="I38" s="10">
        <v>43</v>
      </c>
      <c r="J38" s="10">
        <v>29</v>
      </c>
      <c r="K38">
        <f t="shared" si="0"/>
        <v>-2.097902097902098E-2</v>
      </c>
    </row>
    <row r="39" spans="1:11">
      <c r="A39" s="10" t="s">
        <v>218</v>
      </c>
      <c r="B39" s="10">
        <v>395.36</v>
      </c>
      <c r="C39" s="10">
        <v>143</v>
      </c>
      <c r="D39" s="10">
        <v>37</v>
      </c>
      <c r="E39" s="10">
        <v>3.9</v>
      </c>
      <c r="F39" s="10">
        <v>24.77</v>
      </c>
      <c r="G39" s="10">
        <v>27.27</v>
      </c>
      <c r="H39" s="10">
        <v>19.22</v>
      </c>
      <c r="I39" s="10">
        <v>39</v>
      </c>
      <c r="J39" s="10">
        <v>28</v>
      </c>
      <c r="K39">
        <f t="shared" si="0"/>
        <v>0</v>
      </c>
    </row>
    <row r="40" spans="1:11">
      <c r="A40" s="10" t="s">
        <v>275</v>
      </c>
      <c r="B40" s="10">
        <v>427.86</v>
      </c>
      <c r="C40" s="10">
        <v>143</v>
      </c>
      <c r="D40" s="10">
        <v>37</v>
      </c>
      <c r="E40" s="10">
        <v>3.9</v>
      </c>
      <c r="F40" s="10">
        <v>24.77</v>
      </c>
      <c r="G40" s="10">
        <v>27.27</v>
      </c>
      <c r="H40" s="10">
        <v>19.22</v>
      </c>
      <c r="I40" s="10">
        <v>39</v>
      </c>
      <c r="J40" s="10">
        <v>28</v>
      </c>
      <c r="K40">
        <f t="shared" si="0"/>
        <v>0</v>
      </c>
    </row>
    <row r="41" spans="1:11">
      <c r="A41" s="10" t="s">
        <v>269</v>
      </c>
      <c r="B41" s="10">
        <v>426.6</v>
      </c>
      <c r="C41" s="10">
        <v>143</v>
      </c>
      <c r="D41" s="10">
        <v>37</v>
      </c>
      <c r="E41" s="10">
        <v>3.9</v>
      </c>
      <c r="F41" s="10">
        <v>24.77</v>
      </c>
      <c r="G41" s="10">
        <v>27.27</v>
      </c>
      <c r="H41" s="10">
        <v>19.22</v>
      </c>
      <c r="I41" s="10">
        <v>39</v>
      </c>
      <c r="J41" s="10">
        <v>28</v>
      </c>
      <c r="K41">
        <f t="shared" si="0"/>
        <v>0</v>
      </c>
    </row>
    <row r="42" spans="1:11">
      <c r="A42" s="10" t="s">
        <v>16</v>
      </c>
      <c r="B42" s="10">
        <v>507.2</v>
      </c>
      <c r="C42" s="10">
        <v>143</v>
      </c>
      <c r="D42" s="10">
        <v>37</v>
      </c>
      <c r="E42" s="10">
        <v>3.9</v>
      </c>
      <c r="F42" s="10">
        <v>24.77</v>
      </c>
      <c r="G42" s="10">
        <v>27.27</v>
      </c>
      <c r="H42" s="10">
        <v>19.22</v>
      </c>
      <c r="I42" s="10">
        <v>39</v>
      </c>
      <c r="J42" s="10">
        <v>28</v>
      </c>
      <c r="K42">
        <f t="shared" si="0"/>
        <v>2.7210884353741496E-2</v>
      </c>
    </row>
    <row r="43" spans="1:11">
      <c r="A43" s="10" t="s">
        <v>172</v>
      </c>
      <c r="B43" s="10">
        <v>468.2</v>
      </c>
      <c r="C43" s="10">
        <v>147</v>
      </c>
      <c r="D43" s="10">
        <v>47</v>
      </c>
      <c r="E43" s="10">
        <v>4.5</v>
      </c>
      <c r="F43" s="10">
        <v>24.1</v>
      </c>
      <c r="G43" s="10">
        <v>28.16</v>
      </c>
      <c r="H43" s="10">
        <v>24.96</v>
      </c>
      <c r="I43" s="10">
        <v>41</v>
      </c>
      <c r="J43" s="10">
        <v>37</v>
      </c>
      <c r="K43">
        <f t="shared" si="0"/>
        <v>0</v>
      </c>
    </row>
    <row r="44" spans="1:11">
      <c r="A44" s="10" t="s">
        <v>210</v>
      </c>
      <c r="B44" s="10">
        <v>643.29999999999995</v>
      </c>
      <c r="C44" s="10">
        <v>147</v>
      </c>
      <c r="D44" s="10">
        <v>47</v>
      </c>
      <c r="E44" s="10">
        <v>4.5</v>
      </c>
      <c r="F44" s="10">
        <v>24.1</v>
      </c>
      <c r="G44" s="10">
        <v>28.16</v>
      </c>
      <c r="H44" s="10">
        <v>24.96</v>
      </c>
      <c r="I44" s="10">
        <v>41</v>
      </c>
      <c r="J44" s="10">
        <v>37</v>
      </c>
      <c r="K44">
        <f t="shared" si="0"/>
        <v>0</v>
      </c>
    </row>
    <row r="45" spans="1:11">
      <c r="A45" s="10" t="s">
        <v>199</v>
      </c>
      <c r="B45" s="10">
        <v>672</v>
      </c>
      <c r="C45" s="10">
        <v>147</v>
      </c>
      <c r="D45" s="10">
        <v>47</v>
      </c>
      <c r="E45" s="10">
        <v>4.5</v>
      </c>
      <c r="F45" s="10">
        <v>24.1</v>
      </c>
      <c r="G45" s="10">
        <v>28.16</v>
      </c>
      <c r="H45" s="10">
        <v>24.96</v>
      </c>
      <c r="I45" s="10">
        <v>41</v>
      </c>
      <c r="J45" s="10">
        <v>37</v>
      </c>
      <c r="K45">
        <f t="shared" si="0"/>
        <v>0</v>
      </c>
    </row>
    <row r="46" spans="1:11">
      <c r="A46" s="10" t="s">
        <v>12</v>
      </c>
      <c r="B46" s="10">
        <v>630.6</v>
      </c>
      <c r="C46" s="10">
        <v>147</v>
      </c>
      <c r="D46" s="10">
        <v>47</v>
      </c>
      <c r="E46" s="10">
        <v>4.5</v>
      </c>
      <c r="F46" s="10">
        <v>24.1</v>
      </c>
      <c r="G46" s="10">
        <v>28.16</v>
      </c>
      <c r="H46" s="10">
        <v>24.96</v>
      </c>
      <c r="I46" s="10">
        <v>41</v>
      </c>
      <c r="J46" s="10">
        <v>37</v>
      </c>
      <c r="K46">
        <f t="shared" si="0"/>
        <v>3.2894736842105261E-2</v>
      </c>
    </row>
    <row r="47" spans="1:11">
      <c r="A47" s="10" t="s">
        <v>164</v>
      </c>
      <c r="B47" s="10">
        <v>631.29999999999995</v>
      </c>
      <c r="C47" s="10">
        <v>152</v>
      </c>
      <c r="D47" s="10">
        <v>43</v>
      </c>
      <c r="E47" s="10">
        <v>5.0999999999999996</v>
      </c>
      <c r="F47" s="10">
        <v>26.16</v>
      </c>
      <c r="G47" s="10">
        <v>27.36</v>
      </c>
      <c r="H47" s="10">
        <v>22.47</v>
      </c>
      <c r="I47" s="10">
        <v>42</v>
      </c>
      <c r="J47" s="10">
        <v>34</v>
      </c>
      <c r="K47">
        <f t="shared" si="0"/>
        <v>0</v>
      </c>
    </row>
    <row r="48" spans="1:11">
      <c r="A48" s="10" t="s">
        <v>279</v>
      </c>
      <c r="B48" s="10">
        <v>599.4</v>
      </c>
      <c r="C48" s="10">
        <v>152</v>
      </c>
      <c r="D48" s="10">
        <v>43</v>
      </c>
      <c r="E48" s="10">
        <v>5.0999999999999996</v>
      </c>
      <c r="F48" s="10">
        <v>26.16</v>
      </c>
      <c r="G48" s="10">
        <v>27.36</v>
      </c>
      <c r="H48" s="10">
        <v>22.47</v>
      </c>
      <c r="I48" s="10">
        <v>42</v>
      </c>
      <c r="J48" s="10">
        <v>34</v>
      </c>
      <c r="K48">
        <f t="shared" si="0"/>
        <v>0</v>
      </c>
    </row>
    <row r="49" spans="1:11">
      <c r="A49" s="10" t="s">
        <v>286</v>
      </c>
      <c r="B49" s="10">
        <v>694.8</v>
      </c>
      <c r="C49" s="10">
        <v>152</v>
      </c>
      <c r="D49" s="10">
        <v>43</v>
      </c>
      <c r="E49" s="10">
        <v>5.0999999999999996</v>
      </c>
      <c r="F49" s="10">
        <v>26.16</v>
      </c>
      <c r="G49" s="10">
        <v>27.36</v>
      </c>
      <c r="H49" s="10">
        <v>22.47</v>
      </c>
      <c r="I49" s="10">
        <v>42</v>
      </c>
      <c r="J49" s="10">
        <v>34</v>
      </c>
      <c r="K49">
        <f t="shared" si="0"/>
        <v>0</v>
      </c>
    </row>
    <row r="50" spans="1:11">
      <c r="A50" s="10" t="s">
        <v>113</v>
      </c>
      <c r="B50" s="10">
        <v>741.08</v>
      </c>
      <c r="C50" s="10">
        <v>152</v>
      </c>
      <c r="D50" s="10">
        <v>43</v>
      </c>
      <c r="E50" s="10">
        <v>5.0999999999999996</v>
      </c>
      <c r="F50" s="10">
        <v>26.16</v>
      </c>
      <c r="G50" s="10">
        <v>27.36</v>
      </c>
      <c r="H50" s="10">
        <v>22.47</v>
      </c>
      <c r="I50" s="10">
        <v>42</v>
      </c>
      <c r="J50" s="10">
        <v>34</v>
      </c>
      <c r="K50">
        <f t="shared" si="0"/>
        <v>1.935483870967742E-2</v>
      </c>
    </row>
    <row r="51" spans="1:11">
      <c r="A51" s="10" t="s">
        <v>142</v>
      </c>
      <c r="B51" s="10">
        <v>878.68</v>
      </c>
      <c r="C51" s="10">
        <v>155</v>
      </c>
      <c r="D51" s="10">
        <v>42</v>
      </c>
      <c r="E51" s="10">
        <v>5.8</v>
      </c>
      <c r="F51" s="10">
        <v>28.62</v>
      </c>
      <c r="G51" s="10">
        <v>26.14</v>
      </c>
      <c r="H51" s="10">
        <v>23.71</v>
      </c>
      <c r="I51" s="10">
        <v>41</v>
      </c>
      <c r="J51" s="10">
        <v>37</v>
      </c>
      <c r="K51">
        <f t="shared" si="0"/>
        <v>0</v>
      </c>
    </row>
    <row r="52" spans="1:11">
      <c r="A52" s="10" t="s">
        <v>60</v>
      </c>
      <c r="B52" s="10">
        <v>852.74</v>
      </c>
      <c r="C52" s="10">
        <v>155</v>
      </c>
      <c r="D52" s="10">
        <v>42</v>
      </c>
      <c r="E52" s="10">
        <v>5.8</v>
      </c>
      <c r="F52" s="10">
        <v>28.62</v>
      </c>
      <c r="G52" s="10">
        <v>26.14</v>
      </c>
      <c r="H52" s="10">
        <v>23.71</v>
      </c>
      <c r="I52" s="10">
        <v>41</v>
      </c>
      <c r="J52" s="10">
        <v>37</v>
      </c>
      <c r="K52">
        <f t="shared" si="0"/>
        <v>0</v>
      </c>
    </row>
    <row r="53" spans="1:11">
      <c r="A53" s="10" t="s">
        <v>276</v>
      </c>
      <c r="B53" s="10">
        <v>779.17</v>
      </c>
      <c r="C53" s="10">
        <v>155</v>
      </c>
      <c r="D53" s="10">
        <v>42</v>
      </c>
      <c r="E53" s="10">
        <v>5.8</v>
      </c>
      <c r="F53" s="10">
        <v>28.62</v>
      </c>
      <c r="G53" s="10">
        <v>26.14</v>
      </c>
      <c r="H53" s="10">
        <v>23.71</v>
      </c>
      <c r="I53" s="10">
        <v>41</v>
      </c>
      <c r="J53" s="10">
        <v>37</v>
      </c>
      <c r="K53">
        <f t="shared" si="0"/>
        <v>0</v>
      </c>
    </row>
    <row r="54" spans="1:11">
      <c r="A54" s="10" t="s">
        <v>45</v>
      </c>
      <c r="B54" s="10">
        <v>751.5</v>
      </c>
      <c r="C54" s="10">
        <v>155</v>
      </c>
      <c r="D54" s="10">
        <v>42</v>
      </c>
      <c r="E54" s="10">
        <v>5.8</v>
      </c>
      <c r="F54" s="10">
        <v>28.62</v>
      </c>
      <c r="G54" s="10">
        <v>26.14</v>
      </c>
      <c r="H54" s="10">
        <v>23.71</v>
      </c>
      <c r="I54" s="10">
        <v>41</v>
      </c>
      <c r="J54" s="10">
        <v>37</v>
      </c>
      <c r="K54">
        <f t="shared" si="0"/>
        <v>-4.72972972972973E-2</v>
      </c>
    </row>
    <row r="55" spans="1:11">
      <c r="A55" s="10" t="s">
        <v>186</v>
      </c>
      <c r="B55" s="10">
        <v>650</v>
      </c>
      <c r="C55" s="10">
        <v>148</v>
      </c>
      <c r="D55" s="10">
        <v>39</v>
      </c>
      <c r="E55" s="10">
        <v>6.6</v>
      </c>
      <c r="F55" s="10">
        <v>36.06</v>
      </c>
      <c r="G55" s="10" t="s">
        <v>240</v>
      </c>
      <c r="H55" s="10" t="s">
        <v>240</v>
      </c>
      <c r="I55" s="10">
        <v>36</v>
      </c>
      <c r="J55" s="10">
        <v>32</v>
      </c>
      <c r="K55">
        <f t="shared" si="0"/>
        <v>0</v>
      </c>
    </row>
    <row r="56" spans="1:11">
      <c r="A56" s="10" t="s">
        <v>149</v>
      </c>
      <c r="B56" s="10">
        <v>637.01</v>
      </c>
      <c r="C56" s="10">
        <v>148</v>
      </c>
      <c r="D56" s="10">
        <v>39</v>
      </c>
      <c r="E56" s="10">
        <v>6.6</v>
      </c>
      <c r="F56" s="10">
        <v>36.06</v>
      </c>
      <c r="G56" s="10" t="s">
        <v>240</v>
      </c>
      <c r="H56" s="10" t="s">
        <v>240</v>
      </c>
      <c r="I56" s="10">
        <v>36</v>
      </c>
      <c r="J56" s="10">
        <v>32</v>
      </c>
      <c r="K56">
        <f t="shared" si="0"/>
        <v>0</v>
      </c>
    </row>
    <row r="57" spans="1:11">
      <c r="A57" s="10" t="s">
        <v>136</v>
      </c>
      <c r="B57" s="10">
        <v>626</v>
      </c>
      <c r="C57" s="10">
        <v>148</v>
      </c>
      <c r="D57" s="10">
        <v>39</v>
      </c>
      <c r="E57" s="10">
        <v>6.6</v>
      </c>
      <c r="F57" s="10">
        <v>36.06</v>
      </c>
      <c r="G57" s="10" t="s">
        <v>240</v>
      </c>
      <c r="H57" s="10" t="s">
        <v>240</v>
      </c>
      <c r="I57" s="10">
        <v>36</v>
      </c>
      <c r="J57" s="10">
        <v>32</v>
      </c>
      <c r="K57">
        <f t="shared" si="0"/>
        <v>0</v>
      </c>
    </row>
    <row r="58" spans="1:11">
      <c r="A58" s="10" t="s">
        <v>290</v>
      </c>
      <c r="B58" s="10">
        <v>642.24</v>
      </c>
      <c r="C58" s="10">
        <v>148</v>
      </c>
      <c r="D58" s="10">
        <v>39</v>
      </c>
      <c r="E58" s="10">
        <v>6.6</v>
      </c>
      <c r="F58" s="10">
        <v>36.06</v>
      </c>
      <c r="G58" s="10" t="s">
        <v>240</v>
      </c>
      <c r="H58" s="10" t="s">
        <v>240</v>
      </c>
      <c r="I58" s="10">
        <v>36</v>
      </c>
      <c r="J58" s="10">
        <v>32</v>
      </c>
      <c r="K58" t="e">
        <f t="shared" si="0"/>
        <v>#DIV/0!</v>
      </c>
    </row>
  </sheetData>
  <sortState xmlns:xlrd2="http://schemas.microsoft.com/office/spreadsheetml/2017/richdata2" ref="A2:J61">
    <sortCondition ref="A2:A61"/>
  </sortState>
  <phoneticPr fontId="22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6"/>
  <sheetViews>
    <sheetView topLeftCell="A34" workbookViewId="0">
      <selection activeCell="G5" sqref="G5"/>
    </sheetView>
  </sheetViews>
  <sheetFormatPr baseColWidth="10" defaultColWidth="10.83203125" defaultRowHeight="19"/>
  <cols>
    <col min="1" max="1" width="10.83203125" style="62"/>
    <col min="2" max="4" width="10.83203125" style="63"/>
    <col min="5" max="6" width="12" style="63" bestFit="1" customWidth="1"/>
    <col min="7" max="10" width="10.83203125" style="63"/>
    <col min="11" max="11" width="19.1640625" style="63" customWidth="1"/>
    <col min="12" max="16" width="10.83203125" style="63"/>
    <col min="17" max="17" width="12" style="63" bestFit="1" customWidth="1"/>
    <col min="18" max="16384" width="10.83203125" style="63"/>
  </cols>
  <sheetData>
    <row r="1" spans="1:19">
      <c r="A1" s="150" t="s">
        <v>543</v>
      </c>
      <c r="B1" s="151"/>
      <c r="C1" s="151"/>
      <c r="D1" s="151"/>
      <c r="E1" s="151"/>
      <c r="F1" s="151"/>
      <c r="G1" s="151"/>
    </row>
    <row r="2" spans="1:19">
      <c r="A2" s="150"/>
      <c r="B2" s="151" t="s">
        <v>544</v>
      </c>
      <c r="C2" s="151"/>
      <c r="D2" s="151"/>
      <c r="E2" s="151"/>
      <c r="F2" s="151"/>
      <c r="G2" s="151"/>
    </row>
    <row r="3" spans="1:19">
      <c r="A3" s="150"/>
      <c r="B3" s="151" t="s">
        <v>545</v>
      </c>
      <c r="C3" s="151"/>
      <c r="D3" s="151"/>
      <c r="E3" s="152">
        <v>22245071</v>
      </c>
      <c r="F3" s="152">
        <v>26328050</v>
      </c>
      <c r="G3" s="151"/>
    </row>
    <row r="4" spans="1:19">
      <c r="A4" s="150"/>
      <c r="B4" s="151" t="s">
        <v>548</v>
      </c>
      <c r="C4" s="151"/>
      <c r="D4" s="151"/>
      <c r="E4" s="151" t="s">
        <v>549</v>
      </c>
      <c r="F4" s="151" t="s">
        <v>550</v>
      </c>
      <c r="G4" s="151" t="s">
        <v>551</v>
      </c>
    </row>
    <row r="5" spans="1:19">
      <c r="A5" s="150"/>
      <c r="B5" s="151" t="s">
        <v>546</v>
      </c>
      <c r="C5" s="153">
        <v>0.6</v>
      </c>
      <c r="D5" s="151"/>
      <c r="E5" s="152">
        <f>100-E7</f>
        <v>27.740000000000009</v>
      </c>
      <c r="F5" s="154">
        <v>0</v>
      </c>
      <c r="G5" s="155">
        <f>($E$3*E5/100+$F$3*F5/100)/SUM($E$3:$F$3)</f>
        <v>0.12704109944674963</v>
      </c>
    </row>
    <row r="6" spans="1:19">
      <c r="A6" s="150"/>
      <c r="B6" s="151" t="s">
        <v>552</v>
      </c>
      <c r="C6" s="153">
        <v>0.2</v>
      </c>
      <c r="D6" s="151"/>
      <c r="E6" s="152">
        <v>0</v>
      </c>
      <c r="F6" s="154">
        <f>12.73+15.39+3.78+9.31</f>
        <v>41.21</v>
      </c>
      <c r="G6" s="155">
        <f t="shared" ref="G6:G7" si="0">($E$3*E6/100+$F$3*F6/100)/SUM($E$3:$F$3)</f>
        <v>0.22337023402305153</v>
      </c>
    </row>
    <row r="7" spans="1:19">
      <c r="A7" s="150"/>
      <c r="B7" s="151" t="s">
        <v>547</v>
      </c>
      <c r="C7" s="153">
        <v>0.2</v>
      </c>
      <c r="D7" s="151"/>
      <c r="E7" s="152">
        <f>13.2+53.1+5.96</f>
        <v>72.259999999999991</v>
      </c>
      <c r="F7" s="154">
        <f>100-F6</f>
        <v>58.79</v>
      </c>
      <c r="G7" s="155">
        <f t="shared" si="0"/>
        <v>0.64958866653019887</v>
      </c>
    </row>
    <row r="10" spans="1:19">
      <c r="K10" s="63" t="s">
        <v>366</v>
      </c>
    </row>
    <row r="11" spans="1:19">
      <c r="A11" s="62" t="s">
        <v>353</v>
      </c>
      <c r="K11" s="63" t="s">
        <v>372</v>
      </c>
      <c r="N11" s="63" t="s">
        <v>373</v>
      </c>
      <c r="Q11" s="63" t="s">
        <v>375</v>
      </c>
      <c r="S11" s="63" t="s">
        <v>761</v>
      </c>
    </row>
    <row r="13" spans="1:19">
      <c r="A13" s="62" t="s">
        <v>354</v>
      </c>
    </row>
    <row r="15" spans="1:19">
      <c r="A15" s="62" t="s">
        <v>370</v>
      </c>
    </row>
    <row r="16" spans="1:19">
      <c r="A16" s="62" t="s">
        <v>364</v>
      </c>
      <c r="K16" s="64">
        <v>5.94</v>
      </c>
      <c r="N16" s="63">
        <v>6.26</v>
      </c>
      <c r="Q16" s="63">
        <v>3.97</v>
      </c>
      <c r="S16" s="63">
        <f>16000/1300</f>
        <v>12.307692307692308</v>
      </c>
    </row>
    <row r="17" spans="1:19">
      <c r="A17" s="62" t="s">
        <v>365</v>
      </c>
      <c r="K17" s="63">
        <v>0.4</v>
      </c>
      <c r="N17" s="63">
        <v>0.62</v>
      </c>
      <c r="Q17" s="63">
        <v>0.73</v>
      </c>
      <c r="S17" s="63">
        <f>16000/8000</f>
        <v>2</v>
      </c>
    </row>
    <row r="18" spans="1:19">
      <c r="A18" s="62" t="s">
        <v>540</v>
      </c>
      <c r="K18" s="63">
        <v>7.64</v>
      </c>
      <c r="N18" s="63">
        <v>10.83</v>
      </c>
      <c r="Q18" s="63">
        <v>19.690000000000001</v>
      </c>
      <c r="S18" s="63">
        <f>1300/7000*100</f>
        <v>18.571428571428573</v>
      </c>
    </row>
    <row r="19" spans="1:19">
      <c r="A19" s="62" t="s">
        <v>361</v>
      </c>
      <c r="K19" s="63">
        <v>930</v>
      </c>
      <c r="N19" s="63">
        <v>10.95</v>
      </c>
      <c r="Q19" s="63">
        <v>168.65</v>
      </c>
    </row>
    <row r="20" spans="1:19">
      <c r="A20" s="146" t="s">
        <v>563</v>
      </c>
    </row>
    <row r="21" spans="1:19">
      <c r="A21" s="146" t="s">
        <v>565</v>
      </c>
    </row>
    <row r="22" spans="1:19">
      <c r="A22" s="146" t="s">
        <v>564</v>
      </c>
    </row>
    <row r="24" spans="1:19">
      <c r="A24" s="62" t="s">
        <v>371</v>
      </c>
    </row>
    <row r="25" spans="1:19">
      <c r="A25" s="62" t="s">
        <v>360</v>
      </c>
    </row>
    <row r="26" spans="1:19">
      <c r="A26" s="62" t="s">
        <v>367</v>
      </c>
      <c r="K26" s="65">
        <v>157466</v>
      </c>
      <c r="L26" s="65">
        <v>168459</v>
      </c>
      <c r="M26" s="65">
        <v>177102</v>
      </c>
      <c r="N26" s="63">
        <v>687</v>
      </c>
      <c r="O26" s="63">
        <v>666</v>
      </c>
      <c r="P26" s="63">
        <v>664</v>
      </c>
      <c r="Q26" s="65">
        <v>12846</v>
      </c>
      <c r="R26" s="65">
        <v>10057</v>
      </c>
      <c r="S26" s="65">
        <v>8841</v>
      </c>
    </row>
    <row r="27" spans="1:19">
      <c r="A27" s="62" t="s">
        <v>368</v>
      </c>
      <c r="K27" s="65">
        <v>5335</v>
      </c>
      <c r="L27" s="65">
        <v>3953</v>
      </c>
      <c r="M27" s="65">
        <v>2868</v>
      </c>
      <c r="N27" s="63">
        <v>124</v>
      </c>
      <c r="O27" s="63">
        <v>139</v>
      </c>
      <c r="P27" s="63">
        <v>141</v>
      </c>
      <c r="Q27" s="65">
        <v>1350</v>
      </c>
      <c r="R27" s="65">
        <v>1288</v>
      </c>
      <c r="S27" s="65">
        <v>1459</v>
      </c>
    </row>
    <row r="28" spans="1:19">
      <c r="A28" s="62" t="s">
        <v>369</v>
      </c>
      <c r="K28" s="65">
        <v>3735</v>
      </c>
      <c r="L28" s="65">
        <v>2691</v>
      </c>
      <c r="M28" s="65">
        <v>3319</v>
      </c>
      <c r="N28" s="63">
        <v>122</v>
      </c>
      <c r="O28" s="63">
        <v>143</v>
      </c>
      <c r="P28" s="63">
        <v>121</v>
      </c>
      <c r="Q28" s="63">
        <v>783</v>
      </c>
      <c r="R28" s="65">
        <v>1010</v>
      </c>
      <c r="S28" s="63">
        <v>275</v>
      </c>
    </row>
    <row r="29" spans="1:19">
      <c r="A29" s="62" t="s">
        <v>362</v>
      </c>
    </row>
    <row r="31" spans="1:19">
      <c r="A31" s="62" t="s">
        <v>355</v>
      </c>
    </row>
    <row r="33" spans="1:17">
      <c r="A33" s="62" t="s">
        <v>356</v>
      </c>
    </row>
    <row r="35" spans="1:17">
      <c r="A35" s="62" t="s">
        <v>357</v>
      </c>
    </row>
    <row r="37" spans="1:17">
      <c r="A37" s="62" t="s">
        <v>358</v>
      </c>
      <c r="K37" s="63" t="s">
        <v>374</v>
      </c>
      <c r="N37" s="63" t="s">
        <v>381</v>
      </c>
      <c r="Q37" s="63" t="s">
        <v>376</v>
      </c>
    </row>
    <row r="39" spans="1:17">
      <c r="A39" s="62" t="s">
        <v>359</v>
      </c>
      <c r="K39" s="66">
        <v>0.25</v>
      </c>
      <c r="N39" s="66">
        <v>0.35</v>
      </c>
    </row>
    <row r="41" spans="1:17">
      <c r="A41" s="62" t="s">
        <v>363</v>
      </c>
    </row>
    <row r="42" spans="1:17">
      <c r="A42" s="67" t="s">
        <v>382</v>
      </c>
    </row>
    <row r="43" spans="1:17">
      <c r="A43" s="67" t="s">
        <v>383</v>
      </c>
    </row>
    <row r="44" spans="1:17">
      <c r="A44" s="156" t="s">
        <v>553</v>
      </c>
    </row>
    <row r="45" spans="1:17" ht="15">
      <c r="A45" s="63"/>
    </row>
    <row r="47" spans="1:17">
      <c r="A47" s="62" t="s">
        <v>380</v>
      </c>
    </row>
    <row r="48" spans="1:17">
      <c r="A48" s="67" t="s">
        <v>557</v>
      </c>
    </row>
    <row r="49" spans="1:18">
      <c r="A49" s="67" t="s">
        <v>558</v>
      </c>
    </row>
    <row r="50" spans="1:18">
      <c r="A50" s="67" t="s">
        <v>559</v>
      </c>
    </row>
    <row r="52" spans="1:18">
      <c r="A52" s="62" t="s">
        <v>411</v>
      </c>
    </row>
    <row r="53" spans="1:18">
      <c r="A53" s="62" t="s">
        <v>412</v>
      </c>
    </row>
    <row r="54" spans="1:18">
      <c r="A54" s="62" t="s">
        <v>413</v>
      </c>
    </row>
    <row r="55" spans="1:18">
      <c r="A55" s="62" t="s">
        <v>414</v>
      </c>
    </row>
    <row r="56" spans="1:18" ht="15">
      <c r="A56" s="63"/>
    </row>
    <row r="57" spans="1:18" ht="15">
      <c r="A57" s="63"/>
    </row>
    <row r="58" spans="1:18">
      <c r="A58" s="150"/>
    </row>
    <row r="59" spans="1:18">
      <c r="A59" s="150"/>
    </row>
    <row r="61" spans="1:18">
      <c r="A61" s="62" t="s">
        <v>520</v>
      </c>
      <c r="O61" s="147">
        <v>44606</v>
      </c>
    </row>
    <row r="62" spans="1:18">
      <c r="B62" s="62" t="s">
        <v>384</v>
      </c>
      <c r="C62" s="62" t="s">
        <v>519</v>
      </c>
      <c r="N62" s="63" t="s">
        <v>525</v>
      </c>
      <c r="O62" s="63">
        <v>27.36</v>
      </c>
    </row>
    <row r="63" spans="1:18">
      <c r="B63" s="62" t="s">
        <v>385</v>
      </c>
      <c r="C63" s="62" t="s">
        <v>521</v>
      </c>
      <c r="M63" s="63" t="s">
        <v>526</v>
      </c>
      <c r="N63" s="63" t="s">
        <v>408</v>
      </c>
      <c r="O63" s="63" t="s">
        <v>529</v>
      </c>
      <c r="R63" s="148">
        <f>2752111/2211875</f>
        <v>1.2442434586041256</v>
      </c>
    </row>
    <row r="64" spans="1:18">
      <c r="C64" s="146" t="s">
        <v>522</v>
      </c>
      <c r="M64" s="63" t="s">
        <v>527</v>
      </c>
      <c r="N64" s="63" t="s">
        <v>528</v>
      </c>
      <c r="O64" s="63" t="s">
        <v>530</v>
      </c>
    </row>
    <row r="65" spans="3:3">
      <c r="C65" s="146" t="s">
        <v>523</v>
      </c>
    </row>
    <row r="66" spans="3:3">
      <c r="C66" s="146" t="s">
        <v>524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07"/>
  <sheetViews>
    <sheetView zoomScale="90" zoomScaleNormal="85" workbookViewId="0">
      <pane ySplit="3" topLeftCell="A4" activePane="bottomLeft" state="frozen"/>
      <selection pane="bottomLeft" activeCell="E404" sqref="E404"/>
    </sheetView>
  </sheetViews>
  <sheetFormatPr baseColWidth="10" defaultColWidth="11.5" defaultRowHeight="15"/>
  <cols>
    <col min="1" max="1" width="30.1640625" customWidth="1"/>
    <col min="2" max="2" width="31.6640625" customWidth="1"/>
    <col min="3" max="4" width="10.5" customWidth="1"/>
    <col min="5" max="8" width="8.5" customWidth="1"/>
    <col min="9" max="10" width="13.6640625" style="91" customWidth="1"/>
    <col min="11" max="12" width="6.83203125" style="91" customWidth="1"/>
    <col min="13" max="47" width="6.83203125" customWidth="1"/>
  </cols>
  <sheetData>
    <row r="1" spans="1:47" ht="20">
      <c r="A1" s="31" t="s">
        <v>377</v>
      </c>
      <c r="B1" s="31"/>
      <c r="C1" s="31"/>
      <c r="D1" s="31"/>
      <c r="E1" s="31"/>
      <c r="F1" s="31"/>
      <c r="G1" s="31"/>
      <c r="H1" s="31"/>
      <c r="I1" s="90"/>
      <c r="J1" s="90"/>
    </row>
    <row r="3" spans="1:47" s="112" customFormat="1" ht="32">
      <c r="A3" s="112" t="s">
        <v>456</v>
      </c>
      <c r="B3" s="112" t="s">
        <v>457</v>
      </c>
      <c r="C3" s="112" t="s">
        <v>458</v>
      </c>
      <c r="D3" s="112" t="s">
        <v>459</v>
      </c>
      <c r="E3" s="112" t="s">
        <v>460</v>
      </c>
      <c r="F3" s="112" t="s">
        <v>461</v>
      </c>
      <c r="G3" s="113" t="s">
        <v>462</v>
      </c>
      <c r="H3" s="112" t="s">
        <v>463</v>
      </c>
      <c r="I3" s="114" t="s">
        <v>464</v>
      </c>
      <c r="J3" s="114" t="s">
        <v>465</v>
      </c>
      <c r="K3" s="115" t="s">
        <v>466</v>
      </c>
      <c r="L3" s="116">
        <v>44562</v>
      </c>
      <c r="M3" s="117">
        <v>44593</v>
      </c>
      <c r="N3" s="117">
        <v>44621</v>
      </c>
      <c r="O3" s="117">
        <v>44652</v>
      </c>
      <c r="P3" s="117">
        <v>44682</v>
      </c>
      <c r="Q3" s="117">
        <v>44713</v>
      </c>
      <c r="R3" s="117">
        <v>44743</v>
      </c>
      <c r="S3" s="117">
        <v>44774</v>
      </c>
      <c r="T3" s="117">
        <v>44805</v>
      </c>
      <c r="U3" s="117">
        <v>44835</v>
      </c>
      <c r="V3" s="117">
        <v>44866</v>
      </c>
      <c r="W3" s="117">
        <v>44896</v>
      </c>
      <c r="X3" s="117">
        <v>44927</v>
      </c>
      <c r="Y3" s="117">
        <v>44958</v>
      </c>
      <c r="Z3" s="117">
        <v>44986</v>
      </c>
      <c r="AA3" s="117">
        <v>45017</v>
      </c>
      <c r="AB3" s="117">
        <v>45047</v>
      </c>
      <c r="AC3" s="117">
        <v>45078</v>
      </c>
      <c r="AD3" s="117">
        <v>45108</v>
      </c>
      <c r="AE3" s="117">
        <v>45139</v>
      </c>
      <c r="AF3" s="117">
        <v>45170</v>
      </c>
      <c r="AG3" s="117">
        <v>45200</v>
      </c>
      <c r="AH3" s="117">
        <v>45231</v>
      </c>
      <c r="AI3" s="117">
        <v>45261</v>
      </c>
      <c r="AJ3" s="117">
        <v>45292</v>
      </c>
      <c r="AK3" s="117">
        <v>45323</v>
      </c>
      <c r="AL3" s="117">
        <v>45352</v>
      </c>
      <c r="AM3" s="117">
        <v>45383</v>
      </c>
      <c r="AN3" s="117">
        <v>45413</v>
      </c>
      <c r="AO3" s="117">
        <v>45444</v>
      </c>
      <c r="AP3" s="117">
        <v>45474</v>
      </c>
      <c r="AQ3" s="117">
        <v>45505</v>
      </c>
      <c r="AR3" s="117">
        <v>45536</v>
      </c>
      <c r="AS3" s="117">
        <v>45566</v>
      </c>
      <c r="AT3" s="117">
        <v>45597</v>
      </c>
      <c r="AU3" s="117">
        <v>45627</v>
      </c>
    </row>
    <row r="4" spans="1:47" s="70" customFormat="1" ht="16" thickBot="1">
      <c r="A4" s="70" t="s">
        <v>404</v>
      </c>
      <c r="I4" s="92"/>
      <c r="J4" s="92"/>
      <c r="K4" s="92"/>
      <c r="L4" s="92"/>
    </row>
    <row r="5" spans="1:47" s="69" customFormat="1" ht="19" thickTop="1" thickBot="1">
      <c r="A5" s="79" t="s">
        <v>402</v>
      </c>
      <c r="B5" s="139" t="s">
        <v>513</v>
      </c>
      <c r="C5" s="84">
        <v>5.37</v>
      </c>
      <c r="D5" s="89">
        <v>8.33</v>
      </c>
      <c r="E5" s="73">
        <f>C5/J6-1</f>
        <v>-0.66221763807860567</v>
      </c>
      <c r="F5" s="73">
        <f>C5/D5-1</f>
        <v>-0.35534213685474192</v>
      </c>
      <c r="G5" s="74">
        <f>E5+F5</f>
        <v>-1.0175597749333476</v>
      </c>
      <c r="H5" s="78">
        <f>SUM(K6:AU6)*G5</f>
        <v>-1005.3490576341475</v>
      </c>
      <c r="I5" s="93"/>
      <c r="J5" s="94"/>
      <c r="K5" s="93"/>
      <c r="L5" s="93"/>
      <c r="M5" s="57"/>
      <c r="N5" s="57"/>
    </row>
    <row r="6" spans="1:47" ht="16" thickTop="1">
      <c r="A6" s="55"/>
      <c r="B6" s="55"/>
      <c r="C6" s="85"/>
      <c r="D6" s="85"/>
      <c r="E6" s="72"/>
      <c r="F6" s="72"/>
      <c r="G6" s="55"/>
      <c r="H6" s="55"/>
      <c r="I6" s="95">
        <f>SUM(I7:I25)</f>
        <v>16174.379999999997</v>
      </c>
      <c r="J6" s="96">
        <f>SUM(I7:I22)/SUM(K7:AU22)</f>
        <v>15.89781055900621</v>
      </c>
      <c r="K6" s="95">
        <f>SUM(K7:K25)</f>
        <v>588</v>
      </c>
      <c r="L6" s="95">
        <f t="shared" ref="L6:AU6" si="0">SUM(L7:L25)</f>
        <v>400</v>
      </c>
      <c r="M6" s="75">
        <f t="shared" si="0"/>
        <v>0</v>
      </c>
      <c r="N6" s="75">
        <f t="shared" si="0"/>
        <v>0</v>
      </c>
      <c r="O6" s="75">
        <f t="shared" si="0"/>
        <v>0</v>
      </c>
      <c r="P6" s="75">
        <f t="shared" si="0"/>
        <v>0</v>
      </c>
      <c r="Q6" s="75">
        <f t="shared" si="0"/>
        <v>0</v>
      </c>
      <c r="R6" s="75">
        <f t="shared" si="0"/>
        <v>0</v>
      </c>
      <c r="S6" s="75">
        <f t="shared" si="0"/>
        <v>0</v>
      </c>
      <c r="T6" s="75">
        <f t="shared" si="0"/>
        <v>0</v>
      </c>
      <c r="U6" s="75">
        <f t="shared" si="0"/>
        <v>0</v>
      </c>
      <c r="V6" s="75">
        <f t="shared" si="0"/>
        <v>0</v>
      </c>
      <c r="W6" s="75">
        <f t="shared" si="0"/>
        <v>0</v>
      </c>
      <c r="X6" s="75">
        <f t="shared" si="0"/>
        <v>0</v>
      </c>
      <c r="Y6" s="75">
        <f t="shared" si="0"/>
        <v>0</v>
      </c>
      <c r="Z6" s="75">
        <f t="shared" si="0"/>
        <v>0</v>
      </c>
      <c r="AA6" s="75">
        <f t="shared" si="0"/>
        <v>0</v>
      </c>
      <c r="AB6" s="75">
        <f t="shared" si="0"/>
        <v>0</v>
      </c>
      <c r="AC6" s="75">
        <f t="shared" si="0"/>
        <v>0</v>
      </c>
      <c r="AD6" s="75">
        <f t="shared" si="0"/>
        <v>0</v>
      </c>
      <c r="AE6" s="75">
        <f t="shared" si="0"/>
        <v>0</v>
      </c>
      <c r="AF6" s="75">
        <f t="shared" si="0"/>
        <v>0</v>
      </c>
      <c r="AG6" s="75">
        <f t="shared" si="0"/>
        <v>0</v>
      </c>
      <c r="AH6" s="75">
        <f t="shared" si="0"/>
        <v>0</v>
      </c>
      <c r="AI6" s="75">
        <f t="shared" si="0"/>
        <v>0</v>
      </c>
      <c r="AJ6" s="75">
        <f t="shared" si="0"/>
        <v>0</v>
      </c>
      <c r="AK6" s="75">
        <f t="shared" si="0"/>
        <v>0</v>
      </c>
      <c r="AL6" s="75">
        <f t="shared" si="0"/>
        <v>0</v>
      </c>
      <c r="AM6" s="75">
        <f t="shared" si="0"/>
        <v>0</v>
      </c>
      <c r="AN6" s="75">
        <f t="shared" si="0"/>
        <v>0</v>
      </c>
      <c r="AO6" s="75">
        <f t="shared" si="0"/>
        <v>0</v>
      </c>
      <c r="AP6" s="75">
        <f t="shared" si="0"/>
        <v>0</v>
      </c>
      <c r="AQ6" s="75">
        <f t="shared" si="0"/>
        <v>0</v>
      </c>
      <c r="AR6" s="75">
        <f t="shared" si="0"/>
        <v>0</v>
      </c>
      <c r="AS6" s="75">
        <f t="shared" si="0"/>
        <v>0</v>
      </c>
      <c r="AT6" s="75">
        <f t="shared" si="0"/>
        <v>0</v>
      </c>
      <c r="AU6" s="75">
        <f t="shared" si="0"/>
        <v>0</v>
      </c>
    </row>
    <row r="7" spans="1:47">
      <c r="A7" s="55"/>
      <c r="B7" s="55"/>
      <c r="C7" s="86"/>
      <c r="D7" s="86"/>
      <c r="E7" s="55"/>
      <c r="F7" s="55"/>
      <c r="G7" s="55"/>
      <c r="H7" s="55"/>
      <c r="I7" s="95">
        <f>J7*SUM(K7:AU7)</f>
        <v>1955.8000000000002</v>
      </c>
      <c r="J7" s="96">
        <v>27.94</v>
      </c>
      <c r="K7" s="95">
        <v>70</v>
      </c>
      <c r="L7" s="97"/>
      <c r="M7" s="55"/>
      <c r="N7" s="55"/>
    </row>
    <row r="8" spans="1:47">
      <c r="A8" s="55"/>
      <c r="B8" s="55"/>
      <c r="C8" s="86"/>
      <c r="D8" s="86"/>
      <c r="E8" s="55"/>
      <c r="F8" s="55"/>
      <c r="G8" s="55"/>
      <c r="H8" s="55"/>
      <c r="I8" s="95">
        <f t="shared" ref="I8:I12" si="1">J8*SUM(K8:AU8)</f>
        <v>1618.4</v>
      </c>
      <c r="J8" s="96">
        <v>23.12</v>
      </c>
      <c r="K8" s="95">
        <v>70</v>
      </c>
      <c r="L8" s="97"/>
      <c r="M8" s="55"/>
      <c r="N8" s="55"/>
    </row>
    <row r="9" spans="1:47">
      <c r="A9" s="55"/>
      <c r="B9" s="55"/>
      <c r="C9" s="86"/>
      <c r="D9" s="86"/>
      <c r="E9" s="55"/>
      <c r="F9" s="55"/>
      <c r="G9" s="55"/>
      <c r="H9" s="55"/>
      <c r="I9" s="95">
        <f t="shared" si="1"/>
        <v>1120</v>
      </c>
      <c r="J9" s="96">
        <v>16</v>
      </c>
      <c r="K9" s="95">
        <v>70</v>
      </c>
      <c r="L9" s="97"/>
      <c r="M9" s="55"/>
      <c r="N9" s="55"/>
    </row>
    <row r="10" spans="1:47">
      <c r="A10" s="55"/>
      <c r="B10" s="55"/>
      <c r="C10" s="86"/>
      <c r="D10" s="86"/>
      <c r="E10" s="55"/>
      <c r="F10" s="55"/>
      <c r="G10" s="55"/>
      <c r="H10" s="55"/>
      <c r="I10" s="95">
        <f t="shared" si="1"/>
        <v>530.40000000000009</v>
      </c>
      <c r="J10" s="96">
        <v>22.1</v>
      </c>
      <c r="K10" s="95">
        <v>24</v>
      </c>
      <c r="L10" s="97"/>
      <c r="M10" s="55"/>
      <c r="N10" s="55"/>
    </row>
    <row r="11" spans="1:47">
      <c r="A11" s="55"/>
      <c r="B11" s="55"/>
      <c r="C11" s="86"/>
      <c r="D11" s="86"/>
      <c r="E11" s="55"/>
      <c r="F11" s="55"/>
      <c r="G11" s="55"/>
      <c r="H11" s="55"/>
      <c r="I11" s="95">
        <f t="shared" si="1"/>
        <v>824</v>
      </c>
      <c r="J11" s="96">
        <v>20.6</v>
      </c>
      <c r="K11" s="95">
        <v>40</v>
      </c>
      <c r="L11" s="97"/>
      <c r="M11" s="55"/>
      <c r="N11" s="55"/>
    </row>
    <row r="12" spans="1:47">
      <c r="A12" s="55"/>
      <c r="B12" s="55"/>
      <c r="C12" s="86"/>
      <c r="D12" s="86"/>
      <c r="E12" s="55"/>
      <c r="F12" s="55"/>
      <c r="G12" s="55"/>
      <c r="H12" s="55"/>
      <c r="I12" s="95">
        <f t="shared" si="1"/>
        <v>795.4</v>
      </c>
      <c r="J12" s="96">
        <v>19.399999999999999</v>
      </c>
      <c r="K12" s="95">
        <v>41</v>
      </c>
      <c r="L12" s="97"/>
      <c r="M12" s="55"/>
      <c r="N12" s="55"/>
    </row>
    <row r="13" spans="1:47">
      <c r="A13" s="55"/>
      <c r="B13" s="55"/>
      <c r="C13" s="86"/>
      <c r="D13" s="86"/>
      <c r="E13" s="55"/>
      <c r="F13" s="55"/>
      <c r="G13" s="55"/>
      <c r="H13" s="55"/>
      <c r="I13" s="95">
        <f>J13*SUM(K13:AU13)</f>
        <v>782.28</v>
      </c>
      <c r="J13" s="96">
        <v>19.079999999999998</v>
      </c>
      <c r="K13" s="95">
        <v>41</v>
      </c>
      <c r="L13" s="97"/>
      <c r="M13" s="55"/>
      <c r="N13" s="55"/>
    </row>
    <row r="14" spans="1:47">
      <c r="A14" s="55"/>
      <c r="B14" s="55"/>
      <c r="C14" s="86"/>
      <c r="D14" s="86"/>
      <c r="E14" s="55"/>
      <c r="F14" s="55"/>
      <c r="G14" s="55"/>
      <c r="H14" s="55"/>
      <c r="I14" s="95">
        <f t="shared" ref="I14:I20" si="2">J14*SUM(K14:AU14)</f>
        <v>982.49999999999989</v>
      </c>
      <c r="J14" s="96">
        <v>19.649999999999999</v>
      </c>
      <c r="K14" s="95">
        <v>50</v>
      </c>
      <c r="L14" s="97"/>
      <c r="M14" s="55"/>
      <c r="N14" s="55"/>
    </row>
    <row r="15" spans="1:47">
      <c r="A15" s="55"/>
      <c r="B15" s="55"/>
      <c r="C15" s="86"/>
      <c r="D15" s="86"/>
      <c r="E15" s="55"/>
      <c r="F15" s="55"/>
      <c r="G15" s="55"/>
      <c r="H15" s="55"/>
      <c r="I15" s="95">
        <f t="shared" si="2"/>
        <v>1269.8399999999999</v>
      </c>
      <c r="J15" s="96">
        <v>19.239999999999998</v>
      </c>
      <c r="K15" s="95">
        <v>66</v>
      </c>
      <c r="L15" s="97"/>
      <c r="M15" s="55"/>
      <c r="N15" s="55"/>
    </row>
    <row r="16" spans="1:47">
      <c r="A16" s="55"/>
      <c r="B16" s="55"/>
      <c r="C16" s="86"/>
      <c r="D16" s="86"/>
      <c r="E16" s="55"/>
      <c r="F16" s="55"/>
      <c r="G16" s="55"/>
      <c r="H16" s="55"/>
      <c r="I16" s="95">
        <f t="shared" si="2"/>
        <v>1244.76</v>
      </c>
      <c r="J16" s="96">
        <v>18.86</v>
      </c>
      <c r="K16" s="95">
        <v>66</v>
      </c>
      <c r="L16" s="97"/>
      <c r="M16" s="55"/>
      <c r="N16" s="55"/>
    </row>
    <row r="17" spans="1:47">
      <c r="A17" s="55"/>
      <c r="B17" s="55"/>
      <c r="C17" s="86"/>
      <c r="D17" s="86"/>
      <c r="E17" s="55"/>
      <c r="F17" s="55"/>
      <c r="G17" s="55"/>
      <c r="H17" s="55"/>
      <c r="I17" s="95">
        <f t="shared" si="2"/>
        <v>4296</v>
      </c>
      <c r="J17" s="96">
        <v>14.32</v>
      </c>
      <c r="K17" s="95">
        <v>300</v>
      </c>
      <c r="L17" s="97"/>
      <c r="M17" s="55"/>
      <c r="N17" s="55"/>
    </row>
    <row r="18" spans="1:47">
      <c r="A18" s="55"/>
      <c r="B18" s="55"/>
      <c r="C18" s="86"/>
      <c r="D18" s="86"/>
      <c r="E18" s="55"/>
      <c r="F18" s="55"/>
      <c r="G18" s="55"/>
      <c r="H18" s="55"/>
      <c r="I18" s="95">
        <f t="shared" ref="I18:I19" si="3">J18*SUM(K18:AU18)</f>
        <v>657</v>
      </c>
      <c r="J18" s="96">
        <v>13.14</v>
      </c>
      <c r="K18" s="95">
        <v>50</v>
      </c>
      <c r="L18" s="97"/>
      <c r="M18" s="55"/>
      <c r="N18" s="55"/>
    </row>
    <row r="19" spans="1:47">
      <c r="A19" s="55"/>
      <c r="B19" s="55"/>
      <c r="C19" s="86"/>
      <c r="D19" s="86"/>
      <c r="E19" s="55"/>
      <c r="F19" s="55"/>
      <c r="G19" s="55"/>
      <c r="H19" s="55"/>
      <c r="I19" s="95">
        <f t="shared" si="3"/>
        <v>1801.5</v>
      </c>
      <c r="J19" s="96">
        <v>12.01</v>
      </c>
      <c r="K19" s="95"/>
      <c r="L19" s="97">
        <v>150</v>
      </c>
      <c r="M19" s="55"/>
      <c r="N19" s="55"/>
    </row>
    <row r="20" spans="1:47">
      <c r="A20" s="55"/>
      <c r="B20" s="55"/>
      <c r="C20" s="86"/>
      <c r="D20" s="86"/>
      <c r="E20" s="55"/>
      <c r="F20" s="55"/>
      <c r="G20" s="55"/>
      <c r="H20" s="55"/>
      <c r="I20" s="95">
        <f t="shared" si="2"/>
        <v>1184</v>
      </c>
      <c r="J20" s="96">
        <v>11.84</v>
      </c>
      <c r="K20" s="95"/>
      <c r="L20" s="97">
        <v>100</v>
      </c>
      <c r="M20" s="55"/>
      <c r="N20" s="55"/>
    </row>
    <row r="21" spans="1:47" s="33" customFormat="1">
      <c r="A21" s="57" t="s">
        <v>384</v>
      </c>
      <c r="B21" s="57"/>
      <c r="C21" s="137"/>
      <c r="D21" s="137"/>
      <c r="E21" s="57"/>
      <c r="F21" s="57"/>
      <c r="G21" s="57"/>
      <c r="H21" s="57"/>
      <c r="I21" s="105">
        <f>J21*SUM(K21:AU21)</f>
        <v>1414.5</v>
      </c>
      <c r="J21" s="138">
        <v>9.43</v>
      </c>
      <c r="K21" s="105"/>
      <c r="L21" s="93">
        <v>150</v>
      </c>
      <c r="M21" s="57"/>
      <c r="N21" s="57"/>
    </row>
    <row r="22" spans="1:47" s="32" customFormat="1">
      <c r="A22" s="76" t="s">
        <v>384</v>
      </c>
      <c r="B22" s="76"/>
      <c r="C22" s="87"/>
      <c r="D22" s="87"/>
      <c r="E22" s="76"/>
      <c r="F22" s="76"/>
      <c r="G22" s="76"/>
      <c r="H22" s="76"/>
      <c r="I22" s="98">
        <f>J22*SUM(K22:AU22)</f>
        <v>0</v>
      </c>
      <c r="J22" s="99"/>
      <c r="K22" s="98"/>
      <c r="L22" s="100"/>
      <c r="M22" s="76"/>
      <c r="N22" s="76"/>
    </row>
    <row r="23" spans="1:47">
      <c r="A23" s="55"/>
      <c r="B23" s="55"/>
      <c r="C23" s="86"/>
      <c r="D23" s="86"/>
      <c r="E23" s="55"/>
      <c r="F23" s="55"/>
      <c r="G23" s="55"/>
      <c r="H23" s="55"/>
      <c r="I23" s="95">
        <f>J23*SUM(K23:AU23)</f>
        <v>-4302</v>
      </c>
      <c r="J23" s="96">
        <v>14.34</v>
      </c>
      <c r="K23" s="95">
        <v>-300</v>
      </c>
      <c r="L23" s="97"/>
      <c r="M23" s="55"/>
      <c r="N23" s="55"/>
    </row>
    <row r="24" spans="1:47">
      <c r="A24" s="55"/>
      <c r="B24" s="55"/>
      <c r="C24" s="86"/>
      <c r="D24" s="86"/>
      <c r="E24" s="55"/>
      <c r="F24" s="55"/>
      <c r="G24" s="55"/>
      <c r="H24" s="55"/>
      <c r="I24" s="95">
        <f>J24*SUM(K24:AU24)</f>
        <v>0</v>
      </c>
      <c r="J24" s="96"/>
      <c r="K24" s="95"/>
      <c r="L24" s="97"/>
      <c r="M24" s="55"/>
      <c r="N24" s="55"/>
    </row>
    <row r="25" spans="1:47" s="68" customFormat="1" ht="16" thickBot="1">
      <c r="A25" s="77" t="s">
        <v>385</v>
      </c>
      <c r="B25" s="77"/>
      <c r="C25" s="88"/>
      <c r="D25" s="88"/>
      <c r="E25" s="77"/>
      <c r="F25" s="77"/>
      <c r="G25" s="77"/>
      <c r="H25" s="77"/>
      <c r="I25" s="101">
        <f>J25*SUM(K25:AU25)</f>
        <v>0</v>
      </c>
      <c r="J25" s="102"/>
      <c r="K25" s="101"/>
      <c r="L25" s="103"/>
      <c r="M25" s="77"/>
      <c r="N25" s="77"/>
    </row>
    <row r="26" spans="1:47" s="69" customFormat="1" ht="17" thickTop="1" thickBot="1">
      <c r="A26" s="79" t="s">
        <v>409</v>
      </c>
      <c r="B26" s="149">
        <v>-0.33</v>
      </c>
      <c r="C26" s="84">
        <v>188</v>
      </c>
      <c r="D26" s="89">
        <v>212.26</v>
      </c>
      <c r="E26" s="73">
        <f>C26/J27-1</f>
        <v>-0.40816760189827084</v>
      </c>
      <c r="F26" s="73">
        <f>C26/D26-1</f>
        <v>-0.11429379063412792</v>
      </c>
      <c r="G26" s="74">
        <f>E26+F26</f>
        <v>-0.52246139253239876</v>
      </c>
      <c r="H26" s="78">
        <f>SUM(K27:AU27)*G26</f>
        <v>-6.2695367103887847</v>
      </c>
      <c r="I26" s="93"/>
      <c r="J26" s="94"/>
      <c r="K26" s="93"/>
      <c r="L26" s="93"/>
      <c r="M26" s="57"/>
      <c r="N26" s="57"/>
    </row>
    <row r="27" spans="1:47" ht="16" thickTop="1">
      <c r="A27" s="55"/>
      <c r="B27" s="55"/>
      <c r="C27" s="85"/>
      <c r="D27" s="85"/>
      <c r="E27" s="72"/>
      <c r="F27" s="72"/>
      <c r="G27" s="55"/>
      <c r="H27" s="55"/>
      <c r="I27" s="95">
        <f>SUM(I28:I32)</f>
        <v>3811.89</v>
      </c>
      <c r="J27" s="96">
        <f>SUM(I28:I30)/SUM(K28:AU30)</f>
        <v>317.65749999999997</v>
      </c>
      <c r="K27" s="95">
        <f t="shared" ref="K27:AU27" si="4">SUM(K28:K32)</f>
        <v>12</v>
      </c>
      <c r="L27" s="95">
        <f t="shared" si="4"/>
        <v>0</v>
      </c>
      <c r="M27" s="95">
        <f t="shared" si="4"/>
        <v>0</v>
      </c>
      <c r="N27" s="95">
        <f t="shared" si="4"/>
        <v>0</v>
      </c>
      <c r="O27" s="95">
        <f t="shared" si="4"/>
        <v>0</v>
      </c>
      <c r="P27" s="95">
        <f t="shared" si="4"/>
        <v>0</v>
      </c>
      <c r="Q27" s="95">
        <f t="shared" si="4"/>
        <v>0</v>
      </c>
      <c r="R27" s="95">
        <f t="shared" si="4"/>
        <v>0</v>
      </c>
      <c r="S27" s="95">
        <f t="shared" si="4"/>
        <v>0</v>
      </c>
      <c r="T27" s="95">
        <f t="shared" si="4"/>
        <v>0</v>
      </c>
      <c r="U27" s="95">
        <f t="shared" si="4"/>
        <v>0</v>
      </c>
      <c r="V27" s="95">
        <f t="shared" si="4"/>
        <v>0</v>
      </c>
      <c r="W27" s="95">
        <f t="shared" si="4"/>
        <v>0</v>
      </c>
      <c r="X27" s="95">
        <f t="shared" si="4"/>
        <v>0</v>
      </c>
      <c r="Y27" s="95">
        <f t="shared" si="4"/>
        <v>0</v>
      </c>
      <c r="Z27" s="95">
        <f t="shared" si="4"/>
        <v>0</v>
      </c>
      <c r="AA27" s="95">
        <f t="shared" si="4"/>
        <v>0</v>
      </c>
      <c r="AB27" s="95">
        <f t="shared" si="4"/>
        <v>0</v>
      </c>
      <c r="AC27" s="95">
        <f t="shared" si="4"/>
        <v>0</v>
      </c>
      <c r="AD27" s="95">
        <f t="shared" si="4"/>
        <v>0</v>
      </c>
      <c r="AE27" s="95">
        <f t="shared" si="4"/>
        <v>0</v>
      </c>
      <c r="AF27" s="95">
        <f t="shared" si="4"/>
        <v>0</v>
      </c>
      <c r="AG27" s="95">
        <f t="shared" si="4"/>
        <v>0</v>
      </c>
      <c r="AH27" s="95">
        <f t="shared" si="4"/>
        <v>0</v>
      </c>
      <c r="AI27" s="95">
        <f t="shared" si="4"/>
        <v>0</v>
      </c>
      <c r="AJ27" s="95">
        <f t="shared" si="4"/>
        <v>0</v>
      </c>
      <c r="AK27" s="95">
        <f t="shared" si="4"/>
        <v>0</v>
      </c>
      <c r="AL27" s="95">
        <f t="shared" si="4"/>
        <v>0</v>
      </c>
      <c r="AM27" s="95">
        <f t="shared" si="4"/>
        <v>0</v>
      </c>
      <c r="AN27" s="95">
        <f t="shared" si="4"/>
        <v>0</v>
      </c>
      <c r="AO27" s="95">
        <f t="shared" si="4"/>
        <v>0</v>
      </c>
      <c r="AP27" s="95">
        <f t="shared" si="4"/>
        <v>0</v>
      </c>
      <c r="AQ27" s="95">
        <f t="shared" si="4"/>
        <v>0</v>
      </c>
      <c r="AR27" s="95">
        <f t="shared" si="4"/>
        <v>0</v>
      </c>
      <c r="AS27" s="95">
        <f t="shared" si="4"/>
        <v>0</v>
      </c>
      <c r="AT27" s="95">
        <f t="shared" si="4"/>
        <v>0</v>
      </c>
      <c r="AU27" s="95">
        <f t="shared" si="4"/>
        <v>0</v>
      </c>
    </row>
    <row r="28" spans="1:47">
      <c r="A28" s="55"/>
      <c r="B28" s="55"/>
      <c r="C28" s="86"/>
      <c r="D28" s="86"/>
      <c r="E28" s="55"/>
      <c r="F28" s="55"/>
      <c r="G28" s="55"/>
      <c r="H28" s="55"/>
      <c r="I28" s="95">
        <f>J28*SUM(K28:AU28)</f>
        <v>3085.47</v>
      </c>
      <c r="J28" s="96">
        <v>342.83</v>
      </c>
      <c r="K28" s="95">
        <v>9</v>
      </c>
      <c r="L28" s="97"/>
      <c r="M28" s="55"/>
      <c r="N28" s="55"/>
    </row>
    <row r="29" spans="1:47" s="33" customFormat="1">
      <c r="A29" s="57" t="s">
        <v>384</v>
      </c>
      <c r="B29" s="57"/>
      <c r="C29" s="137"/>
      <c r="D29" s="137"/>
      <c r="E29" s="57"/>
      <c r="F29" s="57"/>
      <c r="G29" s="57"/>
      <c r="H29" s="57"/>
      <c r="I29" s="105">
        <f>J29*SUM(K29:AU29)</f>
        <v>726.42</v>
      </c>
      <c r="J29" s="138">
        <v>242.14</v>
      </c>
      <c r="K29" s="105">
        <v>3</v>
      </c>
      <c r="L29" s="93"/>
      <c r="M29" s="57"/>
      <c r="N29" s="57"/>
    </row>
    <row r="30" spans="1:47" s="32" customFormat="1">
      <c r="A30" s="76" t="s">
        <v>384</v>
      </c>
      <c r="B30" s="76"/>
      <c r="C30" s="87"/>
      <c r="D30" s="87"/>
      <c r="E30" s="76"/>
      <c r="F30" s="76"/>
      <c r="G30" s="76"/>
      <c r="H30" s="76"/>
      <c r="I30" s="98">
        <f>J30*SUM(K30:AU30)</f>
        <v>0</v>
      </c>
      <c r="J30" s="99"/>
      <c r="K30" s="98"/>
      <c r="L30" s="100"/>
      <c r="M30" s="76"/>
      <c r="N30" s="76"/>
    </row>
    <row r="31" spans="1:47">
      <c r="A31" s="55"/>
      <c r="B31" s="55"/>
      <c r="C31" s="86"/>
      <c r="D31" s="86"/>
      <c r="E31" s="55"/>
      <c r="F31" s="55"/>
      <c r="G31" s="55"/>
      <c r="H31" s="55"/>
      <c r="I31" s="95">
        <f>J31*SUM(K31:AU31)</f>
        <v>0</v>
      </c>
      <c r="J31" s="96"/>
      <c r="K31" s="95"/>
      <c r="L31" s="97"/>
      <c r="M31" s="55"/>
      <c r="N31" s="55"/>
    </row>
    <row r="32" spans="1:47" s="68" customFormat="1" ht="16" thickBot="1">
      <c r="A32" s="77" t="s">
        <v>385</v>
      </c>
      <c r="B32" s="77"/>
      <c r="C32" s="88"/>
      <c r="D32" s="88"/>
      <c r="E32" s="77"/>
      <c r="F32" s="77"/>
      <c r="G32" s="77"/>
      <c r="H32" s="77"/>
      <c r="I32" s="101">
        <f>J32*SUM(K32:AU32)</f>
        <v>0</v>
      </c>
      <c r="J32" s="102"/>
      <c r="K32" s="101"/>
      <c r="L32" s="103"/>
      <c r="M32" s="77"/>
      <c r="N32" s="77"/>
    </row>
    <row r="33" spans="1:47" s="69" customFormat="1" ht="17" thickTop="1" thickBot="1">
      <c r="A33" s="79" t="s">
        <v>410</v>
      </c>
      <c r="B33" s="80" t="s">
        <v>765</v>
      </c>
      <c r="C33" s="84">
        <v>1.63</v>
      </c>
      <c r="D33" s="89">
        <v>2.2599999999999998</v>
      </c>
      <c r="E33" s="73">
        <f>C33/J34-1</f>
        <v>-0.54069804674991995</v>
      </c>
      <c r="F33" s="73">
        <f>C33/D33-1</f>
        <v>-0.27876106194690264</v>
      </c>
      <c r="G33" s="74">
        <f>E33+F33</f>
        <v>-0.81945910869682259</v>
      </c>
      <c r="H33" s="78">
        <f>SUM(K34:AU34)*G33</f>
        <v>-360.56200782660193</v>
      </c>
      <c r="I33" s="93"/>
      <c r="J33" s="94"/>
      <c r="K33" s="93"/>
      <c r="L33" s="93"/>
      <c r="M33" s="57"/>
      <c r="N33" s="57"/>
    </row>
    <row r="34" spans="1:47" ht="16" thickTop="1">
      <c r="A34" s="55"/>
      <c r="B34" s="55"/>
      <c r="C34" s="85"/>
      <c r="D34" s="85"/>
      <c r="E34" s="72"/>
      <c r="F34" s="72"/>
      <c r="G34" s="55"/>
      <c r="H34" s="55"/>
      <c r="I34" s="95">
        <f>SUM(I35:I44)</f>
        <v>1561.5</v>
      </c>
      <c r="J34" s="96">
        <f>SUM(I35:I42)/SUM(K35:AU42)</f>
        <v>3.5488636363636363</v>
      </c>
      <c r="K34" s="95">
        <f>SUM(K35:K44)</f>
        <v>370</v>
      </c>
      <c r="L34" s="95">
        <f t="shared" ref="L34:AU34" si="5">SUM(L35:L44)</f>
        <v>70</v>
      </c>
      <c r="M34" s="95">
        <f t="shared" si="5"/>
        <v>0</v>
      </c>
      <c r="N34" s="95">
        <f t="shared" si="5"/>
        <v>0</v>
      </c>
      <c r="O34" s="95">
        <f t="shared" si="5"/>
        <v>0</v>
      </c>
      <c r="P34" s="95">
        <f t="shared" si="5"/>
        <v>0</v>
      </c>
      <c r="Q34" s="95">
        <f t="shared" si="5"/>
        <v>0</v>
      </c>
      <c r="R34" s="95">
        <f t="shared" si="5"/>
        <v>0</v>
      </c>
      <c r="S34" s="95">
        <f t="shared" si="5"/>
        <v>0</v>
      </c>
      <c r="T34" s="95">
        <f t="shared" si="5"/>
        <v>0</v>
      </c>
      <c r="U34" s="95">
        <f t="shared" si="5"/>
        <v>0</v>
      </c>
      <c r="V34" s="95">
        <f t="shared" si="5"/>
        <v>0</v>
      </c>
      <c r="W34" s="95">
        <f t="shared" si="5"/>
        <v>0</v>
      </c>
      <c r="X34" s="95">
        <f t="shared" si="5"/>
        <v>0</v>
      </c>
      <c r="Y34" s="95">
        <f t="shared" si="5"/>
        <v>0</v>
      </c>
      <c r="Z34" s="95">
        <f t="shared" si="5"/>
        <v>0</v>
      </c>
      <c r="AA34" s="95">
        <f t="shared" si="5"/>
        <v>0</v>
      </c>
      <c r="AB34" s="95">
        <f t="shared" si="5"/>
        <v>0</v>
      </c>
      <c r="AC34" s="95">
        <f t="shared" si="5"/>
        <v>0</v>
      </c>
      <c r="AD34" s="95">
        <f t="shared" si="5"/>
        <v>0</v>
      </c>
      <c r="AE34" s="95">
        <f t="shared" si="5"/>
        <v>0</v>
      </c>
      <c r="AF34" s="95">
        <f t="shared" si="5"/>
        <v>0</v>
      </c>
      <c r="AG34" s="95">
        <f t="shared" si="5"/>
        <v>0</v>
      </c>
      <c r="AH34" s="95">
        <f t="shared" si="5"/>
        <v>0</v>
      </c>
      <c r="AI34" s="95">
        <f t="shared" si="5"/>
        <v>0</v>
      </c>
      <c r="AJ34" s="95">
        <f t="shared" si="5"/>
        <v>0</v>
      </c>
      <c r="AK34" s="95">
        <f t="shared" si="5"/>
        <v>0</v>
      </c>
      <c r="AL34" s="95">
        <f t="shared" si="5"/>
        <v>0</v>
      </c>
      <c r="AM34" s="95">
        <f t="shared" si="5"/>
        <v>0</v>
      </c>
      <c r="AN34" s="95">
        <f t="shared" si="5"/>
        <v>0</v>
      </c>
      <c r="AO34" s="95">
        <f t="shared" si="5"/>
        <v>0</v>
      </c>
      <c r="AP34" s="95">
        <f t="shared" si="5"/>
        <v>0</v>
      </c>
      <c r="AQ34" s="95">
        <f t="shared" si="5"/>
        <v>0</v>
      </c>
      <c r="AR34" s="95">
        <f t="shared" si="5"/>
        <v>0</v>
      </c>
      <c r="AS34" s="95">
        <f t="shared" si="5"/>
        <v>0</v>
      </c>
      <c r="AT34" s="95">
        <f t="shared" si="5"/>
        <v>0</v>
      </c>
      <c r="AU34" s="95">
        <f t="shared" si="5"/>
        <v>0</v>
      </c>
    </row>
    <row r="35" spans="1:47">
      <c r="A35" s="55"/>
      <c r="B35" s="55"/>
      <c r="C35" s="86"/>
      <c r="D35" s="86"/>
      <c r="E35" s="55"/>
      <c r="F35" s="55"/>
      <c r="G35" s="55"/>
      <c r="H35" s="55"/>
      <c r="I35" s="95">
        <f>J35*SUM(K35:AU35)</f>
        <v>500</v>
      </c>
      <c r="J35" s="96">
        <v>5</v>
      </c>
      <c r="K35" s="95">
        <v>100</v>
      </c>
      <c r="L35" s="97"/>
      <c r="M35" s="55"/>
      <c r="N35" s="55"/>
    </row>
    <row r="36" spans="1:47">
      <c r="A36" s="55"/>
      <c r="B36" s="55"/>
      <c r="C36" s="86"/>
      <c r="D36" s="86"/>
      <c r="E36" s="55"/>
      <c r="F36" s="55"/>
      <c r="G36" s="55"/>
      <c r="H36" s="55"/>
      <c r="I36" s="95">
        <f>J36*SUM(K36:AU36)</f>
        <v>91.199999999999989</v>
      </c>
      <c r="J36" s="96">
        <v>4.5599999999999996</v>
      </c>
      <c r="K36" s="95">
        <v>20</v>
      </c>
      <c r="L36" s="97"/>
      <c r="M36" s="55"/>
      <c r="N36" s="55"/>
    </row>
    <row r="37" spans="1:47">
      <c r="A37" s="55"/>
      <c r="B37" s="55"/>
      <c r="C37" s="86"/>
      <c r="D37" s="86"/>
      <c r="E37" s="55"/>
      <c r="F37" s="55"/>
      <c r="G37" s="55"/>
      <c r="H37" s="55"/>
      <c r="I37" s="95">
        <f>J37*SUM(K37:AU37)</f>
        <v>317.5</v>
      </c>
      <c r="J37" s="96">
        <v>3.1749999999999998</v>
      </c>
      <c r="K37" s="95">
        <v>100</v>
      </c>
      <c r="L37" s="97"/>
      <c r="M37" s="55"/>
      <c r="N37" s="55"/>
    </row>
    <row r="38" spans="1:47">
      <c r="A38" s="55"/>
      <c r="B38" s="55"/>
      <c r="C38" s="86"/>
      <c r="D38" s="86"/>
      <c r="E38" s="55"/>
      <c r="F38" s="55"/>
      <c r="G38" s="55"/>
      <c r="H38" s="55"/>
      <c r="I38" s="95">
        <f t="shared" ref="I38:I39" si="6">J38*SUM(K38:AU38)</f>
        <v>63.6</v>
      </c>
      <c r="J38" s="96">
        <v>3.18</v>
      </c>
      <c r="K38" s="95">
        <v>20</v>
      </c>
      <c r="L38" s="97"/>
      <c r="M38" s="55"/>
      <c r="N38" s="55"/>
    </row>
    <row r="39" spans="1:47">
      <c r="A39" s="55"/>
      <c r="B39" s="55"/>
      <c r="C39" s="86"/>
      <c r="D39" s="86"/>
      <c r="E39" s="55"/>
      <c r="F39" s="55"/>
      <c r="G39" s="55"/>
      <c r="H39" s="55"/>
      <c r="I39" s="95">
        <f t="shared" si="6"/>
        <v>186</v>
      </c>
      <c r="J39" s="96">
        <v>3.1</v>
      </c>
      <c r="K39" s="95">
        <v>60</v>
      </c>
      <c r="L39" s="97"/>
      <c r="M39" s="55"/>
      <c r="N39" s="55"/>
    </row>
    <row r="40" spans="1:47">
      <c r="A40" s="55"/>
      <c r="B40" s="55"/>
      <c r="C40" s="86"/>
      <c r="D40" s="86"/>
      <c r="E40" s="55"/>
      <c r="F40" s="55"/>
      <c r="G40" s="55"/>
      <c r="H40" s="55"/>
      <c r="I40" s="95">
        <f>J40*SUM(K40:AU40)</f>
        <v>205.10000000000002</v>
      </c>
      <c r="J40" s="96">
        <v>2.93</v>
      </c>
      <c r="K40" s="95">
        <v>70</v>
      </c>
      <c r="L40" s="97"/>
      <c r="M40" s="55"/>
      <c r="N40" s="55"/>
    </row>
    <row r="41" spans="1:47">
      <c r="A41" s="55"/>
      <c r="B41" s="55"/>
      <c r="C41" s="86"/>
      <c r="D41" s="86"/>
      <c r="E41" s="55"/>
      <c r="F41" s="55"/>
      <c r="G41" s="55"/>
      <c r="H41" s="55"/>
      <c r="I41" s="95">
        <f>J41*SUM(K41:AU41)</f>
        <v>198.1</v>
      </c>
      <c r="J41" s="96">
        <v>2.83</v>
      </c>
      <c r="K41" s="95"/>
      <c r="L41" s="97">
        <v>70</v>
      </c>
      <c r="M41" s="55"/>
      <c r="N41" s="55"/>
    </row>
    <row r="42" spans="1:47" s="32" customFormat="1">
      <c r="A42" s="76" t="s">
        <v>384</v>
      </c>
      <c r="B42" s="76"/>
      <c r="C42" s="87"/>
      <c r="D42" s="87"/>
      <c r="E42" s="76"/>
      <c r="F42" s="76"/>
      <c r="G42" s="76"/>
      <c r="H42" s="76"/>
      <c r="I42" s="98">
        <f>J42*SUM(K42:AU42)</f>
        <v>0</v>
      </c>
      <c r="J42" s="99"/>
      <c r="K42" s="98"/>
      <c r="L42" s="100"/>
      <c r="M42" s="76"/>
      <c r="N42" s="76"/>
    </row>
    <row r="43" spans="1:47">
      <c r="A43" s="55"/>
      <c r="B43" s="55"/>
      <c r="C43" s="86"/>
      <c r="D43" s="86"/>
      <c r="E43" s="55"/>
      <c r="F43" s="55"/>
      <c r="G43" s="55"/>
      <c r="H43" s="55"/>
      <c r="I43" s="95">
        <f>J43*SUM(K43:AU43)</f>
        <v>0</v>
      </c>
      <c r="J43" s="96"/>
      <c r="K43" s="95"/>
      <c r="L43" s="97"/>
      <c r="M43" s="55"/>
      <c r="N43" s="55"/>
    </row>
    <row r="44" spans="1:47" s="68" customFormat="1">
      <c r="A44" s="77" t="s">
        <v>385</v>
      </c>
      <c r="B44" s="77"/>
      <c r="C44" s="88"/>
      <c r="D44" s="88"/>
      <c r="E44" s="77"/>
      <c r="F44" s="77"/>
      <c r="G44" s="77"/>
      <c r="H44" s="77"/>
      <c r="I44" s="101">
        <f>J44*SUM(K44:AU44)</f>
        <v>0</v>
      </c>
      <c r="J44" s="102"/>
      <c r="K44" s="101"/>
      <c r="L44" s="103"/>
      <c r="M44" s="77"/>
      <c r="N44" s="77"/>
    </row>
    <row r="45" spans="1:47" s="70" customFormat="1" ht="16" thickBot="1">
      <c r="A45" s="70" t="s">
        <v>403</v>
      </c>
      <c r="B45" s="71"/>
      <c r="C45" s="71"/>
      <c r="D45" s="71"/>
      <c r="E45" s="71"/>
      <c r="F45" s="71"/>
      <c r="G45" s="71"/>
      <c r="H45" s="71"/>
      <c r="I45" s="104"/>
      <c r="J45" s="104"/>
      <c r="K45" s="104"/>
      <c r="L45" s="104"/>
      <c r="M45" s="71"/>
      <c r="N45" s="71"/>
    </row>
    <row r="46" spans="1:47" s="69" customFormat="1" ht="17" thickTop="1" thickBot="1">
      <c r="A46" s="79" t="s">
        <v>386</v>
      </c>
      <c r="B46" s="80" t="s">
        <v>391</v>
      </c>
      <c r="C46" s="81">
        <v>28550</v>
      </c>
      <c r="D46" s="82">
        <v>29308</v>
      </c>
      <c r="E46" s="73">
        <f>C46/J47-1</f>
        <v>-5.0201043511559962E-2</v>
      </c>
      <c r="F46" s="73">
        <f>C46/D46-1</f>
        <v>-2.5863245530230672E-2</v>
      </c>
      <c r="G46" s="74">
        <f>E46+F46</f>
        <v>-7.6064289041790634E-2</v>
      </c>
      <c r="H46" s="78">
        <f>SUM(K47:AU47)*G46</f>
        <v>-10.572936176808899</v>
      </c>
      <c r="I46" s="93"/>
      <c r="J46" s="93"/>
      <c r="K46" s="93"/>
      <c r="L46" s="93"/>
      <c r="M46" s="57"/>
      <c r="N46" s="57"/>
    </row>
    <row r="47" spans="1:47" ht="16" thickTop="1">
      <c r="A47" s="55"/>
      <c r="B47" s="55"/>
      <c r="C47" s="72"/>
      <c r="D47" s="72"/>
      <c r="E47" s="72"/>
      <c r="F47" s="72"/>
      <c r="G47" s="55"/>
      <c r="H47" s="55"/>
      <c r="I47" s="95">
        <f>SUM(I48:I56)</f>
        <v>4178200</v>
      </c>
      <c r="J47" s="95">
        <f>SUM(I48:I54)/SUM(K48:AU54)</f>
        <v>30058.992805755395</v>
      </c>
      <c r="K47" s="95">
        <f>SUM(K48:K56)</f>
        <v>139</v>
      </c>
      <c r="L47" s="95">
        <f t="shared" ref="L47:AU47" si="7">SUM(L48:L56)</f>
        <v>0</v>
      </c>
      <c r="M47" s="75">
        <f t="shared" si="7"/>
        <v>0</v>
      </c>
      <c r="N47" s="75">
        <f t="shared" si="7"/>
        <v>0</v>
      </c>
      <c r="O47" s="75">
        <f t="shared" si="7"/>
        <v>0</v>
      </c>
      <c r="P47" s="75">
        <f t="shared" si="7"/>
        <v>0</v>
      </c>
      <c r="Q47" s="75">
        <f t="shared" si="7"/>
        <v>0</v>
      </c>
      <c r="R47" s="75">
        <f t="shared" si="7"/>
        <v>0</v>
      </c>
      <c r="S47" s="75">
        <f t="shared" si="7"/>
        <v>0</v>
      </c>
      <c r="T47" s="75">
        <f t="shared" si="7"/>
        <v>0</v>
      </c>
      <c r="U47" s="75">
        <f t="shared" si="7"/>
        <v>0</v>
      </c>
      <c r="V47" s="75">
        <f t="shared" si="7"/>
        <v>0</v>
      </c>
      <c r="W47" s="75">
        <f t="shared" si="7"/>
        <v>0</v>
      </c>
      <c r="X47" s="75">
        <f t="shared" si="7"/>
        <v>0</v>
      </c>
      <c r="Y47" s="75">
        <f t="shared" si="7"/>
        <v>0</v>
      </c>
      <c r="Z47" s="75">
        <f t="shared" si="7"/>
        <v>0</v>
      </c>
      <c r="AA47" s="75">
        <f t="shared" si="7"/>
        <v>0</v>
      </c>
      <c r="AB47" s="75">
        <f t="shared" si="7"/>
        <v>0</v>
      </c>
      <c r="AC47" s="75">
        <f t="shared" si="7"/>
        <v>0</v>
      </c>
      <c r="AD47" s="75">
        <f t="shared" si="7"/>
        <v>0</v>
      </c>
      <c r="AE47" s="75">
        <f t="shared" si="7"/>
        <v>0</v>
      </c>
      <c r="AF47" s="75">
        <f t="shared" si="7"/>
        <v>0</v>
      </c>
      <c r="AG47" s="75">
        <f t="shared" si="7"/>
        <v>0</v>
      </c>
      <c r="AH47" s="75">
        <f t="shared" si="7"/>
        <v>0</v>
      </c>
      <c r="AI47" s="75">
        <f t="shared" si="7"/>
        <v>0</v>
      </c>
      <c r="AJ47" s="75">
        <f t="shared" si="7"/>
        <v>0</v>
      </c>
      <c r="AK47" s="75">
        <f t="shared" si="7"/>
        <v>0</v>
      </c>
      <c r="AL47" s="75">
        <f t="shared" si="7"/>
        <v>0</v>
      </c>
      <c r="AM47" s="75">
        <f t="shared" si="7"/>
        <v>0</v>
      </c>
      <c r="AN47" s="75">
        <f t="shared" si="7"/>
        <v>0</v>
      </c>
      <c r="AO47" s="75">
        <f t="shared" si="7"/>
        <v>0</v>
      </c>
      <c r="AP47" s="75">
        <f t="shared" si="7"/>
        <v>0</v>
      </c>
      <c r="AQ47" s="75">
        <f t="shared" si="7"/>
        <v>0</v>
      </c>
      <c r="AR47" s="75">
        <f t="shared" si="7"/>
        <v>0</v>
      </c>
      <c r="AS47" s="75">
        <f t="shared" si="7"/>
        <v>0</v>
      </c>
      <c r="AT47" s="75">
        <f t="shared" si="7"/>
        <v>0</v>
      </c>
      <c r="AU47" s="75">
        <f t="shared" si="7"/>
        <v>0</v>
      </c>
    </row>
    <row r="48" spans="1:47">
      <c r="A48" s="55"/>
      <c r="B48" s="55"/>
      <c r="C48" s="55"/>
      <c r="D48" s="55"/>
      <c r="E48" s="55"/>
      <c r="F48" s="55"/>
      <c r="G48" s="55"/>
      <c r="H48" s="55"/>
      <c r="I48" s="95">
        <f>J48*SUM(K48:AU48)</f>
        <v>3025000</v>
      </c>
      <c r="J48" s="95">
        <v>30250</v>
      </c>
      <c r="K48" s="95">
        <v>100</v>
      </c>
      <c r="L48" s="97"/>
      <c r="M48" s="55"/>
      <c r="N48" s="55"/>
    </row>
    <row r="49" spans="1:47">
      <c r="A49" s="55"/>
      <c r="B49" s="55"/>
      <c r="C49" s="55"/>
      <c r="D49" s="55"/>
      <c r="E49" s="55"/>
      <c r="F49" s="55"/>
      <c r="G49" s="55"/>
      <c r="H49" s="55"/>
      <c r="I49" s="95">
        <f t="shared" ref="I49:I53" si="8">J49*SUM(K49:AU49)</f>
        <v>334400</v>
      </c>
      <c r="J49" s="95">
        <v>30400</v>
      </c>
      <c r="K49" s="95">
        <v>11</v>
      </c>
      <c r="L49" s="97"/>
      <c r="M49" s="55"/>
      <c r="N49" s="55"/>
    </row>
    <row r="50" spans="1:47">
      <c r="A50" s="55"/>
      <c r="B50" s="55"/>
      <c r="C50" s="55"/>
      <c r="D50" s="55"/>
      <c r="E50" s="55"/>
      <c r="F50" s="55"/>
      <c r="G50" s="55"/>
      <c r="H50" s="55"/>
      <c r="I50" s="95">
        <f t="shared" si="8"/>
        <v>304000</v>
      </c>
      <c r="J50" s="95">
        <v>30400</v>
      </c>
      <c r="K50" s="95">
        <v>10</v>
      </c>
      <c r="L50" s="97"/>
      <c r="M50" s="55"/>
      <c r="N50" s="55"/>
    </row>
    <row r="51" spans="1:47">
      <c r="A51" s="55"/>
      <c r="B51" s="55"/>
      <c r="C51" s="55"/>
      <c r="D51" s="55"/>
      <c r="E51" s="55"/>
      <c r="F51" s="55"/>
      <c r="G51" s="55"/>
      <c r="H51" s="55"/>
      <c r="I51" s="95">
        <f t="shared" si="8"/>
        <v>172800</v>
      </c>
      <c r="J51" s="95">
        <v>28800</v>
      </c>
      <c r="K51" s="95">
        <v>6</v>
      </c>
      <c r="L51" s="97"/>
      <c r="M51" s="55"/>
      <c r="N51" s="55"/>
    </row>
    <row r="52" spans="1:47">
      <c r="A52" s="55"/>
      <c r="B52" s="55"/>
      <c r="C52" s="55"/>
      <c r="D52" s="55"/>
      <c r="E52" s="55"/>
      <c r="F52" s="55"/>
      <c r="G52" s="55"/>
      <c r="H52" s="55"/>
      <c r="I52" s="95">
        <f t="shared" si="8"/>
        <v>172200</v>
      </c>
      <c r="J52" s="95">
        <v>28700</v>
      </c>
      <c r="K52" s="95">
        <v>6</v>
      </c>
      <c r="L52" s="97"/>
      <c r="M52" s="55"/>
      <c r="N52" s="55"/>
    </row>
    <row r="53" spans="1:47">
      <c r="A53" s="55"/>
      <c r="B53" s="55"/>
      <c r="C53" s="55"/>
      <c r="D53" s="55"/>
      <c r="E53" s="55"/>
      <c r="F53" s="55"/>
      <c r="G53" s="55"/>
      <c r="H53" s="55"/>
      <c r="I53" s="95">
        <f t="shared" si="8"/>
        <v>169800</v>
      </c>
      <c r="J53" s="95">
        <v>28300</v>
      </c>
      <c r="K53" s="95">
        <v>6</v>
      </c>
      <c r="L53" s="97"/>
      <c r="M53" s="55"/>
      <c r="N53" s="55"/>
    </row>
    <row r="54" spans="1:47" s="32" customFormat="1">
      <c r="A54" s="76" t="s">
        <v>384</v>
      </c>
      <c r="B54" s="76"/>
      <c r="C54" s="76"/>
      <c r="D54" s="76"/>
      <c r="E54" s="76"/>
      <c r="F54" s="76"/>
      <c r="G54" s="76"/>
      <c r="H54" s="76"/>
      <c r="I54" s="98">
        <f>J54*SUM(K54:AU54)</f>
        <v>0</v>
      </c>
      <c r="J54" s="98"/>
      <c r="K54" s="98"/>
      <c r="L54" s="100"/>
      <c r="M54" s="76"/>
      <c r="N54" s="76"/>
    </row>
    <row r="55" spans="1:47">
      <c r="A55" s="55"/>
      <c r="B55" s="55"/>
      <c r="C55" s="55"/>
      <c r="D55" s="55"/>
      <c r="E55" s="55"/>
      <c r="F55" s="55"/>
      <c r="G55" s="55"/>
      <c r="H55" s="55"/>
      <c r="I55" s="95">
        <f>J55*SUM(K55:AU55)</f>
        <v>0</v>
      </c>
      <c r="J55" s="95"/>
      <c r="K55" s="95"/>
      <c r="L55" s="97"/>
      <c r="M55" s="55"/>
      <c r="N55" s="55"/>
    </row>
    <row r="56" spans="1:47" s="68" customFormat="1" ht="16" thickBot="1">
      <c r="A56" s="77" t="s">
        <v>385</v>
      </c>
      <c r="B56" s="77"/>
      <c r="C56" s="77"/>
      <c r="D56" s="77"/>
      <c r="E56" s="77"/>
      <c r="F56" s="77"/>
      <c r="G56" s="77"/>
      <c r="H56" s="77"/>
      <c r="I56" s="101">
        <f>J56*SUM(K56:AU56)</f>
        <v>0</v>
      </c>
      <c r="J56" s="101"/>
      <c r="K56" s="101"/>
      <c r="L56" s="103"/>
      <c r="M56" s="77"/>
      <c r="N56" s="77"/>
    </row>
    <row r="57" spans="1:47" s="69" customFormat="1" ht="17" thickTop="1" thickBot="1">
      <c r="A57" s="79" t="s">
        <v>393</v>
      </c>
      <c r="B57" s="80" t="s">
        <v>394</v>
      </c>
      <c r="C57" s="81">
        <v>11000</v>
      </c>
      <c r="D57" s="82">
        <v>11125</v>
      </c>
      <c r="E57" s="73">
        <f>C57/J58-1</f>
        <v>7.5974281590342585E-2</v>
      </c>
      <c r="F57" s="73">
        <f>C57/D57-1</f>
        <v>-1.1235955056179803E-2</v>
      </c>
      <c r="G57" s="74">
        <f>E57+F57</f>
        <v>6.4738326534162782E-2</v>
      </c>
      <c r="H57" s="78">
        <f>SUM(K58:AU58)*G57</f>
        <v>3.3016546532423021</v>
      </c>
      <c r="I57" s="93"/>
      <c r="J57" s="93"/>
      <c r="K57" s="93"/>
      <c r="L57" s="93"/>
      <c r="M57" s="57"/>
      <c r="N57" s="57"/>
    </row>
    <row r="58" spans="1:47" ht="16" thickTop="1">
      <c r="A58" s="55"/>
      <c r="B58" s="55"/>
      <c r="C58" s="72"/>
      <c r="D58" s="72"/>
      <c r="E58" s="72"/>
      <c r="F58" s="72"/>
      <c r="G58" s="55"/>
      <c r="H58" s="55"/>
      <c r="I58" s="95">
        <f>SUM(I59:I88)</f>
        <v>-324240</v>
      </c>
      <c r="J58" s="95">
        <f>SUM(I59:I65)/SUM(K59:AU65)</f>
        <v>10223.292682926829</v>
      </c>
      <c r="K58" s="95">
        <f>SUM(K59:K88)</f>
        <v>695</v>
      </c>
      <c r="L58" s="95">
        <f t="shared" ref="L58:AU58" si="9">SUM(L59:L88)</f>
        <v>0</v>
      </c>
      <c r="M58" s="75">
        <f t="shared" si="9"/>
        <v>-517</v>
      </c>
      <c r="N58" s="75">
        <f t="shared" si="9"/>
        <v>-127</v>
      </c>
      <c r="O58" s="75">
        <f t="shared" si="9"/>
        <v>0</v>
      </c>
      <c r="P58" s="75">
        <f t="shared" si="9"/>
        <v>0</v>
      </c>
      <c r="Q58" s="75">
        <f t="shared" si="9"/>
        <v>0</v>
      </c>
      <c r="R58" s="75">
        <f t="shared" si="9"/>
        <v>0</v>
      </c>
      <c r="S58" s="75">
        <f t="shared" si="9"/>
        <v>0</v>
      </c>
      <c r="T58" s="75">
        <f t="shared" si="9"/>
        <v>0</v>
      </c>
      <c r="U58" s="75">
        <f t="shared" si="9"/>
        <v>0</v>
      </c>
      <c r="V58" s="75">
        <f t="shared" si="9"/>
        <v>0</v>
      </c>
      <c r="W58" s="75">
        <f t="shared" si="9"/>
        <v>0</v>
      </c>
      <c r="X58" s="75">
        <f t="shared" si="9"/>
        <v>0</v>
      </c>
      <c r="Y58" s="75">
        <f t="shared" si="9"/>
        <v>0</v>
      </c>
      <c r="Z58" s="75">
        <f t="shared" si="9"/>
        <v>0</v>
      </c>
      <c r="AA58" s="75">
        <f t="shared" si="9"/>
        <v>0</v>
      </c>
      <c r="AB58" s="75">
        <f t="shared" si="9"/>
        <v>0</v>
      </c>
      <c r="AC58" s="75">
        <f t="shared" si="9"/>
        <v>0</v>
      </c>
      <c r="AD58" s="75">
        <f t="shared" si="9"/>
        <v>0</v>
      </c>
      <c r="AE58" s="75">
        <f t="shared" si="9"/>
        <v>0</v>
      </c>
      <c r="AF58" s="75">
        <f t="shared" si="9"/>
        <v>0</v>
      </c>
      <c r="AG58" s="75">
        <f t="shared" si="9"/>
        <v>0</v>
      </c>
      <c r="AH58" s="75">
        <f t="shared" si="9"/>
        <v>0</v>
      </c>
      <c r="AI58" s="75">
        <f t="shared" si="9"/>
        <v>0</v>
      </c>
      <c r="AJ58" s="75">
        <f t="shared" si="9"/>
        <v>0</v>
      </c>
      <c r="AK58" s="75">
        <f t="shared" si="9"/>
        <v>0</v>
      </c>
      <c r="AL58" s="75">
        <f t="shared" si="9"/>
        <v>0</v>
      </c>
      <c r="AM58" s="75">
        <f t="shared" si="9"/>
        <v>0</v>
      </c>
      <c r="AN58" s="75">
        <f t="shared" si="9"/>
        <v>0</v>
      </c>
      <c r="AO58" s="75">
        <f t="shared" si="9"/>
        <v>0</v>
      </c>
      <c r="AP58" s="75">
        <f t="shared" si="9"/>
        <v>0</v>
      </c>
      <c r="AQ58" s="75">
        <f t="shared" si="9"/>
        <v>0</v>
      </c>
      <c r="AR58" s="75">
        <f t="shared" si="9"/>
        <v>0</v>
      </c>
      <c r="AS58" s="75">
        <f t="shared" si="9"/>
        <v>0</v>
      </c>
      <c r="AT58" s="75">
        <f t="shared" si="9"/>
        <v>0</v>
      </c>
      <c r="AU58" s="75">
        <f t="shared" si="9"/>
        <v>0</v>
      </c>
    </row>
    <row r="59" spans="1:47">
      <c r="A59" s="55"/>
      <c r="B59" s="55"/>
      <c r="C59" s="55"/>
      <c r="D59" s="55"/>
      <c r="E59" s="55"/>
      <c r="F59" s="55"/>
      <c r="G59" s="55"/>
      <c r="H59" s="55"/>
      <c r="I59" s="95">
        <f>J59*SUM(K59:AU59)</f>
        <v>5267500</v>
      </c>
      <c r="J59" s="95">
        <v>10535</v>
      </c>
      <c r="K59" s="95">
        <v>500</v>
      </c>
      <c r="L59" s="97"/>
      <c r="M59" s="55"/>
      <c r="N59" s="55"/>
    </row>
    <row r="60" spans="1:47">
      <c r="A60" s="55"/>
      <c r="B60" s="55"/>
      <c r="C60" s="55"/>
      <c r="D60" s="55"/>
      <c r="E60" s="55"/>
      <c r="F60" s="55"/>
      <c r="G60" s="55"/>
      <c r="H60" s="55"/>
      <c r="I60" s="95">
        <f t="shared" ref="I60:I64" si="10">J60*SUM(K60:AU60)</f>
        <v>521000</v>
      </c>
      <c r="J60" s="95">
        <v>10420</v>
      </c>
      <c r="K60" s="95">
        <v>50</v>
      </c>
      <c r="L60" s="97"/>
      <c r="M60" s="55"/>
      <c r="N60" s="55"/>
    </row>
    <row r="61" spans="1:47">
      <c r="A61" s="55"/>
      <c r="B61" s="55"/>
      <c r="C61" s="55"/>
      <c r="D61" s="55"/>
      <c r="E61" s="55"/>
      <c r="F61" s="55"/>
      <c r="G61" s="55"/>
      <c r="H61" s="55"/>
      <c r="I61" s="95">
        <f t="shared" si="10"/>
        <v>768375</v>
      </c>
      <c r="J61" s="95">
        <v>10245</v>
      </c>
      <c r="K61" s="95">
        <v>75</v>
      </c>
      <c r="L61" s="97"/>
      <c r="M61" s="55"/>
      <c r="N61" s="55"/>
    </row>
    <row r="62" spans="1:47">
      <c r="A62" s="55"/>
      <c r="B62" s="55"/>
      <c r="C62" s="55"/>
      <c r="D62" s="55"/>
      <c r="E62" s="55"/>
      <c r="F62" s="55"/>
      <c r="G62" s="55"/>
      <c r="H62" s="55"/>
      <c r="I62" s="95">
        <f t="shared" si="10"/>
        <v>1007500</v>
      </c>
      <c r="J62" s="95">
        <v>10075</v>
      </c>
      <c r="K62" s="95">
        <v>100</v>
      </c>
      <c r="L62" s="97"/>
      <c r="M62" s="55"/>
      <c r="N62" s="55"/>
    </row>
    <row r="63" spans="1:47">
      <c r="A63" s="55"/>
      <c r="B63" s="55"/>
      <c r="C63" s="55"/>
      <c r="D63" s="55"/>
      <c r="E63" s="55"/>
      <c r="F63" s="55"/>
      <c r="G63" s="55"/>
      <c r="H63" s="55"/>
      <c r="I63" s="95">
        <f t="shared" si="10"/>
        <v>1458750</v>
      </c>
      <c r="J63" s="95">
        <v>9725</v>
      </c>
      <c r="K63" s="95">
        <v>150</v>
      </c>
      <c r="L63" s="97"/>
      <c r="M63" s="55"/>
      <c r="N63" s="55"/>
    </row>
    <row r="64" spans="1:47">
      <c r="A64" s="55"/>
      <c r="B64" s="55"/>
      <c r="C64" s="55"/>
      <c r="D64" s="55"/>
      <c r="E64" s="55"/>
      <c r="F64" s="55"/>
      <c r="G64" s="55"/>
      <c r="H64" s="55"/>
      <c r="I64" s="95">
        <f t="shared" si="10"/>
        <v>1455750</v>
      </c>
      <c r="J64" s="95">
        <v>9705</v>
      </c>
      <c r="K64" s="95">
        <v>150</v>
      </c>
      <c r="L64" s="97"/>
      <c r="M64" s="55"/>
      <c r="N64" s="55"/>
    </row>
    <row r="65" spans="1:14" s="32" customFormat="1">
      <c r="A65" s="76" t="s">
        <v>384</v>
      </c>
      <c r="B65" s="76"/>
      <c r="C65" s="76"/>
      <c r="D65" s="76"/>
      <c r="E65" s="76"/>
      <c r="F65" s="76"/>
      <c r="G65" s="76"/>
      <c r="H65" s="76"/>
      <c r="I65" s="98">
        <f t="shared" ref="I65:I88" si="11">J65*SUM(K65:AU65)</f>
        <v>0</v>
      </c>
      <c r="J65" s="98"/>
      <c r="K65" s="98"/>
      <c r="L65" s="100"/>
      <c r="M65" s="76"/>
      <c r="N65" s="76"/>
    </row>
    <row r="66" spans="1:14">
      <c r="A66" s="55"/>
      <c r="B66" s="55"/>
      <c r="C66" s="55"/>
      <c r="D66" s="55"/>
      <c r="E66" s="55"/>
      <c r="F66" s="55"/>
      <c r="G66" s="55"/>
      <c r="H66" s="55"/>
      <c r="I66" s="95">
        <f t="shared" si="11"/>
        <v>-730660</v>
      </c>
      <c r="J66" s="95">
        <v>10745</v>
      </c>
      <c r="K66" s="95">
        <v>-68</v>
      </c>
      <c r="L66" s="97"/>
      <c r="M66" s="55"/>
      <c r="N66" s="55"/>
    </row>
    <row r="67" spans="1:14" s="33" customFormat="1">
      <c r="A67" s="57"/>
      <c r="B67" s="57"/>
      <c r="C67" s="57"/>
      <c r="D67" s="57"/>
      <c r="E67" s="57"/>
      <c r="F67" s="57"/>
      <c r="G67" s="57"/>
      <c r="H67" s="57"/>
      <c r="I67" s="105">
        <f t="shared" si="11"/>
        <v>-782280</v>
      </c>
      <c r="J67" s="105">
        <v>10865</v>
      </c>
      <c r="K67" s="105">
        <v>-72</v>
      </c>
      <c r="L67" s="93"/>
      <c r="M67" s="57"/>
      <c r="N67" s="57"/>
    </row>
    <row r="68" spans="1:14" s="33" customFormat="1">
      <c r="A68" s="57"/>
      <c r="B68" s="57"/>
      <c r="C68" s="57"/>
      <c r="D68" s="57"/>
      <c r="E68" s="57"/>
      <c r="F68" s="57"/>
      <c r="G68" s="57"/>
      <c r="H68" s="57"/>
      <c r="I68" s="105">
        <f t="shared" si="11"/>
        <v>-1268175</v>
      </c>
      <c r="J68" s="105">
        <v>11425</v>
      </c>
      <c r="K68" s="105">
        <v>-111</v>
      </c>
      <c r="L68" s="93"/>
      <c r="M68" s="57"/>
      <c r="N68" s="57"/>
    </row>
    <row r="69" spans="1:14" s="33" customFormat="1">
      <c r="A69" s="57"/>
      <c r="B69" s="57"/>
      <c r="C69" s="57"/>
      <c r="D69" s="57"/>
      <c r="E69" s="57"/>
      <c r="F69" s="57"/>
      <c r="G69" s="57"/>
      <c r="H69" s="57"/>
      <c r="I69" s="105">
        <f t="shared" si="11"/>
        <v>-798460</v>
      </c>
      <c r="J69" s="105">
        <v>10790</v>
      </c>
      <c r="K69" s="105">
        <v>-74</v>
      </c>
      <c r="L69" s="93"/>
      <c r="M69" s="57"/>
      <c r="N69" s="57"/>
    </row>
    <row r="70" spans="1:14" s="33" customFormat="1">
      <c r="A70" s="57"/>
      <c r="B70" s="57"/>
      <c r="C70" s="57"/>
      <c r="D70" s="57"/>
      <c r="E70" s="57"/>
      <c r="F70" s="57"/>
      <c r="G70" s="57"/>
      <c r="H70" s="57"/>
      <c r="I70" s="105">
        <f t="shared" ref="I70:I87" si="12">J70*SUM(K70:AU70)</f>
        <v>-54325</v>
      </c>
      <c r="J70" s="105">
        <v>10865</v>
      </c>
      <c r="K70" s="105">
        <v>-5</v>
      </c>
      <c r="L70" s="93"/>
      <c r="M70" s="57"/>
      <c r="N70" s="57"/>
    </row>
    <row r="71" spans="1:14" s="33" customFormat="1">
      <c r="A71" s="57" t="s">
        <v>385</v>
      </c>
      <c r="B71" s="57"/>
      <c r="C71" s="57"/>
      <c r="D71" s="57"/>
      <c r="E71" s="57"/>
      <c r="F71" s="57"/>
      <c r="G71" s="57"/>
      <c r="H71" s="57"/>
      <c r="I71" s="105">
        <f t="shared" si="12"/>
        <v>-595100</v>
      </c>
      <c r="J71" s="105">
        <v>10820</v>
      </c>
      <c r="K71" s="105"/>
      <c r="L71" s="93"/>
      <c r="M71" s="57">
        <v>-55</v>
      </c>
      <c r="N71" s="57"/>
    </row>
    <row r="72" spans="1:14" s="33" customFormat="1">
      <c r="A72" s="57" t="s">
        <v>385</v>
      </c>
      <c r="B72" s="57"/>
      <c r="C72" s="57"/>
      <c r="D72" s="57"/>
      <c r="E72" s="57"/>
      <c r="F72" s="57"/>
      <c r="G72" s="57"/>
      <c r="H72" s="57"/>
      <c r="I72" s="105">
        <f t="shared" si="12"/>
        <v>-529690</v>
      </c>
      <c r="J72" s="105">
        <v>10810</v>
      </c>
      <c r="K72" s="105"/>
      <c r="L72" s="93"/>
      <c r="M72" s="57">
        <v>-49</v>
      </c>
      <c r="N72" s="57"/>
    </row>
    <row r="73" spans="1:14" s="33" customFormat="1">
      <c r="A73" s="57" t="s">
        <v>385</v>
      </c>
      <c r="B73" s="57"/>
      <c r="C73" s="57"/>
      <c r="D73" s="57"/>
      <c r="E73" s="57"/>
      <c r="F73" s="57"/>
      <c r="G73" s="57"/>
      <c r="H73" s="57"/>
      <c r="I73" s="105">
        <f t="shared" si="12"/>
        <v>-542500</v>
      </c>
      <c r="J73" s="105">
        <v>10850</v>
      </c>
      <c r="K73" s="105"/>
      <c r="L73" s="93"/>
      <c r="M73" s="57">
        <v>-50</v>
      </c>
      <c r="N73" s="57"/>
    </row>
    <row r="74" spans="1:14" s="33" customFormat="1">
      <c r="A74" s="57" t="s">
        <v>385</v>
      </c>
      <c r="B74" s="57"/>
      <c r="C74" s="57"/>
      <c r="D74" s="57"/>
      <c r="E74" s="57"/>
      <c r="F74" s="57"/>
      <c r="G74" s="57"/>
      <c r="H74" s="57"/>
      <c r="I74" s="105">
        <f t="shared" si="12"/>
        <v>-624150</v>
      </c>
      <c r="J74" s="105">
        <v>10950</v>
      </c>
      <c r="K74" s="105"/>
      <c r="L74" s="93"/>
      <c r="M74" s="57">
        <v>-57</v>
      </c>
      <c r="N74" s="57"/>
    </row>
    <row r="75" spans="1:14" s="33" customFormat="1">
      <c r="A75" s="57" t="s">
        <v>385</v>
      </c>
      <c r="B75" s="57"/>
      <c r="C75" s="57"/>
      <c r="D75" s="57"/>
      <c r="E75" s="57"/>
      <c r="F75" s="57"/>
      <c r="G75" s="57"/>
      <c r="H75" s="57"/>
      <c r="I75" s="105">
        <f t="shared" si="12"/>
        <v>-526320</v>
      </c>
      <c r="J75" s="105">
        <v>10965</v>
      </c>
      <c r="K75" s="105"/>
      <c r="L75" s="93"/>
      <c r="M75" s="57">
        <v>-48</v>
      </c>
      <c r="N75" s="57"/>
    </row>
    <row r="76" spans="1:14" s="33" customFormat="1">
      <c r="A76" s="57" t="s">
        <v>385</v>
      </c>
      <c r="B76" s="57"/>
      <c r="C76" s="57"/>
      <c r="D76" s="57"/>
      <c r="E76" s="57"/>
      <c r="F76" s="57"/>
      <c r="G76" s="57"/>
      <c r="H76" s="57"/>
      <c r="I76" s="105">
        <f t="shared" si="12"/>
        <v>-471710</v>
      </c>
      <c r="J76" s="105">
        <v>10970</v>
      </c>
      <c r="K76" s="105"/>
      <c r="L76" s="93"/>
      <c r="M76" s="57">
        <v>-43</v>
      </c>
      <c r="N76" s="57"/>
    </row>
    <row r="77" spans="1:14" s="33" customFormat="1">
      <c r="A77" s="57" t="s">
        <v>385</v>
      </c>
      <c r="B77" s="57"/>
      <c r="C77" s="57"/>
      <c r="D77" s="57"/>
      <c r="E77" s="57"/>
      <c r="F77" s="57"/>
      <c r="G77" s="57"/>
      <c r="H77" s="57"/>
      <c r="I77" s="105">
        <f t="shared" si="12"/>
        <v>-531600</v>
      </c>
      <c r="J77" s="105">
        <v>11075</v>
      </c>
      <c r="K77" s="105"/>
      <c r="L77" s="93"/>
      <c r="M77" s="57">
        <v>-48</v>
      </c>
      <c r="N77" s="57"/>
    </row>
    <row r="78" spans="1:14" s="33" customFormat="1">
      <c r="A78" s="57" t="s">
        <v>385</v>
      </c>
      <c r="B78" s="57"/>
      <c r="C78" s="57"/>
      <c r="D78" s="57"/>
      <c r="E78" s="57"/>
      <c r="F78" s="57"/>
      <c r="G78" s="57"/>
      <c r="H78" s="57"/>
      <c r="I78" s="105">
        <f t="shared" si="12"/>
        <v>-523815</v>
      </c>
      <c r="J78" s="105">
        <v>11145</v>
      </c>
      <c r="K78" s="105"/>
      <c r="L78" s="93"/>
      <c r="M78" s="57">
        <v>-47</v>
      </c>
      <c r="N78" s="57"/>
    </row>
    <row r="79" spans="1:14" s="33" customFormat="1">
      <c r="A79" s="57" t="s">
        <v>385</v>
      </c>
      <c r="B79" s="57"/>
      <c r="C79" s="57"/>
      <c r="D79" s="57"/>
      <c r="E79" s="57"/>
      <c r="F79" s="57"/>
      <c r="G79" s="57"/>
      <c r="H79" s="57"/>
      <c r="I79" s="105">
        <f t="shared" si="12"/>
        <v>-341000</v>
      </c>
      <c r="J79" s="105">
        <v>11000</v>
      </c>
      <c r="K79" s="105"/>
      <c r="L79" s="93"/>
      <c r="M79" s="57">
        <v>-31</v>
      </c>
      <c r="N79" s="57"/>
    </row>
    <row r="80" spans="1:14" s="33" customFormat="1">
      <c r="A80" s="57" t="s">
        <v>385</v>
      </c>
      <c r="B80" s="57"/>
      <c r="C80" s="57"/>
      <c r="D80" s="57"/>
      <c r="E80" s="57"/>
      <c r="F80" s="57"/>
      <c r="G80" s="57"/>
      <c r="H80" s="57"/>
      <c r="I80" s="105">
        <f t="shared" si="12"/>
        <v>-22180</v>
      </c>
      <c r="J80" s="105">
        <v>11090</v>
      </c>
      <c r="K80" s="105"/>
      <c r="L80" s="93"/>
      <c r="M80" s="57">
        <v>-2</v>
      </c>
      <c r="N80" s="57"/>
    </row>
    <row r="81" spans="1:47" s="33" customFormat="1">
      <c r="A81" s="57" t="s">
        <v>385</v>
      </c>
      <c r="B81" s="57"/>
      <c r="C81" s="57"/>
      <c r="D81" s="57"/>
      <c r="E81" s="57"/>
      <c r="F81" s="57"/>
      <c r="G81" s="57"/>
      <c r="H81" s="57"/>
      <c r="I81" s="105">
        <f t="shared" si="12"/>
        <v>-298350</v>
      </c>
      <c r="J81" s="105">
        <v>11050</v>
      </c>
      <c r="K81" s="105"/>
      <c r="L81" s="93"/>
      <c r="M81" s="57">
        <v>-27</v>
      </c>
      <c r="N81" s="57"/>
    </row>
    <row r="82" spans="1:47" s="33" customFormat="1">
      <c r="A82" s="57" t="s">
        <v>385</v>
      </c>
      <c r="B82" s="57"/>
      <c r="C82" s="57"/>
      <c r="D82" s="57"/>
      <c r="E82" s="57"/>
      <c r="F82" s="57"/>
      <c r="G82" s="57"/>
      <c r="H82" s="57"/>
      <c r="I82" s="105">
        <f t="shared" si="12"/>
        <v>-359040</v>
      </c>
      <c r="J82" s="105">
        <v>11220</v>
      </c>
      <c r="K82" s="105"/>
      <c r="L82" s="93"/>
      <c r="M82" s="57">
        <v>-32</v>
      </c>
      <c r="N82" s="57"/>
    </row>
    <row r="83" spans="1:47" s="33" customFormat="1">
      <c r="A83" s="57" t="s">
        <v>385</v>
      </c>
      <c r="B83" s="57"/>
      <c r="C83" s="57"/>
      <c r="D83" s="57"/>
      <c r="E83" s="57"/>
      <c r="F83" s="57"/>
      <c r="G83" s="57"/>
      <c r="H83" s="57"/>
      <c r="I83" s="105">
        <f t="shared" si="12"/>
        <v>-314580</v>
      </c>
      <c r="J83" s="105">
        <v>11235</v>
      </c>
      <c r="K83" s="105"/>
      <c r="L83" s="93"/>
      <c r="M83" s="57">
        <v>-28</v>
      </c>
      <c r="N83" s="57"/>
    </row>
    <row r="84" spans="1:47" s="33" customFormat="1">
      <c r="A84" s="57" t="s">
        <v>385</v>
      </c>
      <c r="B84" s="57"/>
      <c r="C84" s="57"/>
      <c r="D84" s="57"/>
      <c r="E84" s="57"/>
      <c r="F84" s="57"/>
      <c r="G84" s="57"/>
      <c r="H84" s="57"/>
      <c r="I84" s="105">
        <f t="shared" si="12"/>
        <v>-460400</v>
      </c>
      <c r="J84" s="105">
        <v>11510</v>
      </c>
      <c r="K84" s="105"/>
      <c r="L84" s="93"/>
      <c r="M84" s="57"/>
      <c r="N84" s="57">
        <v>-40</v>
      </c>
    </row>
    <row r="85" spans="1:47" s="33" customFormat="1">
      <c r="A85" s="57" t="s">
        <v>385</v>
      </c>
      <c r="B85" s="57"/>
      <c r="C85" s="57"/>
      <c r="D85" s="57"/>
      <c r="E85" s="57"/>
      <c r="F85" s="57"/>
      <c r="G85" s="57"/>
      <c r="H85" s="57"/>
      <c r="I85" s="105">
        <f t="shared" si="12"/>
        <v>-438520</v>
      </c>
      <c r="J85" s="105">
        <v>11540</v>
      </c>
      <c r="K85" s="105"/>
      <c r="L85" s="93"/>
      <c r="M85" s="57"/>
      <c r="N85" s="57">
        <v>-38</v>
      </c>
    </row>
    <row r="86" spans="1:47" s="33" customFormat="1">
      <c r="A86" s="57" t="s">
        <v>385</v>
      </c>
      <c r="B86" s="57"/>
      <c r="C86" s="57"/>
      <c r="D86" s="57"/>
      <c r="E86" s="57"/>
      <c r="F86" s="57"/>
      <c r="G86" s="57"/>
      <c r="H86" s="57"/>
      <c r="I86" s="105">
        <f t="shared" si="12"/>
        <v>-323730</v>
      </c>
      <c r="J86" s="105">
        <v>11990</v>
      </c>
      <c r="K86" s="105"/>
      <c r="L86" s="93"/>
      <c r="M86" s="57"/>
      <c r="N86" s="57">
        <v>-27</v>
      </c>
    </row>
    <row r="87" spans="1:47" s="33" customFormat="1">
      <c r="A87" s="57" t="s">
        <v>385</v>
      </c>
      <c r="B87" s="57"/>
      <c r="C87" s="57"/>
      <c r="D87" s="57"/>
      <c r="E87" s="57"/>
      <c r="F87" s="57"/>
      <c r="G87" s="57"/>
      <c r="H87" s="57"/>
      <c r="I87" s="105">
        <f t="shared" si="12"/>
        <v>-266530</v>
      </c>
      <c r="J87" s="105">
        <v>12115</v>
      </c>
      <c r="K87" s="105"/>
      <c r="L87" s="93"/>
      <c r="M87" s="57"/>
      <c r="N87" s="57">
        <v>-22</v>
      </c>
    </row>
    <row r="88" spans="1:47" s="68" customFormat="1" ht="16" thickBot="1">
      <c r="A88" s="77" t="s">
        <v>385</v>
      </c>
      <c r="B88" s="77"/>
      <c r="C88" s="77"/>
      <c r="D88" s="77"/>
      <c r="E88" s="77"/>
      <c r="F88" s="77"/>
      <c r="G88" s="77"/>
      <c r="H88" s="77"/>
      <c r="I88" s="101">
        <f t="shared" si="11"/>
        <v>0</v>
      </c>
      <c r="J88" s="101"/>
      <c r="K88" s="101"/>
      <c r="L88" s="103"/>
      <c r="M88" s="77"/>
      <c r="N88" s="77"/>
    </row>
    <row r="89" spans="1:47" s="69" customFormat="1" ht="17" thickTop="1" thickBot="1">
      <c r="A89" s="79" t="s">
        <v>395</v>
      </c>
      <c r="B89" s="80" t="s">
        <v>396</v>
      </c>
      <c r="C89" s="81">
        <v>61000</v>
      </c>
      <c r="D89" s="82">
        <v>66600</v>
      </c>
      <c r="E89" s="73">
        <f>C89/J90-1</f>
        <v>-0.17056957244296711</v>
      </c>
      <c r="F89" s="73">
        <f>C89/D89-1</f>
        <v>-8.4084084084084076E-2</v>
      </c>
      <c r="G89" s="74">
        <f>E89+F89</f>
        <v>-0.25465365652705119</v>
      </c>
      <c r="H89" s="78">
        <f>SUM(K90:AU90)*G89</f>
        <v>-11.968721856771406</v>
      </c>
      <c r="I89" s="93"/>
      <c r="J89" s="93"/>
      <c r="K89" s="93"/>
      <c r="L89" s="93"/>
      <c r="M89" s="57"/>
      <c r="N89" s="57"/>
    </row>
    <row r="90" spans="1:47" ht="16" thickTop="1">
      <c r="A90" s="55"/>
      <c r="B90" s="55"/>
      <c r="C90" s="72"/>
      <c r="D90" s="72"/>
      <c r="E90" s="72"/>
      <c r="F90" s="72"/>
      <c r="G90" s="55"/>
      <c r="H90" s="55"/>
      <c r="I90" s="95">
        <f>SUM(I91:I105)</f>
        <v>3369000</v>
      </c>
      <c r="J90" s="95">
        <f>SUM(I91:I100)/SUM(K91:AU100)</f>
        <v>73544.444444444438</v>
      </c>
      <c r="K90" s="95">
        <f>SUM(K91:K105)</f>
        <v>47</v>
      </c>
      <c r="L90" s="95">
        <f t="shared" ref="L90:AU90" si="13">SUM(L91:L105)</f>
        <v>0</v>
      </c>
      <c r="M90" s="75">
        <f t="shared" si="13"/>
        <v>0</v>
      </c>
      <c r="N90" s="75">
        <f t="shared" si="13"/>
        <v>0</v>
      </c>
      <c r="O90" s="75">
        <f t="shared" si="13"/>
        <v>0</v>
      </c>
      <c r="P90" s="75">
        <f t="shared" si="13"/>
        <v>0</v>
      </c>
      <c r="Q90" s="75">
        <f t="shared" si="13"/>
        <v>0</v>
      </c>
      <c r="R90" s="75">
        <f t="shared" si="13"/>
        <v>0</v>
      </c>
      <c r="S90" s="75">
        <f t="shared" si="13"/>
        <v>0</v>
      </c>
      <c r="T90" s="75">
        <f t="shared" si="13"/>
        <v>0</v>
      </c>
      <c r="U90" s="75">
        <f t="shared" si="13"/>
        <v>0</v>
      </c>
      <c r="V90" s="75">
        <f t="shared" si="13"/>
        <v>0</v>
      </c>
      <c r="W90" s="75">
        <f t="shared" si="13"/>
        <v>0</v>
      </c>
      <c r="X90" s="75">
        <f t="shared" si="13"/>
        <v>0</v>
      </c>
      <c r="Y90" s="75">
        <f t="shared" si="13"/>
        <v>0</v>
      </c>
      <c r="Z90" s="75">
        <f t="shared" si="13"/>
        <v>0</v>
      </c>
      <c r="AA90" s="75">
        <f t="shared" si="13"/>
        <v>0</v>
      </c>
      <c r="AB90" s="75">
        <f t="shared" si="13"/>
        <v>0</v>
      </c>
      <c r="AC90" s="75">
        <f t="shared" si="13"/>
        <v>0</v>
      </c>
      <c r="AD90" s="75">
        <f t="shared" si="13"/>
        <v>0</v>
      </c>
      <c r="AE90" s="75">
        <f t="shared" si="13"/>
        <v>0</v>
      </c>
      <c r="AF90" s="75">
        <f t="shared" si="13"/>
        <v>0</v>
      </c>
      <c r="AG90" s="75">
        <f t="shared" si="13"/>
        <v>0</v>
      </c>
      <c r="AH90" s="75">
        <f t="shared" si="13"/>
        <v>0</v>
      </c>
      <c r="AI90" s="75">
        <f t="shared" si="13"/>
        <v>0</v>
      </c>
      <c r="AJ90" s="75">
        <f t="shared" si="13"/>
        <v>0</v>
      </c>
      <c r="AK90" s="75">
        <f t="shared" si="13"/>
        <v>0</v>
      </c>
      <c r="AL90" s="75">
        <f t="shared" si="13"/>
        <v>0</v>
      </c>
      <c r="AM90" s="75">
        <f t="shared" si="13"/>
        <v>0</v>
      </c>
      <c r="AN90" s="75">
        <f t="shared" si="13"/>
        <v>0</v>
      </c>
      <c r="AO90" s="75">
        <f t="shared" si="13"/>
        <v>0</v>
      </c>
      <c r="AP90" s="75">
        <f t="shared" si="13"/>
        <v>0</v>
      </c>
      <c r="AQ90" s="75">
        <f t="shared" si="13"/>
        <v>0</v>
      </c>
      <c r="AR90" s="75">
        <f t="shared" si="13"/>
        <v>0</v>
      </c>
      <c r="AS90" s="75">
        <f t="shared" si="13"/>
        <v>0</v>
      </c>
      <c r="AT90" s="75">
        <f t="shared" si="13"/>
        <v>0</v>
      </c>
      <c r="AU90" s="75">
        <f t="shared" si="13"/>
        <v>0</v>
      </c>
    </row>
    <row r="91" spans="1:47">
      <c r="A91" s="55"/>
      <c r="B91" s="55"/>
      <c r="C91" s="55"/>
      <c r="D91" s="55"/>
      <c r="E91" s="55"/>
      <c r="F91" s="55"/>
      <c r="G91" s="55"/>
      <c r="H91" s="55"/>
      <c r="I91" s="95">
        <f>J91*SUM(K91:AU91)</f>
        <v>1488000</v>
      </c>
      <c r="J91" s="95">
        <v>74400</v>
      </c>
      <c r="K91" s="95">
        <v>20</v>
      </c>
      <c r="L91" s="97"/>
      <c r="M91" s="55"/>
      <c r="N91" s="55"/>
    </row>
    <row r="92" spans="1:47">
      <c r="A92" s="55"/>
      <c r="B92" s="55"/>
      <c r="C92" s="55"/>
      <c r="D92" s="55"/>
      <c r="E92" s="55"/>
      <c r="F92" s="55"/>
      <c r="G92" s="55"/>
      <c r="H92" s="55"/>
      <c r="I92" s="95">
        <f t="shared" ref="I92" si="14">J92*SUM(K92:AU92)</f>
        <v>1498000</v>
      </c>
      <c r="J92" s="95">
        <v>74900</v>
      </c>
      <c r="K92" s="95">
        <v>20</v>
      </c>
      <c r="L92" s="97"/>
      <c r="M92" s="55"/>
      <c r="N92" s="55"/>
    </row>
    <row r="93" spans="1:47">
      <c r="A93" s="55"/>
      <c r="B93" s="55"/>
      <c r="C93" s="55"/>
      <c r="D93" s="55"/>
      <c r="E93" s="55"/>
      <c r="F93" s="55"/>
      <c r="G93" s="55"/>
      <c r="H93" s="55"/>
      <c r="I93" s="95">
        <f t="shared" ref="I93:I98" si="15">J93*SUM(K93:AU93)</f>
        <v>222900</v>
      </c>
      <c r="J93" s="95">
        <v>74300</v>
      </c>
      <c r="K93" s="95">
        <v>3</v>
      </c>
      <c r="L93" s="97"/>
      <c r="M93" s="55"/>
      <c r="N93" s="55"/>
    </row>
    <row r="94" spans="1:47">
      <c r="A94" s="55"/>
      <c r="B94" s="55"/>
      <c r="C94" s="55"/>
      <c r="D94" s="55"/>
      <c r="E94" s="55"/>
      <c r="F94" s="55"/>
      <c r="G94" s="55"/>
      <c r="H94" s="55"/>
      <c r="I94" s="95">
        <f t="shared" si="15"/>
        <v>221700</v>
      </c>
      <c r="J94" s="95">
        <v>73900</v>
      </c>
      <c r="K94" s="95">
        <v>3</v>
      </c>
      <c r="L94" s="97"/>
      <c r="M94" s="55"/>
      <c r="N94" s="55"/>
    </row>
    <row r="95" spans="1:47">
      <c r="A95" s="55"/>
      <c r="B95" s="55"/>
      <c r="C95" s="55"/>
      <c r="D95" s="55"/>
      <c r="E95" s="55"/>
      <c r="F95" s="55"/>
      <c r="G95" s="55"/>
      <c r="H95" s="55"/>
      <c r="I95" s="95">
        <f t="shared" si="15"/>
        <v>220500</v>
      </c>
      <c r="J95" s="95">
        <v>73500</v>
      </c>
      <c r="K95" s="95">
        <v>3</v>
      </c>
      <c r="L95" s="97"/>
      <c r="M95" s="55"/>
      <c r="N95" s="55"/>
    </row>
    <row r="96" spans="1:47">
      <c r="A96" s="55"/>
      <c r="B96" s="55"/>
      <c r="C96" s="55"/>
      <c r="D96" s="55"/>
      <c r="E96" s="55"/>
      <c r="F96" s="55"/>
      <c r="G96" s="55"/>
      <c r="H96" s="55"/>
      <c r="I96" s="95">
        <f t="shared" si="15"/>
        <v>218700</v>
      </c>
      <c r="J96" s="95">
        <v>72900</v>
      </c>
      <c r="K96" s="95">
        <v>3</v>
      </c>
      <c r="L96" s="97"/>
      <c r="M96" s="55"/>
      <c r="N96" s="55"/>
    </row>
    <row r="97" spans="1:47">
      <c r="A97" s="55"/>
      <c r="B97" s="55"/>
      <c r="C97" s="55"/>
      <c r="D97" s="55"/>
      <c r="E97" s="55"/>
      <c r="F97" s="55"/>
      <c r="G97" s="55"/>
      <c r="H97" s="55"/>
      <c r="I97" s="95">
        <f t="shared" ref="I97" si="16">J97*SUM(K97:AU97)</f>
        <v>276000</v>
      </c>
      <c r="J97" s="95">
        <v>69000</v>
      </c>
      <c r="K97" s="95">
        <v>4</v>
      </c>
      <c r="L97" s="97"/>
      <c r="M97" s="55"/>
      <c r="N97" s="55"/>
    </row>
    <row r="98" spans="1:47">
      <c r="A98" s="55"/>
      <c r="B98" s="55"/>
      <c r="C98" s="55"/>
      <c r="D98" s="55"/>
      <c r="E98" s="55"/>
      <c r="F98" s="55"/>
      <c r="G98" s="55"/>
      <c r="H98" s="55"/>
      <c r="I98" s="95">
        <f t="shared" si="15"/>
        <v>277200</v>
      </c>
      <c r="J98" s="95">
        <v>69300</v>
      </c>
      <c r="K98" s="95">
        <v>4</v>
      </c>
      <c r="L98" s="97"/>
      <c r="M98" s="55"/>
      <c r="N98" s="55"/>
    </row>
    <row r="99" spans="1:47">
      <c r="A99" s="55"/>
      <c r="B99" s="55"/>
      <c r="C99" s="55"/>
      <c r="D99" s="55"/>
      <c r="E99" s="55"/>
      <c r="F99" s="55"/>
      <c r="G99" s="55"/>
      <c r="H99" s="55"/>
      <c r="I99" s="95">
        <f t="shared" ref="I99" si="17">J99*SUM(K99:AU99)</f>
        <v>210300</v>
      </c>
      <c r="J99" s="95">
        <v>70100</v>
      </c>
      <c r="K99" s="95">
        <v>3</v>
      </c>
      <c r="L99" s="97"/>
      <c r="M99" s="55"/>
      <c r="N99" s="55"/>
    </row>
    <row r="100" spans="1:47" s="32" customFormat="1">
      <c r="A100" s="76" t="s">
        <v>384</v>
      </c>
      <c r="B100" s="76"/>
      <c r="C100" s="76"/>
      <c r="D100" s="76"/>
      <c r="E100" s="76"/>
      <c r="F100" s="76"/>
      <c r="G100" s="76"/>
      <c r="H100" s="76"/>
      <c r="I100" s="98">
        <f t="shared" ref="I100:I105" si="18">J100*SUM(K100:AU100)</f>
        <v>0</v>
      </c>
      <c r="J100" s="98"/>
      <c r="K100" s="98"/>
      <c r="L100" s="100"/>
      <c r="M100" s="76"/>
      <c r="N100" s="76"/>
    </row>
    <row r="101" spans="1:47">
      <c r="A101" s="55"/>
      <c r="B101" s="55"/>
      <c r="C101" s="55"/>
      <c r="D101" s="55"/>
      <c r="E101" s="55"/>
      <c r="F101" s="55"/>
      <c r="G101" s="55"/>
      <c r="H101" s="55"/>
      <c r="I101" s="95">
        <f t="shared" si="18"/>
        <v>-310400</v>
      </c>
      <c r="J101" s="95">
        <v>77600</v>
      </c>
      <c r="K101" s="95">
        <v>-4</v>
      </c>
      <c r="L101" s="97"/>
      <c r="M101" s="55"/>
      <c r="N101" s="55"/>
    </row>
    <row r="102" spans="1:47">
      <c r="A102" s="55"/>
      <c r="B102" s="55"/>
      <c r="C102" s="55"/>
      <c r="D102" s="55"/>
      <c r="E102" s="55"/>
      <c r="F102" s="55"/>
      <c r="G102" s="55"/>
      <c r="H102" s="55"/>
      <c r="I102" s="95">
        <f t="shared" si="18"/>
        <v>-313200</v>
      </c>
      <c r="J102" s="95">
        <v>78300</v>
      </c>
      <c r="K102" s="95">
        <v>-4</v>
      </c>
      <c r="L102" s="97"/>
      <c r="M102" s="55"/>
      <c r="N102" s="55"/>
    </row>
    <row r="103" spans="1:47">
      <c r="A103" s="55"/>
      <c r="B103" s="55"/>
      <c r="C103" s="55"/>
      <c r="D103" s="55"/>
      <c r="E103" s="55"/>
      <c r="F103" s="55"/>
      <c r="G103" s="55"/>
      <c r="H103" s="55"/>
      <c r="I103" s="95">
        <f t="shared" si="18"/>
        <v>-399500</v>
      </c>
      <c r="J103" s="95">
        <v>79900</v>
      </c>
      <c r="K103" s="95">
        <v>-5</v>
      </c>
      <c r="L103" s="97"/>
      <c r="M103" s="55"/>
      <c r="N103" s="55"/>
    </row>
    <row r="104" spans="1:47">
      <c r="A104" s="55"/>
      <c r="B104" s="55"/>
      <c r="C104" s="55"/>
      <c r="D104" s="55"/>
      <c r="E104" s="55"/>
      <c r="F104" s="55"/>
      <c r="G104" s="55"/>
      <c r="H104" s="55"/>
      <c r="I104" s="95">
        <f t="shared" si="18"/>
        <v>-241200</v>
      </c>
      <c r="J104" s="95">
        <v>80400</v>
      </c>
      <c r="K104" s="95">
        <v>-3</v>
      </c>
      <c r="L104" s="97"/>
      <c r="M104" s="55"/>
      <c r="N104" s="55"/>
    </row>
    <row r="105" spans="1:47" s="68" customFormat="1" ht="16" thickBot="1">
      <c r="A105" s="77" t="s">
        <v>385</v>
      </c>
      <c r="B105" s="77"/>
      <c r="C105" s="77"/>
      <c r="D105" s="77"/>
      <c r="E105" s="77"/>
      <c r="F105" s="77"/>
      <c r="G105" s="77"/>
      <c r="H105" s="77"/>
      <c r="I105" s="101">
        <f t="shared" si="18"/>
        <v>0</v>
      </c>
      <c r="J105" s="101"/>
      <c r="K105" s="101"/>
      <c r="L105" s="103"/>
      <c r="M105" s="77"/>
      <c r="N105" s="77"/>
    </row>
    <row r="106" spans="1:47" s="69" customFormat="1" ht="19" thickTop="1" thickBot="1">
      <c r="A106" s="79" t="s">
        <v>397</v>
      </c>
      <c r="B106" s="139" t="s">
        <v>509</v>
      </c>
      <c r="C106" s="81">
        <v>248000</v>
      </c>
      <c r="D106" s="82">
        <v>253183</v>
      </c>
      <c r="E106" s="73">
        <f>C106/J107-1</f>
        <v>-8.900999091734807E-3</v>
      </c>
      <c r="F106" s="73">
        <f>C106/D106-1</f>
        <v>-2.0471358661521499E-2</v>
      </c>
      <c r="G106" s="74">
        <f>E106+F106</f>
        <v>-2.9372357753256306E-2</v>
      </c>
      <c r="H106" s="78">
        <f>SUM(K107:AU107)*G106</f>
        <v>-0.32309593528581937</v>
      </c>
      <c r="I106" s="93"/>
      <c r="J106" s="93"/>
      <c r="K106" s="93"/>
      <c r="L106" s="93"/>
      <c r="M106" s="57"/>
      <c r="N106" s="57"/>
    </row>
    <row r="107" spans="1:47" ht="16" thickTop="1">
      <c r="A107" s="55"/>
      <c r="B107" s="55"/>
      <c r="C107" s="72"/>
      <c r="D107" s="72"/>
      <c r="E107" s="72"/>
      <c r="F107" s="72"/>
      <c r="G107" s="55"/>
      <c r="H107" s="55"/>
      <c r="I107" s="95">
        <f>SUM(I108:I115)</f>
        <v>2752500</v>
      </c>
      <c r="J107" s="95">
        <f>SUM(I108:I113)/SUM(K108:AU113)</f>
        <v>250227.27272727274</v>
      </c>
      <c r="K107" s="95">
        <f>SUM(K108:K115)</f>
        <v>10</v>
      </c>
      <c r="L107" s="95">
        <f t="shared" ref="L107:AU107" si="19">SUM(L108:L115)</f>
        <v>0</v>
      </c>
      <c r="M107" s="75">
        <f t="shared" si="19"/>
        <v>0</v>
      </c>
      <c r="N107" s="75">
        <f t="shared" si="19"/>
        <v>1</v>
      </c>
      <c r="O107" s="75">
        <f t="shared" si="19"/>
        <v>0</v>
      </c>
      <c r="P107" s="75">
        <f t="shared" si="19"/>
        <v>0</v>
      </c>
      <c r="Q107" s="75">
        <f t="shared" si="19"/>
        <v>0</v>
      </c>
      <c r="R107" s="75">
        <f t="shared" si="19"/>
        <v>0</v>
      </c>
      <c r="S107" s="75">
        <f t="shared" si="19"/>
        <v>0</v>
      </c>
      <c r="T107" s="75">
        <f t="shared" si="19"/>
        <v>0</v>
      </c>
      <c r="U107" s="75">
        <f t="shared" si="19"/>
        <v>0</v>
      </c>
      <c r="V107" s="75">
        <f t="shared" si="19"/>
        <v>0</v>
      </c>
      <c r="W107" s="75">
        <f t="shared" si="19"/>
        <v>0</v>
      </c>
      <c r="X107" s="75">
        <f t="shared" si="19"/>
        <v>0</v>
      </c>
      <c r="Y107" s="75">
        <f t="shared" si="19"/>
        <v>0</v>
      </c>
      <c r="Z107" s="75">
        <f t="shared" si="19"/>
        <v>0</v>
      </c>
      <c r="AA107" s="75">
        <f t="shared" si="19"/>
        <v>0</v>
      </c>
      <c r="AB107" s="75">
        <f t="shared" si="19"/>
        <v>0</v>
      </c>
      <c r="AC107" s="75">
        <f t="shared" si="19"/>
        <v>0</v>
      </c>
      <c r="AD107" s="75">
        <f t="shared" si="19"/>
        <v>0</v>
      </c>
      <c r="AE107" s="75">
        <f t="shared" si="19"/>
        <v>0</v>
      </c>
      <c r="AF107" s="75">
        <f t="shared" si="19"/>
        <v>0</v>
      </c>
      <c r="AG107" s="75">
        <f t="shared" si="19"/>
        <v>0</v>
      </c>
      <c r="AH107" s="75">
        <f t="shared" si="19"/>
        <v>0</v>
      </c>
      <c r="AI107" s="75">
        <f t="shared" si="19"/>
        <v>0</v>
      </c>
      <c r="AJ107" s="75">
        <f t="shared" si="19"/>
        <v>0</v>
      </c>
      <c r="AK107" s="75">
        <f t="shared" si="19"/>
        <v>0</v>
      </c>
      <c r="AL107" s="75">
        <f t="shared" si="19"/>
        <v>0</v>
      </c>
      <c r="AM107" s="75">
        <f t="shared" si="19"/>
        <v>0</v>
      </c>
      <c r="AN107" s="75">
        <f t="shared" si="19"/>
        <v>0</v>
      </c>
      <c r="AO107" s="75">
        <f t="shared" si="19"/>
        <v>0</v>
      </c>
      <c r="AP107" s="75">
        <f t="shared" si="19"/>
        <v>0</v>
      </c>
      <c r="AQ107" s="75">
        <f t="shared" si="19"/>
        <v>0</v>
      </c>
      <c r="AR107" s="75">
        <f t="shared" si="19"/>
        <v>0</v>
      </c>
      <c r="AS107" s="75">
        <f t="shared" si="19"/>
        <v>0</v>
      </c>
      <c r="AT107" s="75">
        <f t="shared" si="19"/>
        <v>0</v>
      </c>
      <c r="AU107" s="75">
        <f t="shared" si="19"/>
        <v>0</v>
      </c>
    </row>
    <row r="108" spans="1:47">
      <c r="A108" s="55"/>
      <c r="B108" s="55"/>
      <c r="C108" s="55"/>
      <c r="D108" s="55"/>
      <c r="E108" s="55"/>
      <c r="F108" s="55"/>
      <c r="G108" s="55"/>
      <c r="H108" s="55"/>
      <c r="I108" s="95">
        <f>J108*SUM(K108:AU108)</f>
        <v>1816500</v>
      </c>
      <c r="J108" s="95">
        <v>259500</v>
      </c>
      <c r="K108" s="95">
        <v>7</v>
      </c>
      <c r="L108" s="97"/>
      <c r="M108" s="55"/>
      <c r="N108" s="55"/>
    </row>
    <row r="109" spans="1:47">
      <c r="A109" s="55"/>
      <c r="B109" s="55"/>
      <c r="C109" s="55"/>
      <c r="D109" s="55"/>
      <c r="E109" s="55"/>
      <c r="F109" s="55"/>
      <c r="G109" s="55"/>
      <c r="H109" s="55"/>
      <c r="I109" s="95">
        <f t="shared" ref="I109:I111" si="20">J109*SUM(K109:AU109)</f>
        <v>243000</v>
      </c>
      <c r="J109" s="95">
        <v>243000</v>
      </c>
      <c r="K109" s="95">
        <v>1</v>
      </c>
      <c r="L109" s="97"/>
      <c r="M109" s="55"/>
      <c r="N109" s="55"/>
    </row>
    <row r="110" spans="1:47">
      <c r="A110" s="55"/>
      <c r="B110" s="55"/>
      <c r="C110" s="55"/>
      <c r="D110" s="55"/>
      <c r="E110" s="55"/>
      <c r="F110" s="55"/>
      <c r="G110" s="55"/>
      <c r="H110" s="55"/>
      <c r="I110" s="95">
        <f t="shared" ref="I110" si="21">J110*SUM(K110:AU110)</f>
        <v>235500</v>
      </c>
      <c r="J110" s="95">
        <v>235500</v>
      </c>
      <c r="K110" s="95">
        <v>1</v>
      </c>
      <c r="L110" s="97"/>
      <c r="M110" s="55"/>
      <c r="N110" s="55"/>
    </row>
    <row r="111" spans="1:47">
      <c r="A111" s="55"/>
      <c r="B111" s="55"/>
      <c r="C111" s="55"/>
      <c r="D111" s="55"/>
      <c r="E111" s="55"/>
      <c r="F111" s="55"/>
      <c r="G111" s="55"/>
      <c r="H111" s="55"/>
      <c r="I111" s="95">
        <f t="shared" si="20"/>
        <v>233000</v>
      </c>
      <c r="J111" s="95">
        <v>233000</v>
      </c>
      <c r="K111" s="95">
        <v>1</v>
      </c>
      <c r="L111" s="97"/>
      <c r="M111" s="55"/>
      <c r="N111" s="55"/>
    </row>
    <row r="112" spans="1:47" s="33" customFormat="1">
      <c r="A112" s="57" t="s">
        <v>384</v>
      </c>
      <c r="B112" s="57"/>
      <c r="C112" s="57"/>
      <c r="D112" s="57"/>
      <c r="E112" s="57"/>
      <c r="F112" s="57"/>
      <c r="G112" s="57"/>
      <c r="H112" s="57"/>
      <c r="I112" s="105">
        <f>J112*SUM(K112:AU112)</f>
        <v>224500</v>
      </c>
      <c r="J112" s="105">
        <v>224500</v>
      </c>
      <c r="K112" s="105"/>
      <c r="L112" s="93"/>
      <c r="M112" s="57"/>
      <c r="N112" s="57">
        <v>1</v>
      </c>
    </row>
    <row r="113" spans="1:47" s="32" customFormat="1">
      <c r="A113" s="76" t="s">
        <v>384</v>
      </c>
      <c r="B113" s="76"/>
      <c r="C113" s="76"/>
      <c r="D113" s="76"/>
      <c r="E113" s="76"/>
      <c r="F113" s="76"/>
      <c r="G113" s="76"/>
      <c r="H113" s="76"/>
      <c r="I113" s="98">
        <f>J113*SUM(K113:AU113)</f>
        <v>0</v>
      </c>
      <c r="J113" s="98"/>
      <c r="K113" s="98"/>
      <c r="L113" s="100"/>
      <c r="M113" s="76"/>
      <c r="N113" s="76"/>
    </row>
    <row r="114" spans="1:47">
      <c r="A114" s="55"/>
      <c r="B114" s="55"/>
      <c r="C114" s="55"/>
      <c r="D114" s="55"/>
      <c r="E114" s="55"/>
      <c r="F114" s="55"/>
      <c r="G114" s="55"/>
      <c r="H114" s="55"/>
      <c r="I114" s="95">
        <f>J114*SUM(K114:AU114)</f>
        <v>0</v>
      </c>
      <c r="J114" s="95"/>
      <c r="K114" s="95"/>
      <c r="L114" s="97"/>
      <c r="M114" s="55"/>
      <c r="N114" s="55"/>
    </row>
    <row r="115" spans="1:47" s="68" customFormat="1" ht="16" thickBot="1">
      <c r="A115" s="77" t="s">
        <v>385</v>
      </c>
      <c r="B115" s="77"/>
      <c r="C115" s="77"/>
      <c r="D115" s="77"/>
      <c r="E115" s="77"/>
      <c r="F115" s="77"/>
      <c r="G115" s="77"/>
      <c r="H115" s="77"/>
      <c r="I115" s="101">
        <f>J115*SUM(K115:AU115)</f>
        <v>0</v>
      </c>
      <c r="J115" s="101"/>
      <c r="K115" s="101"/>
      <c r="L115" s="103"/>
      <c r="M115" s="77"/>
      <c r="N115" s="77"/>
    </row>
    <row r="116" spans="1:47" s="69" customFormat="1" ht="17" thickTop="1" thickBot="1">
      <c r="A116" s="79" t="s">
        <v>398</v>
      </c>
      <c r="B116" s="80" t="s">
        <v>391</v>
      </c>
      <c r="C116" s="81">
        <v>11550</v>
      </c>
      <c r="D116" s="82">
        <v>12798</v>
      </c>
      <c r="E116" s="73">
        <f>C116/J117-1</f>
        <v>-0.11009732360097324</v>
      </c>
      <c r="F116" s="73">
        <f>C116/D116-1</f>
        <v>-9.751523675574314E-2</v>
      </c>
      <c r="G116" s="74">
        <f>E116+F116</f>
        <v>-0.20761256035671638</v>
      </c>
      <c r="H116" s="78">
        <f>SUM(K117:AU117)*G116</f>
        <v>-4.3598637674910439</v>
      </c>
      <c r="I116" s="93"/>
      <c r="J116" s="93"/>
      <c r="K116" s="93"/>
      <c r="L116" s="93"/>
      <c r="M116" s="57"/>
      <c r="N116" s="57"/>
    </row>
    <row r="117" spans="1:47" ht="16" thickTop="1">
      <c r="A117" s="55"/>
      <c r="B117" s="55"/>
      <c r="C117" s="72"/>
      <c r="D117" s="72"/>
      <c r="E117" s="72"/>
      <c r="F117" s="72"/>
      <c r="G117" s="55"/>
      <c r="H117" s="55"/>
      <c r="I117" s="95">
        <f>SUM(I118:I134)</f>
        <v>-374600</v>
      </c>
      <c r="J117" s="95">
        <f>SUM(I118:I125)/SUM(K118:AU125)</f>
        <v>12978.947368421053</v>
      </c>
      <c r="K117" s="95">
        <f>SUM(K118:K134)</f>
        <v>342</v>
      </c>
      <c r="L117" s="95">
        <f t="shared" ref="L117:AU117" si="22">SUM(L118:L134)</f>
        <v>-42</v>
      </c>
      <c r="M117" s="75">
        <f t="shared" si="22"/>
        <v>-230</v>
      </c>
      <c r="N117" s="75">
        <f>SUM(N118:N134)</f>
        <v>-49</v>
      </c>
      <c r="O117" s="75">
        <f t="shared" si="22"/>
        <v>0</v>
      </c>
      <c r="P117" s="75">
        <f t="shared" si="22"/>
        <v>0</v>
      </c>
      <c r="Q117" s="75">
        <f t="shared" si="22"/>
        <v>0</v>
      </c>
      <c r="R117" s="75">
        <f t="shared" si="22"/>
        <v>0</v>
      </c>
      <c r="S117" s="75">
        <f t="shared" si="22"/>
        <v>0</v>
      </c>
      <c r="T117" s="75">
        <f t="shared" si="22"/>
        <v>0</v>
      </c>
      <c r="U117" s="75">
        <f t="shared" si="22"/>
        <v>0</v>
      </c>
      <c r="V117" s="75">
        <f t="shared" si="22"/>
        <v>0</v>
      </c>
      <c r="W117" s="75">
        <f t="shared" si="22"/>
        <v>0</v>
      </c>
      <c r="X117" s="75">
        <f t="shared" si="22"/>
        <v>0</v>
      </c>
      <c r="Y117" s="75">
        <f t="shared" si="22"/>
        <v>0</v>
      </c>
      <c r="Z117" s="75">
        <f t="shared" si="22"/>
        <v>0</v>
      </c>
      <c r="AA117" s="75">
        <f t="shared" si="22"/>
        <v>0</v>
      </c>
      <c r="AB117" s="75">
        <f t="shared" si="22"/>
        <v>0</v>
      </c>
      <c r="AC117" s="75">
        <f t="shared" si="22"/>
        <v>0</v>
      </c>
      <c r="AD117" s="75">
        <f t="shared" si="22"/>
        <v>0</v>
      </c>
      <c r="AE117" s="75">
        <f t="shared" si="22"/>
        <v>0</v>
      </c>
      <c r="AF117" s="75">
        <f t="shared" si="22"/>
        <v>0</v>
      </c>
      <c r="AG117" s="75">
        <f t="shared" si="22"/>
        <v>0</v>
      </c>
      <c r="AH117" s="75">
        <f t="shared" si="22"/>
        <v>0</v>
      </c>
      <c r="AI117" s="75">
        <f t="shared" si="22"/>
        <v>0</v>
      </c>
      <c r="AJ117" s="75">
        <f t="shared" si="22"/>
        <v>0</v>
      </c>
      <c r="AK117" s="75">
        <f t="shared" si="22"/>
        <v>0</v>
      </c>
      <c r="AL117" s="75">
        <f t="shared" si="22"/>
        <v>0</v>
      </c>
      <c r="AM117" s="75">
        <f t="shared" si="22"/>
        <v>0</v>
      </c>
      <c r="AN117" s="75">
        <f t="shared" si="22"/>
        <v>0</v>
      </c>
      <c r="AO117" s="75">
        <f t="shared" si="22"/>
        <v>0</v>
      </c>
      <c r="AP117" s="75">
        <f t="shared" si="22"/>
        <v>0</v>
      </c>
      <c r="AQ117" s="75">
        <f t="shared" si="22"/>
        <v>0</v>
      </c>
      <c r="AR117" s="75">
        <f t="shared" si="22"/>
        <v>0</v>
      </c>
      <c r="AS117" s="75">
        <f t="shared" si="22"/>
        <v>0</v>
      </c>
      <c r="AT117" s="75">
        <f t="shared" si="22"/>
        <v>0</v>
      </c>
      <c r="AU117" s="75">
        <f t="shared" si="22"/>
        <v>0</v>
      </c>
    </row>
    <row r="118" spans="1:47">
      <c r="A118" s="55"/>
      <c r="B118" s="55"/>
      <c r="C118" s="55"/>
      <c r="D118" s="55"/>
      <c r="E118" s="55"/>
      <c r="F118" s="55"/>
      <c r="G118" s="55"/>
      <c r="H118" s="55"/>
      <c r="I118" s="95">
        <f>J118*SUM(K118:AU118)</f>
        <v>2560000</v>
      </c>
      <c r="J118" s="95">
        <v>12800</v>
      </c>
      <c r="K118" s="95">
        <v>200</v>
      </c>
      <c r="L118" s="97"/>
      <c r="M118" s="55"/>
      <c r="N118" s="55"/>
    </row>
    <row r="119" spans="1:47">
      <c r="A119" s="55"/>
      <c r="B119" s="55"/>
      <c r="C119" s="55"/>
      <c r="D119" s="55"/>
      <c r="E119" s="55"/>
      <c r="F119" s="55"/>
      <c r="G119" s="55"/>
      <c r="H119" s="55"/>
      <c r="I119" s="95">
        <f t="shared" ref="I119:I124" si="23">J119*SUM(K119:AU119)</f>
        <v>245100</v>
      </c>
      <c r="J119" s="95">
        <v>12900</v>
      </c>
      <c r="K119" s="95">
        <v>19</v>
      </c>
      <c r="L119" s="97"/>
      <c r="M119" s="55"/>
      <c r="N119" s="55"/>
    </row>
    <row r="120" spans="1:47">
      <c r="A120" s="55"/>
      <c r="B120" s="55"/>
      <c r="C120" s="55"/>
      <c r="D120" s="55"/>
      <c r="E120" s="55"/>
      <c r="F120" s="55"/>
      <c r="G120" s="55"/>
      <c r="H120" s="55"/>
      <c r="I120" s="95">
        <f t="shared" si="23"/>
        <v>313750</v>
      </c>
      <c r="J120" s="95">
        <v>12550</v>
      </c>
      <c r="K120" s="95">
        <v>25</v>
      </c>
      <c r="L120" s="97"/>
      <c r="M120" s="55"/>
      <c r="N120" s="55"/>
    </row>
    <row r="121" spans="1:47">
      <c r="A121" s="55"/>
      <c r="B121" s="55"/>
      <c r="C121" s="55"/>
      <c r="D121" s="55"/>
      <c r="E121" s="55"/>
      <c r="F121" s="55"/>
      <c r="G121" s="55"/>
      <c r="H121" s="55"/>
      <c r="I121" s="95">
        <f t="shared" ref="I121" si="24">J121*SUM(K121:AU121)</f>
        <v>288750</v>
      </c>
      <c r="J121" s="95">
        <v>13750</v>
      </c>
      <c r="K121" s="95">
        <v>21</v>
      </c>
      <c r="L121" s="97"/>
      <c r="M121" s="55"/>
      <c r="N121" s="55"/>
    </row>
    <row r="122" spans="1:47">
      <c r="A122" s="55"/>
      <c r="B122" s="55"/>
      <c r="C122" s="55"/>
      <c r="D122" s="55"/>
      <c r="E122" s="56"/>
      <c r="F122" s="55"/>
      <c r="G122" s="55"/>
      <c r="H122" s="55"/>
      <c r="I122" s="95">
        <f t="shared" si="23"/>
        <v>305800</v>
      </c>
      <c r="J122" s="95">
        <v>13900</v>
      </c>
      <c r="K122" s="95">
        <v>22</v>
      </c>
      <c r="L122" s="97"/>
      <c r="M122" s="55"/>
      <c r="N122" s="55"/>
    </row>
    <row r="123" spans="1:47">
      <c r="A123" s="55"/>
      <c r="B123" s="55"/>
      <c r="C123" s="55"/>
      <c r="D123" s="55"/>
      <c r="E123" s="55"/>
      <c r="F123" s="55"/>
      <c r="G123" s="55"/>
      <c r="H123" s="55"/>
      <c r="I123" s="95">
        <f t="shared" ref="I123" si="25">J123*SUM(K123:AU123)</f>
        <v>348400</v>
      </c>
      <c r="J123" s="95">
        <v>13400</v>
      </c>
      <c r="K123" s="95">
        <v>26</v>
      </c>
      <c r="L123" s="97"/>
      <c r="M123" s="55"/>
      <c r="N123" s="55"/>
    </row>
    <row r="124" spans="1:47">
      <c r="A124" s="55"/>
      <c r="B124" s="55"/>
      <c r="C124" s="55"/>
      <c r="D124" s="55"/>
      <c r="E124" s="55"/>
      <c r="F124" s="55"/>
      <c r="G124" s="55"/>
      <c r="H124" s="55"/>
      <c r="I124" s="95">
        <f t="shared" si="23"/>
        <v>377000</v>
      </c>
      <c r="J124" s="95">
        <v>13000</v>
      </c>
      <c r="K124" s="95">
        <v>29</v>
      </c>
      <c r="L124" s="97"/>
      <c r="M124" s="55"/>
      <c r="N124" s="55"/>
    </row>
    <row r="125" spans="1:47" s="32" customFormat="1">
      <c r="A125" s="76" t="s">
        <v>384</v>
      </c>
      <c r="B125" s="76"/>
      <c r="C125" s="76"/>
      <c r="D125" s="76"/>
      <c r="E125" s="76"/>
      <c r="F125" s="76"/>
      <c r="G125" s="76"/>
      <c r="H125" s="76"/>
      <c r="I125" s="98">
        <f t="shared" ref="I125:I134" si="26">J125*SUM(K125:AU125)</f>
        <v>0</v>
      </c>
      <c r="J125" s="98"/>
      <c r="K125" s="98"/>
      <c r="L125" s="100"/>
      <c r="M125" s="76"/>
      <c r="N125" s="76"/>
    </row>
    <row r="126" spans="1:47">
      <c r="A126" s="55"/>
      <c r="B126" s="55"/>
      <c r="C126" s="55"/>
      <c r="D126" s="55"/>
      <c r="E126" s="55"/>
      <c r="F126" s="55"/>
      <c r="G126" s="55"/>
      <c r="H126" s="55"/>
      <c r="I126" s="95">
        <f t="shared" si="26"/>
        <v>-306900</v>
      </c>
      <c r="J126" s="95">
        <v>13950</v>
      </c>
      <c r="K126" s="95"/>
      <c r="L126" s="97">
        <v>-22</v>
      </c>
      <c r="M126" s="55"/>
      <c r="N126" s="55"/>
    </row>
    <row r="127" spans="1:47" s="33" customFormat="1">
      <c r="A127" s="57"/>
      <c r="B127" s="57"/>
      <c r="C127" s="57"/>
      <c r="D127" s="57"/>
      <c r="E127" s="57"/>
      <c r="F127" s="57"/>
      <c r="G127" s="57"/>
      <c r="H127" s="57"/>
      <c r="I127" s="105">
        <f t="shared" si="26"/>
        <v>-283000</v>
      </c>
      <c r="J127" s="105">
        <v>14150</v>
      </c>
      <c r="K127" s="105"/>
      <c r="L127" s="93">
        <v>-20</v>
      </c>
      <c r="M127" s="57"/>
      <c r="N127" s="57"/>
    </row>
    <row r="128" spans="1:47" s="33" customFormat="1">
      <c r="A128" s="57"/>
      <c r="B128" s="57"/>
      <c r="C128" s="57"/>
      <c r="D128" s="57"/>
      <c r="E128" s="57"/>
      <c r="F128" s="57"/>
      <c r="G128" s="57"/>
      <c r="H128" s="57"/>
      <c r="I128" s="105">
        <f t="shared" si="26"/>
        <v>-618200</v>
      </c>
      <c r="J128" s="105">
        <v>14050</v>
      </c>
      <c r="K128" s="105"/>
      <c r="L128" s="93"/>
      <c r="M128" s="93">
        <v>-44</v>
      </c>
      <c r="N128" s="57"/>
    </row>
    <row r="129" spans="1:47" s="33" customFormat="1">
      <c r="A129" s="57"/>
      <c r="B129" s="57"/>
      <c r="C129" s="57"/>
      <c r="D129" s="57"/>
      <c r="E129" s="57"/>
      <c r="F129" s="57"/>
      <c r="G129" s="57"/>
      <c r="H129" s="57"/>
      <c r="I129" s="105">
        <f t="shared" si="26"/>
        <v>-1520000</v>
      </c>
      <c r="J129" s="105">
        <v>15200</v>
      </c>
      <c r="K129" s="105"/>
      <c r="L129" s="93"/>
      <c r="M129" s="93">
        <v>-100</v>
      </c>
      <c r="N129" s="57"/>
    </row>
    <row r="130" spans="1:47" s="33" customFormat="1">
      <c r="A130" s="57"/>
      <c r="B130" s="57"/>
      <c r="C130" s="57"/>
      <c r="D130" s="57"/>
      <c r="E130" s="57"/>
      <c r="F130" s="57"/>
      <c r="G130" s="57"/>
      <c r="H130" s="57"/>
      <c r="I130" s="105">
        <f t="shared" ref="I130:I133" si="27">J130*SUM(K130:AU130)</f>
        <v>-856800</v>
      </c>
      <c r="J130" s="105">
        <v>15300</v>
      </c>
      <c r="K130" s="105"/>
      <c r="L130" s="93"/>
      <c r="M130" s="93">
        <v>-56</v>
      </c>
      <c r="N130" s="57"/>
    </row>
    <row r="131" spans="1:47" s="33" customFormat="1">
      <c r="A131" s="57" t="s">
        <v>385</v>
      </c>
      <c r="B131" s="57"/>
      <c r="C131" s="57"/>
      <c r="D131" s="57"/>
      <c r="E131" s="57"/>
      <c r="F131" s="57"/>
      <c r="G131" s="57"/>
      <c r="H131" s="57"/>
      <c r="I131" s="105">
        <f t="shared" si="27"/>
        <v>-465000</v>
      </c>
      <c r="J131" s="105">
        <v>15500</v>
      </c>
      <c r="K131" s="105"/>
      <c r="L131" s="93"/>
      <c r="M131" s="57">
        <v>-30</v>
      </c>
      <c r="N131" s="57"/>
    </row>
    <row r="132" spans="1:47" s="33" customFormat="1">
      <c r="A132" s="57" t="s">
        <v>385</v>
      </c>
      <c r="B132" s="57"/>
      <c r="C132" s="57"/>
      <c r="D132" s="57"/>
      <c r="E132" s="57"/>
      <c r="F132" s="57"/>
      <c r="G132" s="57"/>
      <c r="H132" s="57"/>
      <c r="I132" s="105">
        <f t="shared" si="27"/>
        <v>-449500</v>
      </c>
      <c r="J132" s="105">
        <v>15500</v>
      </c>
      <c r="K132" s="105"/>
      <c r="L132" s="93"/>
      <c r="M132" s="57"/>
      <c r="N132" s="57">
        <v>-29</v>
      </c>
    </row>
    <row r="133" spans="1:47" s="33" customFormat="1">
      <c r="A133" s="57" t="s">
        <v>385</v>
      </c>
      <c r="B133" s="57"/>
      <c r="C133" s="57"/>
      <c r="D133" s="57"/>
      <c r="E133" s="57"/>
      <c r="F133" s="57"/>
      <c r="G133" s="57"/>
      <c r="H133" s="57"/>
      <c r="I133" s="105">
        <f t="shared" si="27"/>
        <v>-314000</v>
      </c>
      <c r="J133" s="105">
        <v>15700</v>
      </c>
      <c r="K133" s="105"/>
      <c r="L133" s="93"/>
      <c r="M133" s="57"/>
      <c r="N133" s="57">
        <v>-20</v>
      </c>
    </row>
    <row r="134" spans="1:47" s="68" customFormat="1" ht="16" thickBot="1">
      <c r="A134" s="77" t="s">
        <v>385</v>
      </c>
      <c r="B134" s="77"/>
      <c r="C134" s="77"/>
      <c r="D134" s="77"/>
      <c r="E134" s="77"/>
      <c r="F134" s="77"/>
      <c r="G134" s="77"/>
      <c r="H134" s="77"/>
      <c r="I134" s="101">
        <f t="shared" si="26"/>
        <v>0</v>
      </c>
      <c r="J134" s="101"/>
      <c r="K134" s="101"/>
      <c r="L134" s="103"/>
      <c r="M134" s="77"/>
      <c r="N134" s="77"/>
    </row>
    <row r="135" spans="1:47" s="69" customFormat="1" ht="17" thickTop="1" thickBot="1">
      <c r="A135" s="79" t="s">
        <v>399</v>
      </c>
      <c r="B135" s="80" t="s">
        <v>768</v>
      </c>
      <c r="C135" s="81">
        <v>690000</v>
      </c>
      <c r="D135" s="82">
        <v>766200</v>
      </c>
      <c r="E135" s="73">
        <f>C135/J136-1</f>
        <v>-0.18662049657408086</v>
      </c>
      <c r="F135" s="73">
        <f>C135/D135-1</f>
        <v>-9.9451840250587287E-2</v>
      </c>
      <c r="G135" s="74">
        <f>E135+F135</f>
        <v>-0.28607233682466815</v>
      </c>
      <c r="H135" s="78">
        <f>SUM(K136:AU136)*G135</f>
        <v>-4.5771573891946904</v>
      </c>
      <c r="I135" s="93"/>
      <c r="J135" s="93"/>
      <c r="K135" s="93"/>
      <c r="L135" s="93"/>
      <c r="M135" s="57"/>
      <c r="N135" s="57"/>
    </row>
    <row r="136" spans="1:47" ht="16" thickTop="1">
      <c r="A136" s="55"/>
      <c r="B136" s="55"/>
      <c r="C136" s="72"/>
      <c r="D136" s="72"/>
      <c r="E136" s="72"/>
      <c r="F136" s="72"/>
      <c r="G136" s="55"/>
      <c r="H136" s="55"/>
      <c r="I136" s="95">
        <f>SUM(I137:I148)</f>
        <v>13573000</v>
      </c>
      <c r="J136" s="95">
        <f>SUM(I137:I146)/SUM(K137:AU146)</f>
        <v>848312.5</v>
      </c>
      <c r="K136" s="95">
        <f>SUM(K137:K148)</f>
        <v>1</v>
      </c>
      <c r="L136" s="95">
        <f t="shared" ref="L136:AU136" si="28">SUM(L137:L148)</f>
        <v>2</v>
      </c>
      <c r="M136" s="75">
        <f t="shared" si="28"/>
        <v>0</v>
      </c>
      <c r="N136" s="75">
        <f>SUM(N137:N148)</f>
        <v>7</v>
      </c>
      <c r="O136" s="75">
        <f t="shared" si="28"/>
        <v>0</v>
      </c>
      <c r="P136" s="75">
        <f t="shared" si="28"/>
        <v>6</v>
      </c>
      <c r="Q136" s="75">
        <f t="shared" si="28"/>
        <v>0</v>
      </c>
      <c r="R136" s="75">
        <f t="shared" si="28"/>
        <v>0</v>
      </c>
      <c r="S136" s="75">
        <f t="shared" si="28"/>
        <v>0</v>
      </c>
      <c r="T136" s="75">
        <f t="shared" si="28"/>
        <v>0</v>
      </c>
      <c r="U136" s="75">
        <f t="shared" si="28"/>
        <v>0</v>
      </c>
      <c r="V136" s="75">
        <f t="shared" si="28"/>
        <v>0</v>
      </c>
      <c r="W136" s="75">
        <f t="shared" si="28"/>
        <v>0</v>
      </c>
      <c r="X136" s="75">
        <f t="shared" si="28"/>
        <v>0</v>
      </c>
      <c r="Y136" s="75">
        <f t="shared" si="28"/>
        <v>0</v>
      </c>
      <c r="Z136" s="75">
        <f t="shared" si="28"/>
        <v>0</v>
      </c>
      <c r="AA136" s="75">
        <f t="shared" si="28"/>
        <v>0</v>
      </c>
      <c r="AB136" s="75">
        <f t="shared" si="28"/>
        <v>0</v>
      </c>
      <c r="AC136" s="75">
        <f t="shared" si="28"/>
        <v>0</v>
      </c>
      <c r="AD136" s="75">
        <f t="shared" si="28"/>
        <v>0</v>
      </c>
      <c r="AE136" s="75">
        <f t="shared" si="28"/>
        <v>0</v>
      </c>
      <c r="AF136" s="75">
        <f t="shared" si="28"/>
        <v>0</v>
      </c>
      <c r="AG136" s="75">
        <f t="shared" si="28"/>
        <v>0</v>
      </c>
      <c r="AH136" s="75">
        <f t="shared" si="28"/>
        <v>0</v>
      </c>
      <c r="AI136" s="75">
        <f t="shared" si="28"/>
        <v>0</v>
      </c>
      <c r="AJ136" s="75">
        <f t="shared" si="28"/>
        <v>0</v>
      </c>
      <c r="AK136" s="75">
        <f t="shared" si="28"/>
        <v>0</v>
      </c>
      <c r="AL136" s="75">
        <f t="shared" si="28"/>
        <v>0</v>
      </c>
      <c r="AM136" s="75">
        <f t="shared" si="28"/>
        <v>0</v>
      </c>
      <c r="AN136" s="75">
        <f t="shared" si="28"/>
        <v>0</v>
      </c>
      <c r="AO136" s="75">
        <f t="shared" si="28"/>
        <v>0</v>
      </c>
      <c r="AP136" s="75">
        <f t="shared" si="28"/>
        <v>0</v>
      </c>
      <c r="AQ136" s="75">
        <f t="shared" si="28"/>
        <v>0</v>
      </c>
      <c r="AR136" s="75">
        <f t="shared" si="28"/>
        <v>0</v>
      </c>
      <c r="AS136" s="75">
        <f t="shared" si="28"/>
        <v>0</v>
      </c>
      <c r="AT136" s="75">
        <f t="shared" si="28"/>
        <v>0</v>
      </c>
      <c r="AU136" s="75">
        <f t="shared" si="28"/>
        <v>0</v>
      </c>
    </row>
    <row r="137" spans="1:47">
      <c r="A137" s="55"/>
      <c r="B137" s="55"/>
      <c r="C137" s="55"/>
      <c r="E137" s="55"/>
      <c r="F137" s="55"/>
      <c r="G137" s="55"/>
      <c r="H137" s="55"/>
      <c r="I137" s="95">
        <f t="shared" ref="I137:I148" si="29">J137*SUM(K137:AU137)</f>
        <v>1176000</v>
      </c>
      <c r="J137" s="95">
        <v>1176000</v>
      </c>
      <c r="K137" s="95">
        <v>1</v>
      </c>
      <c r="L137" s="97"/>
      <c r="M137" s="55"/>
      <c r="N137" s="55"/>
    </row>
    <row r="138" spans="1:47" s="33" customFormat="1">
      <c r="A138" s="57" t="s">
        <v>384</v>
      </c>
      <c r="B138" s="57"/>
      <c r="C138" s="57"/>
      <c r="D138" s="57"/>
      <c r="E138" s="57"/>
      <c r="F138" s="57"/>
      <c r="G138" s="57"/>
      <c r="H138" s="57"/>
      <c r="I138" s="105">
        <f t="shared" si="29"/>
        <v>939000</v>
      </c>
      <c r="J138" s="105">
        <v>939000</v>
      </c>
      <c r="K138" s="105"/>
      <c r="L138" s="93">
        <v>1</v>
      </c>
      <c r="M138" s="57"/>
      <c r="N138" s="57"/>
    </row>
    <row r="139" spans="1:47" s="33" customFormat="1">
      <c r="A139" s="57" t="s">
        <v>384</v>
      </c>
      <c r="B139" s="57"/>
      <c r="C139" s="57"/>
      <c r="D139" s="57"/>
      <c r="E139" s="57"/>
      <c r="F139" s="57"/>
      <c r="G139" s="57"/>
      <c r="H139" s="57"/>
      <c r="I139" s="105">
        <f t="shared" si="29"/>
        <v>941000</v>
      </c>
      <c r="J139" s="105">
        <v>941000</v>
      </c>
      <c r="K139" s="105"/>
      <c r="L139" s="93">
        <v>1</v>
      </c>
      <c r="M139" s="57"/>
      <c r="N139" s="57"/>
    </row>
    <row r="140" spans="1:47" s="33" customFormat="1">
      <c r="A140" s="57" t="s">
        <v>384</v>
      </c>
      <c r="B140" s="57"/>
      <c r="C140" s="57"/>
      <c r="D140" s="57"/>
      <c r="E140" s="57"/>
      <c r="F140" s="57"/>
      <c r="G140" s="57"/>
      <c r="H140" s="57"/>
      <c r="I140" s="105">
        <f t="shared" ref="I140:I141" si="30">J140*SUM(K140:AU140)</f>
        <v>1854000</v>
      </c>
      <c r="J140" s="105">
        <v>927000</v>
      </c>
      <c r="K140" s="105"/>
      <c r="L140" s="93"/>
      <c r="M140" s="57"/>
      <c r="N140" s="57">
        <v>2</v>
      </c>
    </row>
    <row r="141" spans="1:47" s="33" customFormat="1">
      <c r="A141" s="57" t="s">
        <v>384</v>
      </c>
      <c r="B141" s="57"/>
      <c r="C141" s="57"/>
      <c r="D141" s="57"/>
      <c r="E141" s="57"/>
      <c r="F141" s="57"/>
      <c r="G141" s="57"/>
      <c r="H141" s="57"/>
      <c r="I141" s="105">
        <f t="shared" si="30"/>
        <v>2787000</v>
      </c>
      <c r="J141" s="105">
        <v>929000</v>
      </c>
      <c r="K141" s="105"/>
      <c r="L141" s="93"/>
      <c r="M141" s="57"/>
      <c r="N141" s="57">
        <v>3</v>
      </c>
    </row>
    <row r="142" spans="1:47" s="33" customFormat="1">
      <c r="A142" s="57" t="s">
        <v>384</v>
      </c>
      <c r="B142" s="57"/>
      <c r="C142" s="57"/>
      <c r="D142" s="57"/>
      <c r="E142" s="57"/>
      <c r="F142" s="57"/>
      <c r="G142" s="57"/>
      <c r="H142" s="57"/>
      <c r="I142" s="105">
        <f t="shared" ref="I142" si="31">J142*SUM(K142:AU142)</f>
        <v>1720000</v>
      </c>
      <c r="J142" s="105">
        <v>860000</v>
      </c>
      <c r="K142" s="105"/>
      <c r="L142" s="93"/>
      <c r="M142" s="57"/>
      <c r="N142" s="57">
        <v>2</v>
      </c>
    </row>
    <row r="143" spans="1:47" s="33" customFormat="1">
      <c r="A143" s="57" t="s">
        <v>384</v>
      </c>
      <c r="B143" s="57"/>
      <c r="C143" s="57"/>
      <c r="D143" s="57"/>
      <c r="E143" s="57"/>
      <c r="F143" s="57"/>
      <c r="G143" s="57"/>
      <c r="H143" s="57"/>
      <c r="I143" s="105">
        <f t="shared" ref="I143" si="32">J143*SUM(K143:AU143)</f>
        <v>1420000</v>
      </c>
      <c r="J143" s="105">
        <v>710000</v>
      </c>
      <c r="K143" s="105"/>
      <c r="L143" s="93"/>
      <c r="M143" s="57"/>
      <c r="N143" s="57"/>
      <c r="P143" s="33">
        <v>2</v>
      </c>
    </row>
    <row r="144" spans="1:47" s="33" customFormat="1">
      <c r="A144" s="57" t="s">
        <v>384</v>
      </c>
      <c r="B144" s="57"/>
      <c r="C144" s="57"/>
      <c r="D144" s="57"/>
      <c r="E144" s="57"/>
      <c r="F144" s="57"/>
      <c r="G144" s="57"/>
      <c r="H144" s="57"/>
      <c r="I144" s="105">
        <f t="shared" ref="I144" si="33">J144*SUM(K144:AU144)</f>
        <v>1380000</v>
      </c>
      <c r="J144" s="105">
        <v>690000</v>
      </c>
      <c r="K144" s="105"/>
      <c r="L144" s="93"/>
      <c r="M144" s="57"/>
      <c r="N144" s="57"/>
      <c r="P144" s="33">
        <v>2</v>
      </c>
    </row>
    <row r="145" spans="1:47" s="33" customFormat="1">
      <c r="A145" s="57" t="s">
        <v>384</v>
      </c>
      <c r="B145" s="57"/>
      <c r="C145" s="57"/>
      <c r="D145" s="57"/>
      <c r="E145" s="57"/>
      <c r="F145" s="57"/>
      <c r="G145" s="57"/>
      <c r="H145" s="57"/>
      <c r="I145" s="105">
        <f t="shared" ref="I145" si="34">J145*SUM(K145:AU145)</f>
        <v>1356000</v>
      </c>
      <c r="J145" s="105">
        <v>678000</v>
      </c>
      <c r="K145" s="105"/>
      <c r="L145" s="93"/>
      <c r="M145" s="57"/>
      <c r="N145" s="57"/>
      <c r="P145" s="33">
        <v>2</v>
      </c>
    </row>
    <row r="146" spans="1:47" s="32" customFormat="1">
      <c r="A146" s="76" t="s">
        <v>384</v>
      </c>
      <c r="B146" s="76"/>
      <c r="C146" s="76"/>
      <c r="D146" s="76"/>
      <c r="E146" s="76"/>
      <c r="F146" s="76"/>
      <c r="G146" s="76"/>
      <c r="H146" s="76"/>
      <c r="I146" s="98">
        <f t="shared" si="29"/>
        <v>0</v>
      </c>
      <c r="J146" s="98"/>
      <c r="K146" s="98"/>
      <c r="L146" s="100"/>
      <c r="M146" s="76"/>
      <c r="N146" s="76"/>
    </row>
    <row r="147" spans="1:47">
      <c r="A147" s="55"/>
      <c r="B147" s="55"/>
      <c r="C147" s="55"/>
      <c r="D147" s="55"/>
      <c r="E147" s="55"/>
      <c r="F147" s="55"/>
      <c r="G147" s="55"/>
      <c r="H147" s="55"/>
      <c r="I147" s="95">
        <f t="shared" si="29"/>
        <v>0</v>
      </c>
      <c r="J147" s="95"/>
      <c r="K147" s="95"/>
      <c r="L147" s="97"/>
      <c r="M147" s="55"/>
      <c r="N147" s="55"/>
    </row>
    <row r="148" spans="1:47" s="68" customFormat="1" ht="16" thickBot="1">
      <c r="A148" s="77" t="s">
        <v>385</v>
      </c>
      <c r="B148" s="77"/>
      <c r="C148" s="77"/>
      <c r="D148" s="77"/>
      <c r="E148" s="77"/>
      <c r="F148" s="77"/>
      <c r="G148" s="77"/>
      <c r="H148" s="77"/>
      <c r="I148" s="101">
        <f t="shared" si="29"/>
        <v>0</v>
      </c>
      <c r="J148" s="101"/>
      <c r="K148" s="101"/>
      <c r="L148" s="103"/>
      <c r="M148" s="77"/>
      <c r="N148" s="77"/>
    </row>
    <row r="149" spans="1:47" s="69" customFormat="1" ht="17" thickTop="1" thickBot="1">
      <c r="A149" s="79" t="s">
        <v>373</v>
      </c>
      <c r="B149" s="80" t="s">
        <v>510</v>
      </c>
      <c r="C149" s="81">
        <v>10100</v>
      </c>
      <c r="D149" s="82">
        <v>11164</v>
      </c>
      <c r="E149" s="73">
        <f>C149/J150-1</f>
        <v>-0.16482827589295035</v>
      </c>
      <c r="F149" s="73">
        <f>C149/D149-1</f>
        <v>-9.5306341812970263E-2</v>
      </c>
      <c r="G149" s="74">
        <f>E149+F149</f>
        <v>-0.26013461770592061</v>
      </c>
      <c r="H149" s="78">
        <f>SUM(K150:AU150)*G149</f>
        <v>-33.037096448651916</v>
      </c>
      <c r="I149" s="93"/>
      <c r="J149" s="93"/>
      <c r="K149" s="93"/>
      <c r="L149" s="93"/>
      <c r="M149" s="57"/>
      <c r="N149" s="57"/>
    </row>
    <row r="150" spans="1:47" ht="16" thickTop="1">
      <c r="A150" s="55"/>
      <c r="B150" s="55"/>
      <c r="C150" s="72"/>
      <c r="D150" s="72"/>
      <c r="E150" s="72"/>
      <c r="F150" s="72"/>
      <c r="G150" s="55"/>
      <c r="H150" s="55"/>
      <c r="I150" s="95">
        <f>SUM(I151:I169)</f>
        <v>1479850</v>
      </c>
      <c r="J150" s="95">
        <f>SUM(I151:I166)/SUM(K151:AU166)</f>
        <v>12093.321299638988</v>
      </c>
      <c r="K150" s="95">
        <f>SUM(K151:K169)</f>
        <v>277</v>
      </c>
      <c r="L150" s="95">
        <f t="shared" ref="L150:AU150" si="35">SUM(L151:L169)</f>
        <v>0</v>
      </c>
      <c r="M150" s="75">
        <f t="shared" si="35"/>
        <v>0</v>
      </c>
      <c r="N150" s="75">
        <f t="shared" si="35"/>
        <v>-150</v>
      </c>
      <c r="O150" s="75">
        <f t="shared" si="35"/>
        <v>0</v>
      </c>
      <c r="P150" s="75">
        <f t="shared" si="35"/>
        <v>0</v>
      </c>
      <c r="Q150" s="75">
        <f t="shared" si="35"/>
        <v>0</v>
      </c>
      <c r="R150" s="75">
        <f t="shared" si="35"/>
        <v>0</v>
      </c>
      <c r="S150" s="75">
        <f t="shared" si="35"/>
        <v>0</v>
      </c>
      <c r="T150" s="75">
        <f t="shared" si="35"/>
        <v>0</v>
      </c>
      <c r="U150" s="75">
        <f t="shared" si="35"/>
        <v>0</v>
      </c>
      <c r="V150" s="75">
        <f t="shared" si="35"/>
        <v>0</v>
      </c>
      <c r="W150" s="75">
        <f t="shared" si="35"/>
        <v>0</v>
      </c>
      <c r="X150" s="75">
        <f t="shared" si="35"/>
        <v>0</v>
      </c>
      <c r="Y150" s="75">
        <f t="shared" si="35"/>
        <v>0</v>
      </c>
      <c r="Z150" s="75">
        <f t="shared" si="35"/>
        <v>0</v>
      </c>
      <c r="AA150" s="75">
        <f t="shared" si="35"/>
        <v>0</v>
      </c>
      <c r="AB150" s="75">
        <f t="shared" si="35"/>
        <v>0</v>
      </c>
      <c r="AC150" s="75">
        <f t="shared" si="35"/>
        <v>0</v>
      </c>
      <c r="AD150" s="75">
        <f t="shared" si="35"/>
        <v>0</v>
      </c>
      <c r="AE150" s="75">
        <f t="shared" si="35"/>
        <v>0</v>
      </c>
      <c r="AF150" s="75">
        <f t="shared" si="35"/>
        <v>0</v>
      </c>
      <c r="AG150" s="75">
        <f t="shared" si="35"/>
        <v>0</v>
      </c>
      <c r="AH150" s="75">
        <f t="shared" si="35"/>
        <v>0</v>
      </c>
      <c r="AI150" s="75">
        <f t="shared" si="35"/>
        <v>0</v>
      </c>
      <c r="AJ150" s="75">
        <f t="shared" si="35"/>
        <v>0</v>
      </c>
      <c r="AK150" s="75">
        <f t="shared" si="35"/>
        <v>0</v>
      </c>
      <c r="AL150" s="75">
        <f t="shared" si="35"/>
        <v>0</v>
      </c>
      <c r="AM150" s="75">
        <f t="shared" si="35"/>
        <v>0</v>
      </c>
      <c r="AN150" s="75">
        <f t="shared" si="35"/>
        <v>0</v>
      </c>
      <c r="AO150" s="75">
        <f t="shared" si="35"/>
        <v>0</v>
      </c>
      <c r="AP150" s="75">
        <f t="shared" si="35"/>
        <v>0</v>
      </c>
      <c r="AQ150" s="75">
        <f t="shared" si="35"/>
        <v>0</v>
      </c>
      <c r="AR150" s="75">
        <f t="shared" si="35"/>
        <v>0</v>
      </c>
      <c r="AS150" s="75">
        <f t="shared" si="35"/>
        <v>0</v>
      </c>
      <c r="AT150" s="75">
        <f t="shared" si="35"/>
        <v>0</v>
      </c>
      <c r="AU150" s="75">
        <f t="shared" si="35"/>
        <v>0</v>
      </c>
    </row>
    <row r="151" spans="1:47">
      <c r="A151" s="55"/>
      <c r="B151" s="55"/>
      <c r="C151" s="55"/>
      <c r="D151" s="55"/>
      <c r="E151" s="55"/>
      <c r="F151" s="55"/>
      <c r="G151" s="55"/>
      <c r="H151" s="55"/>
      <c r="I151" s="95">
        <f>J151*SUM(K151:AU151)</f>
        <v>1295000</v>
      </c>
      <c r="J151" s="95">
        <v>12950</v>
      </c>
      <c r="K151" s="95">
        <v>100</v>
      </c>
      <c r="L151" s="97"/>
      <c r="M151" s="55"/>
      <c r="N151" s="55"/>
    </row>
    <row r="152" spans="1:47">
      <c r="A152" s="55"/>
      <c r="B152" s="55"/>
      <c r="C152" s="55"/>
      <c r="D152" s="55"/>
      <c r="E152" s="55"/>
      <c r="F152" s="55"/>
      <c r="G152" s="55"/>
      <c r="H152" s="55"/>
      <c r="I152" s="95">
        <f t="shared" ref="I152:I164" si="36">J152*SUM(K152:AU152)</f>
        <v>76800</v>
      </c>
      <c r="J152" s="95">
        <v>12800</v>
      </c>
      <c r="K152" s="95">
        <v>6</v>
      </c>
      <c r="L152" s="97"/>
      <c r="M152" s="55"/>
      <c r="N152" s="55"/>
    </row>
    <row r="153" spans="1:47">
      <c r="A153" s="55"/>
      <c r="B153" s="55"/>
      <c r="C153" s="55"/>
      <c r="D153" s="55"/>
      <c r="E153" s="55"/>
      <c r="F153" s="55"/>
      <c r="G153" s="55"/>
      <c r="H153" s="55"/>
      <c r="I153" s="95">
        <f t="shared" si="36"/>
        <v>76500</v>
      </c>
      <c r="J153" s="95">
        <v>12750</v>
      </c>
      <c r="K153" s="95">
        <v>6</v>
      </c>
      <c r="L153" s="97"/>
      <c r="M153" s="55"/>
      <c r="N153" s="55"/>
    </row>
    <row r="154" spans="1:47">
      <c r="A154" s="55"/>
      <c r="B154" s="55"/>
      <c r="C154" s="55"/>
      <c r="D154" s="55"/>
      <c r="E154" s="55"/>
      <c r="F154" s="55"/>
      <c r="G154" s="55"/>
      <c r="H154" s="55"/>
      <c r="I154" s="95">
        <f t="shared" si="36"/>
        <v>76500</v>
      </c>
      <c r="J154" s="95">
        <v>12750</v>
      </c>
      <c r="K154" s="95">
        <v>6</v>
      </c>
      <c r="L154" s="97"/>
      <c r="M154" s="55"/>
      <c r="N154" s="55"/>
    </row>
    <row r="155" spans="1:47">
      <c r="A155" s="55"/>
      <c r="B155" s="55"/>
      <c r="C155" s="55"/>
      <c r="D155" s="55"/>
      <c r="E155" s="55"/>
      <c r="F155" s="55"/>
      <c r="G155" s="55"/>
      <c r="H155" s="55"/>
      <c r="I155" s="95">
        <f t="shared" ref="I155:I161" si="37">J155*SUM(K155:AU155)</f>
        <v>75600</v>
      </c>
      <c r="J155" s="95">
        <v>12600</v>
      </c>
      <c r="K155" s="95">
        <v>6</v>
      </c>
      <c r="L155" s="97"/>
      <c r="M155" s="55"/>
      <c r="N155" s="55"/>
    </row>
    <row r="156" spans="1:47">
      <c r="A156" s="55"/>
      <c r="B156" s="55"/>
      <c r="C156" s="55"/>
      <c r="D156" s="55"/>
      <c r="E156" s="55"/>
      <c r="F156" s="55"/>
      <c r="G156" s="55"/>
      <c r="H156" s="55"/>
      <c r="I156" s="95">
        <f t="shared" si="37"/>
        <v>74400</v>
      </c>
      <c r="J156" s="95">
        <v>12400</v>
      </c>
      <c r="K156" s="95">
        <v>6</v>
      </c>
      <c r="L156" s="97"/>
      <c r="M156" s="55"/>
      <c r="N156" s="55"/>
    </row>
    <row r="157" spans="1:47">
      <c r="A157" s="55"/>
      <c r="B157" s="55"/>
      <c r="C157" s="55"/>
      <c r="D157" s="55"/>
      <c r="E157" s="55"/>
      <c r="F157" s="55"/>
      <c r="G157" s="55"/>
      <c r="H157" s="55"/>
      <c r="I157" s="95">
        <f t="shared" si="37"/>
        <v>124000</v>
      </c>
      <c r="J157" s="95">
        <v>12400</v>
      </c>
      <c r="K157" s="95">
        <v>10</v>
      </c>
      <c r="L157" s="97"/>
      <c r="M157" s="55"/>
      <c r="N157" s="55"/>
    </row>
    <row r="158" spans="1:47">
      <c r="A158" s="55"/>
      <c r="B158" s="55"/>
      <c r="C158" s="55"/>
      <c r="D158" s="55"/>
      <c r="E158" s="55"/>
      <c r="F158" s="55"/>
      <c r="G158" s="55"/>
      <c r="H158" s="55"/>
      <c r="I158" s="95">
        <f t="shared" si="37"/>
        <v>122000</v>
      </c>
      <c r="J158" s="95">
        <v>12200</v>
      </c>
      <c r="K158" s="95">
        <v>10</v>
      </c>
      <c r="L158" s="97"/>
      <c r="M158" s="55"/>
      <c r="N158" s="55"/>
    </row>
    <row r="159" spans="1:47">
      <c r="A159" s="55"/>
      <c r="B159" s="55"/>
      <c r="C159" s="55"/>
      <c r="D159" s="55"/>
      <c r="E159" s="55"/>
      <c r="F159" s="55"/>
      <c r="G159" s="55"/>
      <c r="H159" s="55"/>
      <c r="I159" s="95">
        <f t="shared" si="37"/>
        <v>133650</v>
      </c>
      <c r="J159" s="95">
        <v>12150</v>
      </c>
      <c r="K159" s="95">
        <v>11</v>
      </c>
      <c r="L159" s="97"/>
      <c r="M159" s="55"/>
      <c r="N159" s="55"/>
    </row>
    <row r="160" spans="1:47">
      <c r="A160" s="55"/>
      <c r="B160" s="55"/>
      <c r="C160" s="55"/>
      <c r="D160" s="55"/>
      <c r="E160" s="55"/>
      <c r="F160" s="55"/>
      <c r="G160" s="55"/>
      <c r="H160" s="55"/>
      <c r="I160" s="95">
        <f t="shared" si="37"/>
        <v>141600</v>
      </c>
      <c r="J160" s="95">
        <v>11800</v>
      </c>
      <c r="K160" s="95">
        <v>12</v>
      </c>
      <c r="L160" s="97"/>
      <c r="M160" s="55"/>
      <c r="N160" s="55"/>
    </row>
    <row r="161" spans="1:47">
      <c r="A161" s="55"/>
      <c r="B161" s="55"/>
      <c r="C161" s="55"/>
      <c r="D161" s="55"/>
      <c r="E161" s="55"/>
      <c r="F161" s="55"/>
      <c r="G161" s="55"/>
      <c r="H161" s="55"/>
      <c r="I161" s="95">
        <f t="shared" si="37"/>
        <v>150800</v>
      </c>
      <c r="J161" s="95">
        <v>11600</v>
      </c>
      <c r="K161" s="95">
        <v>13</v>
      </c>
      <c r="L161" s="97"/>
      <c r="M161" s="55"/>
      <c r="N161" s="55"/>
    </row>
    <row r="162" spans="1:47">
      <c r="A162" s="55"/>
      <c r="B162" s="55"/>
      <c r="C162" s="55"/>
      <c r="D162" s="55"/>
      <c r="E162" s="55"/>
      <c r="F162" s="55"/>
      <c r="G162" s="55"/>
      <c r="H162" s="55"/>
      <c r="I162" s="95">
        <f t="shared" si="36"/>
        <v>232000</v>
      </c>
      <c r="J162" s="95">
        <v>11600</v>
      </c>
      <c r="K162" s="95">
        <v>20</v>
      </c>
      <c r="L162" s="97"/>
      <c r="M162" s="55"/>
      <c r="N162" s="55"/>
    </row>
    <row r="163" spans="1:47">
      <c r="A163" s="55"/>
      <c r="B163" s="55"/>
      <c r="C163" s="55"/>
      <c r="D163" s="55"/>
      <c r="E163" s="55"/>
      <c r="F163" s="55"/>
      <c r="G163" s="55"/>
      <c r="H163" s="55"/>
      <c r="I163" s="95">
        <f t="shared" ref="I163" si="38">J163*SUM(K163:AU163)</f>
        <v>276900</v>
      </c>
      <c r="J163" s="95">
        <v>10650</v>
      </c>
      <c r="K163" s="95">
        <v>26</v>
      </c>
      <c r="L163" s="97"/>
      <c r="M163" s="55"/>
      <c r="N163" s="55"/>
    </row>
    <row r="164" spans="1:47">
      <c r="A164" s="55"/>
      <c r="B164" s="55"/>
      <c r="C164" s="55"/>
      <c r="D164" s="55"/>
      <c r="E164" s="55"/>
      <c r="F164" s="55"/>
      <c r="G164" s="55"/>
      <c r="H164" s="55"/>
      <c r="I164" s="95">
        <f t="shared" si="36"/>
        <v>283500</v>
      </c>
      <c r="J164" s="95">
        <v>10500</v>
      </c>
      <c r="K164" s="95">
        <v>27</v>
      </c>
      <c r="L164" s="97"/>
      <c r="M164" s="55"/>
      <c r="N164" s="55"/>
    </row>
    <row r="165" spans="1:47">
      <c r="A165" s="55"/>
      <c r="B165" s="55"/>
      <c r="C165" s="55"/>
      <c r="D165" s="55"/>
      <c r="E165" s="55"/>
      <c r="F165" s="55"/>
      <c r="G165" s="55"/>
      <c r="H165" s="55"/>
      <c r="I165" s="95">
        <f t="shared" ref="I165" si="39">J165*SUM(K165:AU165)</f>
        <v>210600</v>
      </c>
      <c r="J165" s="95">
        <v>11700</v>
      </c>
      <c r="K165" s="95">
        <v>18</v>
      </c>
      <c r="L165" s="97"/>
      <c r="M165" s="55"/>
      <c r="N165" s="55"/>
    </row>
    <row r="166" spans="1:47" s="32" customFormat="1">
      <c r="A166" s="76" t="s">
        <v>384</v>
      </c>
      <c r="B166" s="76"/>
      <c r="C166" s="76"/>
      <c r="D166" s="76"/>
      <c r="E166" s="76"/>
      <c r="F166" s="76"/>
      <c r="G166" s="76"/>
      <c r="H166" s="76"/>
      <c r="I166" s="98">
        <f>J166*SUM(K166:AU166)</f>
        <v>0</v>
      </c>
      <c r="J166" s="98"/>
      <c r="K166" s="98"/>
      <c r="L166" s="100"/>
      <c r="M166" s="76"/>
      <c r="N166" s="76"/>
    </row>
    <row r="167" spans="1:47">
      <c r="A167" s="55"/>
      <c r="B167" s="55"/>
      <c r="C167" s="55"/>
      <c r="D167" s="55"/>
      <c r="E167" s="55"/>
      <c r="F167" s="55"/>
      <c r="G167" s="55"/>
      <c r="H167" s="55"/>
      <c r="I167" s="95">
        <f>J167*SUM(K167:AU167)</f>
        <v>-1364000</v>
      </c>
      <c r="J167" s="95">
        <v>12400</v>
      </c>
      <c r="K167" s="95"/>
      <c r="L167" s="97"/>
      <c r="M167" s="55"/>
      <c r="N167" s="55">
        <v>-110</v>
      </c>
    </row>
    <row r="168" spans="1:47" s="33" customFormat="1">
      <c r="A168" s="57" t="s">
        <v>385</v>
      </c>
      <c r="B168" s="57"/>
      <c r="C168" s="57"/>
      <c r="D168" s="57"/>
      <c r="E168" s="57"/>
      <c r="F168" s="57"/>
      <c r="G168" s="57"/>
      <c r="H168" s="57"/>
      <c r="I168" s="105">
        <f>J168*SUM(K168:AU168)</f>
        <v>-506000</v>
      </c>
      <c r="J168" s="105">
        <v>12650</v>
      </c>
      <c r="K168" s="105"/>
      <c r="L168" s="93"/>
      <c r="M168" s="57"/>
      <c r="N168" s="57">
        <v>-40</v>
      </c>
    </row>
    <row r="169" spans="1:47" s="68" customFormat="1" ht="16" thickBot="1">
      <c r="A169" s="77" t="s">
        <v>385</v>
      </c>
      <c r="B169" s="77"/>
      <c r="C169" s="77"/>
      <c r="D169" s="77"/>
      <c r="E169" s="77"/>
      <c r="F169" s="77"/>
      <c r="G169" s="77"/>
      <c r="H169" s="77"/>
      <c r="I169" s="101">
        <f>J169*SUM(K169:AU169)</f>
        <v>0</v>
      </c>
      <c r="J169" s="101"/>
      <c r="K169" s="101"/>
      <c r="L169" s="103"/>
      <c r="M169" s="77"/>
      <c r="N169" s="77"/>
    </row>
    <row r="170" spans="1:47" s="69" customFormat="1" ht="17" thickTop="1" thickBot="1">
      <c r="A170" s="79" t="s">
        <v>400</v>
      </c>
      <c r="B170" s="80" t="s">
        <v>512</v>
      </c>
      <c r="C170" s="81">
        <v>163000</v>
      </c>
      <c r="D170" s="82">
        <v>158133</v>
      </c>
      <c r="E170" s="73">
        <f>C170/J171-1</f>
        <v>-3.9999999999999925E-2</v>
      </c>
      <c r="F170" s="73">
        <f>C170/D170-1</f>
        <v>3.0777889498080802E-2</v>
      </c>
      <c r="G170" s="74">
        <f>E170+F170</f>
        <v>-9.222110501919123E-3</v>
      </c>
      <c r="H170" s="78">
        <f>SUM(K171:AU171)*G170</f>
        <v>-0.11066532602302948</v>
      </c>
      <c r="I170" s="93"/>
      <c r="J170" s="93"/>
      <c r="K170" s="93"/>
      <c r="L170" s="93"/>
      <c r="M170" s="57"/>
      <c r="N170" s="57"/>
    </row>
    <row r="171" spans="1:47" ht="16" thickTop="1">
      <c r="A171" s="55"/>
      <c r="B171" s="55"/>
      <c r="C171" s="72"/>
      <c r="D171" s="72"/>
      <c r="E171" s="72"/>
      <c r="F171" s="72"/>
      <c r="G171" s="55"/>
      <c r="H171" s="55"/>
      <c r="I171" s="95">
        <f>SUM(I172:I181)</f>
        <v>2037500</v>
      </c>
      <c r="J171" s="95">
        <f>SUM(I172:I179)/SUM(K172:AU179)</f>
        <v>169791.66666666666</v>
      </c>
      <c r="K171" s="95">
        <f>SUM(K172:K181)</f>
        <v>3</v>
      </c>
      <c r="L171" s="95">
        <f t="shared" ref="L171:AU171" si="40">SUM(L172:L181)</f>
        <v>4</v>
      </c>
      <c r="M171" s="75">
        <f t="shared" si="40"/>
        <v>0</v>
      </c>
      <c r="N171" s="75">
        <f t="shared" si="40"/>
        <v>0</v>
      </c>
      <c r="O171" s="75">
        <f t="shared" si="40"/>
        <v>2</v>
      </c>
      <c r="P171" s="75">
        <f t="shared" si="40"/>
        <v>3</v>
      </c>
      <c r="Q171" s="75">
        <f t="shared" si="40"/>
        <v>0</v>
      </c>
      <c r="R171" s="75">
        <f t="shared" si="40"/>
        <v>0</v>
      </c>
      <c r="S171" s="75">
        <f t="shared" si="40"/>
        <v>0</v>
      </c>
      <c r="T171" s="75">
        <f t="shared" si="40"/>
        <v>0</v>
      </c>
      <c r="U171" s="75">
        <f t="shared" si="40"/>
        <v>0</v>
      </c>
      <c r="V171" s="75">
        <f t="shared" si="40"/>
        <v>0</v>
      </c>
      <c r="W171" s="75">
        <f t="shared" si="40"/>
        <v>0</v>
      </c>
      <c r="X171" s="75">
        <f t="shared" si="40"/>
        <v>0</v>
      </c>
      <c r="Y171" s="75">
        <f t="shared" si="40"/>
        <v>0</v>
      </c>
      <c r="Z171" s="75">
        <f t="shared" si="40"/>
        <v>0</v>
      </c>
      <c r="AA171" s="75">
        <f t="shared" si="40"/>
        <v>0</v>
      </c>
      <c r="AB171" s="75">
        <f t="shared" si="40"/>
        <v>0</v>
      </c>
      <c r="AC171" s="75">
        <f t="shared" si="40"/>
        <v>0</v>
      </c>
      <c r="AD171" s="75">
        <f t="shared" si="40"/>
        <v>0</v>
      </c>
      <c r="AE171" s="75">
        <f t="shared" si="40"/>
        <v>0</v>
      </c>
      <c r="AF171" s="75">
        <f t="shared" si="40"/>
        <v>0</v>
      </c>
      <c r="AG171" s="75">
        <f t="shared" si="40"/>
        <v>0</v>
      </c>
      <c r="AH171" s="75">
        <f t="shared" si="40"/>
        <v>0</v>
      </c>
      <c r="AI171" s="75">
        <f t="shared" si="40"/>
        <v>0</v>
      </c>
      <c r="AJ171" s="75">
        <f t="shared" si="40"/>
        <v>0</v>
      </c>
      <c r="AK171" s="75">
        <f t="shared" si="40"/>
        <v>0</v>
      </c>
      <c r="AL171" s="75">
        <f t="shared" si="40"/>
        <v>0</v>
      </c>
      <c r="AM171" s="75">
        <f t="shared" si="40"/>
        <v>0</v>
      </c>
      <c r="AN171" s="75">
        <f t="shared" si="40"/>
        <v>0</v>
      </c>
      <c r="AO171" s="75">
        <f t="shared" si="40"/>
        <v>0</v>
      </c>
      <c r="AP171" s="75">
        <f t="shared" si="40"/>
        <v>0</v>
      </c>
      <c r="AQ171" s="75">
        <f t="shared" si="40"/>
        <v>0</v>
      </c>
      <c r="AR171" s="75">
        <f t="shared" si="40"/>
        <v>0</v>
      </c>
      <c r="AS171" s="75">
        <f t="shared" si="40"/>
        <v>0</v>
      </c>
      <c r="AT171" s="75">
        <f t="shared" si="40"/>
        <v>0</v>
      </c>
      <c r="AU171" s="75">
        <f t="shared" si="40"/>
        <v>0</v>
      </c>
    </row>
    <row r="172" spans="1:47">
      <c r="A172" s="55"/>
      <c r="B172" s="55"/>
      <c r="C172" s="55"/>
      <c r="D172" s="55"/>
      <c r="E172" s="55"/>
      <c r="F172" s="55"/>
      <c r="G172" s="55"/>
      <c r="H172" s="55"/>
      <c r="I172" s="95">
        <f>J172*SUM(K172:AU172)</f>
        <v>417000</v>
      </c>
      <c r="J172" s="95">
        <v>208500</v>
      </c>
      <c r="K172" s="95">
        <v>2</v>
      </c>
      <c r="L172" s="97"/>
      <c r="M172" s="55"/>
      <c r="N172" s="55"/>
    </row>
    <row r="173" spans="1:47">
      <c r="A173" s="55"/>
      <c r="B173" s="55"/>
      <c r="C173" s="55"/>
      <c r="D173" s="55"/>
      <c r="E173" s="55"/>
      <c r="F173" s="55"/>
      <c r="G173" s="55"/>
      <c r="H173" s="55"/>
      <c r="I173" s="95">
        <f t="shared" ref="I173" si="41">J173*SUM(K173:AU173)</f>
        <v>195000</v>
      </c>
      <c r="J173" s="95">
        <v>195000</v>
      </c>
      <c r="K173" s="95">
        <v>1</v>
      </c>
      <c r="L173" s="97"/>
      <c r="M173" s="55"/>
      <c r="N173" s="55"/>
    </row>
    <row r="174" spans="1:47">
      <c r="A174" s="55"/>
      <c r="B174" s="55"/>
      <c r="D174" s="55"/>
      <c r="E174" s="55"/>
      <c r="F174" s="55"/>
      <c r="G174" s="55"/>
      <c r="H174" s="55"/>
      <c r="I174" s="95">
        <f t="shared" ref="I174" si="42">J174*SUM(K174:AU174)</f>
        <v>184000</v>
      </c>
      <c r="J174" s="95">
        <v>184000</v>
      </c>
      <c r="K174" s="95"/>
      <c r="L174" s="97">
        <v>1</v>
      </c>
      <c r="M174" s="55"/>
      <c r="N174" s="55"/>
    </row>
    <row r="175" spans="1:47" s="33" customFormat="1">
      <c r="A175" s="57" t="s">
        <v>384</v>
      </c>
      <c r="B175" s="57"/>
      <c r="C175" s="57"/>
      <c r="D175" s="57"/>
      <c r="E175" s="57"/>
      <c r="F175" s="57"/>
      <c r="G175" s="57"/>
      <c r="H175" s="57"/>
      <c r="I175" s="105">
        <f t="shared" ref="I175:I181" si="43">J175*SUM(K175:AU175)</f>
        <v>181000</v>
      </c>
      <c r="J175" s="105">
        <v>181000</v>
      </c>
      <c r="K175" s="105"/>
      <c r="L175" s="93">
        <v>1</v>
      </c>
      <c r="M175" s="57"/>
      <c r="N175" s="57"/>
    </row>
    <row r="176" spans="1:47" s="33" customFormat="1">
      <c r="A176" s="57" t="s">
        <v>384</v>
      </c>
      <c r="B176" s="57"/>
      <c r="C176" s="57"/>
      <c r="D176" s="57"/>
      <c r="E176" s="57"/>
      <c r="F176" s="57"/>
      <c r="G176" s="57"/>
      <c r="H176" s="57"/>
      <c r="I176" s="105">
        <f t="shared" si="43"/>
        <v>323000</v>
      </c>
      <c r="J176" s="105">
        <v>161500</v>
      </c>
      <c r="K176" s="105"/>
      <c r="L176" s="93">
        <v>2</v>
      </c>
      <c r="M176" s="57"/>
      <c r="N176" s="57"/>
    </row>
    <row r="177" spans="1:47" s="33" customFormat="1">
      <c r="A177" s="57" t="s">
        <v>384</v>
      </c>
      <c r="B177" s="57"/>
      <c r="C177" s="57"/>
      <c r="D177" s="57"/>
      <c r="E177" s="57"/>
      <c r="F177" s="57"/>
      <c r="G177" s="57"/>
      <c r="H177" s="57"/>
      <c r="I177" s="105">
        <f t="shared" si="43"/>
        <v>313000</v>
      </c>
      <c r="J177" s="105">
        <v>156500</v>
      </c>
      <c r="K177" s="105"/>
      <c r="L177" s="93"/>
      <c r="M177" s="57"/>
      <c r="N177" s="57"/>
      <c r="O177" s="33">
        <v>2</v>
      </c>
    </row>
    <row r="178" spans="1:47" s="33" customFormat="1">
      <c r="A178" s="57" t="s">
        <v>384</v>
      </c>
      <c r="B178" s="57"/>
      <c r="C178" s="57"/>
      <c r="D178" s="57"/>
      <c r="E178" s="57"/>
      <c r="F178" s="57"/>
      <c r="G178" s="57"/>
      <c r="H178" s="57"/>
      <c r="I178" s="105">
        <f t="shared" ref="I178" si="44">J178*SUM(K178:AU178)</f>
        <v>424500</v>
      </c>
      <c r="J178" s="105">
        <v>141500</v>
      </c>
      <c r="K178" s="105"/>
      <c r="L178" s="93"/>
      <c r="M178" s="57"/>
      <c r="N178" s="57"/>
      <c r="P178" s="33">
        <v>3</v>
      </c>
    </row>
    <row r="179" spans="1:47" s="32" customFormat="1">
      <c r="A179" s="76" t="s">
        <v>384</v>
      </c>
      <c r="B179" s="76"/>
      <c r="C179" s="76"/>
      <c r="D179" s="76"/>
      <c r="E179" s="76"/>
      <c r="F179" s="76"/>
      <c r="G179" s="76"/>
      <c r="H179" s="76"/>
      <c r="I179" s="98">
        <f t="shared" si="43"/>
        <v>0</v>
      </c>
      <c r="J179" s="98"/>
      <c r="K179" s="98"/>
      <c r="L179" s="100"/>
      <c r="M179" s="76"/>
      <c r="N179" s="76"/>
    </row>
    <row r="180" spans="1:47">
      <c r="A180" s="55"/>
      <c r="B180" s="55"/>
      <c r="C180" s="55"/>
      <c r="D180" s="55"/>
      <c r="E180" s="55"/>
      <c r="F180" s="55"/>
      <c r="G180" s="55"/>
      <c r="H180" s="55"/>
      <c r="I180" s="95">
        <f t="shared" si="43"/>
        <v>0</v>
      </c>
      <c r="J180" s="95"/>
      <c r="K180" s="95"/>
      <c r="L180" s="97"/>
      <c r="M180" s="55"/>
      <c r="N180" s="55"/>
    </row>
    <row r="181" spans="1:47" s="68" customFormat="1" ht="16" thickBot="1">
      <c r="A181" s="77" t="s">
        <v>385</v>
      </c>
      <c r="B181" s="77"/>
      <c r="C181" s="77"/>
      <c r="D181" s="77"/>
      <c r="E181" s="77"/>
      <c r="F181" s="77"/>
      <c r="G181" s="77"/>
      <c r="H181" s="77"/>
      <c r="I181" s="101">
        <f t="shared" si="43"/>
        <v>0</v>
      </c>
      <c r="J181" s="101"/>
      <c r="K181" s="101"/>
      <c r="L181" s="103"/>
      <c r="M181" s="77"/>
      <c r="N181" s="77"/>
    </row>
    <row r="182" spans="1:47" s="69" customFormat="1" ht="19" thickTop="1" thickBot="1">
      <c r="A182" s="124" t="s">
        <v>541</v>
      </c>
      <c r="B182" s="149">
        <v>-0.09</v>
      </c>
      <c r="C182" s="81">
        <v>180000</v>
      </c>
      <c r="D182" s="82">
        <v>183400</v>
      </c>
      <c r="E182" s="73">
        <f>C182/J183-1</f>
        <v>6.2573789846517069E-2</v>
      </c>
      <c r="F182" s="73">
        <f>C182/D182-1</f>
        <v>-1.8538713195201728E-2</v>
      </c>
      <c r="G182" s="74">
        <f>E182+F182</f>
        <v>4.4035076651315341E-2</v>
      </c>
      <c r="H182" s="78">
        <f>SUM(K183:AU183)*G182</f>
        <v>0.44035076651315341</v>
      </c>
      <c r="I182" s="93"/>
      <c r="J182" s="93"/>
      <c r="K182" s="93"/>
      <c r="L182" s="93"/>
      <c r="M182" s="57"/>
      <c r="N182" s="57"/>
    </row>
    <row r="183" spans="1:47" ht="16" thickTop="1">
      <c r="B183" s="55"/>
      <c r="C183" s="72"/>
      <c r="D183" s="72"/>
      <c r="E183" s="72"/>
      <c r="F183" s="72"/>
      <c r="G183" s="55"/>
      <c r="H183" s="55"/>
      <c r="I183" s="95">
        <f>SUM(I184:I188)</f>
        <v>1694000</v>
      </c>
      <c r="J183" s="95">
        <f>SUM(I184:I186)/SUM(K184:AU186)</f>
        <v>169400</v>
      </c>
      <c r="K183" s="95">
        <f t="shared" ref="K183:AU183" si="45">SUM(K184:K188)</f>
        <v>0</v>
      </c>
      <c r="L183" s="95">
        <f t="shared" si="45"/>
        <v>0</v>
      </c>
      <c r="M183" s="75">
        <f t="shared" si="45"/>
        <v>0</v>
      </c>
      <c r="N183" s="75">
        <f t="shared" si="45"/>
        <v>10</v>
      </c>
      <c r="O183" s="75">
        <f t="shared" si="45"/>
        <v>0</v>
      </c>
      <c r="P183" s="75">
        <f t="shared" si="45"/>
        <v>0</v>
      </c>
      <c r="Q183" s="75">
        <f t="shared" si="45"/>
        <v>0</v>
      </c>
      <c r="R183" s="75">
        <f t="shared" si="45"/>
        <v>0</v>
      </c>
      <c r="S183" s="75">
        <f t="shared" si="45"/>
        <v>0</v>
      </c>
      <c r="T183" s="75">
        <f t="shared" si="45"/>
        <v>0</v>
      </c>
      <c r="U183" s="75">
        <f t="shared" si="45"/>
        <v>0</v>
      </c>
      <c r="V183" s="75">
        <f t="shared" si="45"/>
        <v>0</v>
      </c>
      <c r="W183" s="75">
        <f t="shared" si="45"/>
        <v>0</v>
      </c>
      <c r="X183" s="75">
        <f t="shared" si="45"/>
        <v>0</v>
      </c>
      <c r="Y183" s="75">
        <f t="shared" si="45"/>
        <v>0</v>
      </c>
      <c r="Z183" s="75">
        <f t="shared" si="45"/>
        <v>0</v>
      </c>
      <c r="AA183" s="75">
        <f t="shared" si="45"/>
        <v>0</v>
      </c>
      <c r="AB183" s="75">
        <f t="shared" si="45"/>
        <v>0</v>
      </c>
      <c r="AC183" s="75">
        <f t="shared" si="45"/>
        <v>0</v>
      </c>
      <c r="AD183" s="75">
        <f t="shared" si="45"/>
        <v>0</v>
      </c>
      <c r="AE183" s="75">
        <f t="shared" si="45"/>
        <v>0</v>
      </c>
      <c r="AF183" s="75">
        <f t="shared" si="45"/>
        <v>0</v>
      </c>
      <c r="AG183" s="75">
        <f t="shared" si="45"/>
        <v>0</v>
      </c>
      <c r="AH183" s="75">
        <f t="shared" si="45"/>
        <v>0</v>
      </c>
      <c r="AI183" s="75">
        <f t="shared" si="45"/>
        <v>0</v>
      </c>
      <c r="AJ183" s="75">
        <f t="shared" si="45"/>
        <v>0</v>
      </c>
      <c r="AK183" s="75">
        <f t="shared" si="45"/>
        <v>0</v>
      </c>
      <c r="AL183" s="75">
        <f t="shared" si="45"/>
        <v>0</v>
      </c>
      <c r="AM183" s="75">
        <f t="shared" si="45"/>
        <v>0</v>
      </c>
      <c r="AN183" s="75">
        <f t="shared" si="45"/>
        <v>0</v>
      </c>
      <c r="AO183" s="75">
        <f t="shared" si="45"/>
        <v>0</v>
      </c>
      <c r="AP183" s="75">
        <f t="shared" si="45"/>
        <v>0</v>
      </c>
      <c r="AQ183" s="75">
        <f t="shared" si="45"/>
        <v>0</v>
      </c>
      <c r="AR183" s="75">
        <f t="shared" si="45"/>
        <v>0</v>
      </c>
      <c r="AS183" s="75">
        <f t="shared" si="45"/>
        <v>0</v>
      </c>
      <c r="AT183" s="75">
        <f t="shared" si="45"/>
        <v>0</v>
      </c>
      <c r="AU183" s="75">
        <f t="shared" si="45"/>
        <v>0</v>
      </c>
    </row>
    <row r="184" spans="1:47">
      <c r="A184" s="55"/>
      <c r="B184" s="55"/>
      <c r="C184" s="55"/>
      <c r="D184" s="55"/>
      <c r="E184" s="55"/>
      <c r="F184" s="72"/>
      <c r="G184" s="55"/>
      <c r="H184" s="55"/>
      <c r="I184" s="95">
        <f>J184*SUM(K184:AU184)</f>
        <v>1026000</v>
      </c>
      <c r="J184" s="95">
        <v>171000</v>
      </c>
      <c r="K184" s="95"/>
      <c r="L184" s="97"/>
      <c r="M184" s="55"/>
      <c r="N184" s="56">
        <v>6</v>
      </c>
    </row>
    <row r="185" spans="1:47" s="33" customFormat="1">
      <c r="A185" s="57" t="s">
        <v>384</v>
      </c>
      <c r="B185" s="57"/>
      <c r="C185" s="57"/>
      <c r="D185" s="57"/>
      <c r="E185" s="57"/>
      <c r="F185" s="57"/>
      <c r="G185" s="57"/>
      <c r="H185" s="57"/>
      <c r="I185" s="105">
        <f>J185*SUM(K185:AU185)</f>
        <v>668000</v>
      </c>
      <c r="J185" s="105">
        <v>167000</v>
      </c>
      <c r="K185" s="105"/>
      <c r="L185" s="93"/>
      <c r="M185" s="57"/>
      <c r="N185" s="56">
        <v>4</v>
      </c>
    </row>
    <row r="186" spans="1:47" s="32" customFormat="1">
      <c r="A186" s="76" t="s">
        <v>384</v>
      </c>
      <c r="B186" s="76"/>
      <c r="C186" s="76"/>
      <c r="D186" s="76"/>
      <c r="E186" s="76"/>
      <c r="F186" s="76"/>
      <c r="G186" s="76"/>
      <c r="H186" s="76"/>
      <c r="I186" s="98">
        <f>J186*SUM(K186:AU186)</f>
        <v>0</v>
      </c>
      <c r="J186" s="98"/>
      <c r="K186" s="98"/>
      <c r="L186" s="100"/>
      <c r="M186" s="76"/>
      <c r="N186" s="76"/>
    </row>
    <row r="187" spans="1:47">
      <c r="A187" s="55"/>
      <c r="B187" s="55"/>
      <c r="C187" s="55"/>
      <c r="D187" s="55"/>
      <c r="E187" s="55"/>
      <c r="F187" s="55"/>
      <c r="G187" s="55"/>
      <c r="H187" s="55"/>
      <c r="I187" s="95">
        <f>J187*SUM(K187:AU187)</f>
        <v>0</v>
      </c>
      <c r="J187" s="95"/>
      <c r="K187" s="95"/>
      <c r="L187" s="97"/>
      <c r="M187" s="55"/>
      <c r="N187" s="55"/>
    </row>
    <row r="188" spans="1:47" s="68" customFormat="1" ht="16" thickBot="1">
      <c r="A188" s="77" t="s">
        <v>385</v>
      </c>
      <c r="B188" s="77"/>
      <c r="C188" s="77"/>
      <c r="D188" s="77"/>
      <c r="E188" s="77"/>
      <c r="F188" s="77"/>
      <c r="G188" s="77"/>
      <c r="H188" s="77"/>
      <c r="I188" s="101">
        <f>J188*SUM(K188:AU188)</f>
        <v>0</v>
      </c>
      <c r="J188" s="101"/>
      <c r="K188" s="101"/>
      <c r="L188" s="103"/>
      <c r="M188" s="77"/>
      <c r="N188" s="77"/>
    </row>
    <row r="189" spans="1:47" s="69" customFormat="1" ht="19" thickTop="1" thickBot="1">
      <c r="A189" s="79" t="s">
        <v>499</v>
      </c>
      <c r="B189" s="140" t="s">
        <v>555</v>
      </c>
      <c r="C189" s="81">
        <v>264000</v>
      </c>
      <c r="D189" s="82">
        <v>283650</v>
      </c>
      <c r="E189" s="73">
        <f>C189/J190-1</f>
        <v>-8.1739130434782648E-2</v>
      </c>
      <c r="F189" s="73">
        <f>C189/D189-1</f>
        <v>-6.9275515600211501E-2</v>
      </c>
      <c r="G189" s="74">
        <f>E189+F189</f>
        <v>-0.15101464603499415</v>
      </c>
      <c r="H189" s="78">
        <f>SUM(K190:AU190)*G189</f>
        <v>-0.45304393810498245</v>
      </c>
      <c r="I189" s="93"/>
      <c r="J189" s="93"/>
      <c r="K189" s="93"/>
      <c r="L189" s="93"/>
      <c r="M189" s="57"/>
      <c r="N189" s="57"/>
    </row>
    <row r="190" spans="1:47" ht="16" thickTop="1">
      <c r="A190" s="55"/>
      <c r="B190" s="55"/>
      <c r="C190" s="72"/>
      <c r="D190" s="72"/>
      <c r="E190" s="72"/>
      <c r="F190" s="72"/>
      <c r="G190" s="55"/>
      <c r="H190" s="55"/>
      <c r="I190" s="95">
        <f>SUM(I191:I194)</f>
        <v>862500</v>
      </c>
      <c r="J190" s="95">
        <f>SUM(I191:I192)/SUM(K191:AU192)</f>
        <v>287500</v>
      </c>
      <c r="K190" s="95">
        <f t="shared" ref="K190:AU190" si="46">SUM(K191:K194)</f>
        <v>0</v>
      </c>
      <c r="L190" s="95">
        <f t="shared" si="46"/>
        <v>0</v>
      </c>
      <c r="M190" s="75">
        <f t="shared" si="46"/>
        <v>0</v>
      </c>
      <c r="N190" s="75">
        <f t="shared" si="46"/>
        <v>3</v>
      </c>
      <c r="O190" s="75">
        <f t="shared" si="46"/>
        <v>0</v>
      </c>
      <c r="P190" s="75">
        <f t="shared" si="46"/>
        <v>0</v>
      </c>
      <c r="Q190" s="75">
        <f t="shared" si="46"/>
        <v>0</v>
      </c>
      <c r="R190" s="75">
        <f t="shared" si="46"/>
        <v>0</v>
      </c>
      <c r="S190" s="75">
        <f t="shared" si="46"/>
        <v>0</v>
      </c>
      <c r="T190" s="75">
        <f t="shared" si="46"/>
        <v>0</v>
      </c>
      <c r="U190" s="75">
        <f t="shared" si="46"/>
        <v>0</v>
      </c>
      <c r="V190" s="75">
        <f t="shared" si="46"/>
        <v>0</v>
      </c>
      <c r="W190" s="75">
        <f t="shared" si="46"/>
        <v>0</v>
      </c>
      <c r="X190" s="75">
        <f t="shared" si="46"/>
        <v>0</v>
      </c>
      <c r="Y190" s="75">
        <f t="shared" si="46"/>
        <v>0</v>
      </c>
      <c r="Z190" s="75">
        <f t="shared" si="46"/>
        <v>0</v>
      </c>
      <c r="AA190" s="75">
        <f t="shared" si="46"/>
        <v>0</v>
      </c>
      <c r="AB190" s="75">
        <f t="shared" si="46"/>
        <v>0</v>
      </c>
      <c r="AC190" s="75">
        <f t="shared" si="46"/>
        <v>0</v>
      </c>
      <c r="AD190" s="75">
        <f t="shared" si="46"/>
        <v>0</v>
      </c>
      <c r="AE190" s="75">
        <f t="shared" si="46"/>
        <v>0</v>
      </c>
      <c r="AF190" s="75">
        <f t="shared" si="46"/>
        <v>0</v>
      </c>
      <c r="AG190" s="75">
        <f t="shared" si="46"/>
        <v>0</v>
      </c>
      <c r="AH190" s="75">
        <f t="shared" si="46"/>
        <v>0</v>
      </c>
      <c r="AI190" s="75">
        <f t="shared" si="46"/>
        <v>0</v>
      </c>
      <c r="AJ190" s="75">
        <f t="shared" si="46"/>
        <v>0</v>
      </c>
      <c r="AK190" s="75">
        <f t="shared" si="46"/>
        <v>0</v>
      </c>
      <c r="AL190" s="75">
        <f t="shared" si="46"/>
        <v>0</v>
      </c>
      <c r="AM190" s="75">
        <f t="shared" si="46"/>
        <v>0</v>
      </c>
      <c r="AN190" s="75">
        <f t="shared" si="46"/>
        <v>0</v>
      </c>
      <c r="AO190" s="75">
        <f t="shared" si="46"/>
        <v>0</v>
      </c>
      <c r="AP190" s="75">
        <f t="shared" si="46"/>
        <v>0</v>
      </c>
      <c r="AQ190" s="75">
        <f t="shared" si="46"/>
        <v>0</v>
      </c>
      <c r="AR190" s="75">
        <f t="shared" si="46"/>
        <v>0</v>
      </c>
      <c r="AS190" s="75">
        <f t="shared" si="46"/>
        <v>0</v>
      </c>
      <c r="AT190" s="75">
        <f t="shared" si="46"/>
        <v>0</v>
      </c>
      <c r="AU190" s="75">
        <f t="shared" si="46"/>
        <v>0</v>
      </c>
    </row>
    <row r="191" spans="1:47">
      <c r="A191" s="55"/>
      <c r="B191" s="55"/>
      <c r="C191" s="55"/>
      <c r="D191" s="55"/>
      <c r="E191" s="55"/>
      <c r="F191" s="72"/>
      <c r="G191" s="55"/>
      <c r="H191" s="55"/>
      <c r="I191" s="95">
        <f>J191*SUM(K191:AU191)</f>
        <v>862500</v>
      </c>
      <c r="J191" s="95">
        <v>287500</v>
      </c>
      <c r="K191" s="95"/>
      <c r="L191" s="97"/>
      <c r="M191" s="55"/>
      <c r="N191" s="56">
        <v>3</v>
      </c>
    </row>
    <row r="192" spans="1:47" s="32" customFormat="1">
      <c r="A192" s="76" t="s">
        <v>384</v>
      </c>
      <c r="B192" s="76"/>
      <c r="C192" s="76"/>
      <c r="D192" s="76"/>
      <c r="E192" s="76"/>
      <c r="F192" s="76"/>
      <c r="G192" s="76"/>
      <c r="H192" s="76"/>
      <c r="I192" s="98">
        <f>J192*SUM(K192:AU192)</f>
        <v>0</v>
      </c>
      <c r="J192" s="98"/>
      <c r="K192" s="98"/>
      <c r="L192" s="100"/>
      <c r="M192" s="76"/>
      <c r="N192" s="76"/>
    </row>
    <row r="193" spans="1:47">
      <c r="A193" s="55"/>
      <c r="B193" s="55"/>
      <c r="C193" s="55"/>
      <c r="D193" s="55"/>
      <c r="E193" s="55"/>
      <c r="F193" s="55"/>
      <c r="G193" s="55"/>
      <c r="H193" s="55"/>
      <c r="I193" s="95">
        <f>J193*SUM(K193:AU193)</f>
        <v>0</v>
      </c>
      <c r="J193" s="95"/>
      <c r="K193" s="95"/>
      <c r="L193" s="97"/>
      <c r="M193" s="55"/>
      <c r="N193" s="55"/>
    </row>
    <row r="194" spans="1:47" s="68" customFormat="1" ht="16" thickBot="1">
      <c r="A194" s="77" t="s">
        <v>385</v>
      </c>
      <c r="B194" s="77"/>
      <c r="C194" s="77"/>
      <c r="D194" s="77"/>
      <c r="E194" s="77"/>
      <c r="F194" s="77"/>
      <c r="G194" s="77"/>
      <c r="H194" s="77"/>
      <c r="I194" s="101">
        <f>J194*SUM(K194:AU194)</f>
        <v>0</v>
      </c>
      <c r="J194" s="101"/>
      <c r="K194" s="101"/>
      <c r="L194" s="103"/>
      <c r="M194" s="77"/>
      <c r="N194" s="77"/>
    </row>
    <row r="195" spans="1:47" s="69" customFormat="1" ht="19" thickTop="1" thickBot="1">
      <c r="A195" s="124" t="s">
        <v>760</v>
      </c>
      <c r="B195" s="140"/>
      <c r="C195" s="81">
        <v>13080</v>
      </c>
      <c r="D195" s="82">
        <v>13043</v>
      </c>
      <c r="E195" s="73">
        <f>C195/J196-1</f>
        <v>-1.0590015128593033E-2</v>
      </c>
      <c r="F195" s="73">
        <f>C195/D195-1</f>
        <v>2.836770681591716E-3</v>
      </c>
      <c r="G195" s="74">
        <f>E195+F195</f>
        <v>-7.7532444470013173E-3</v>
      </c>
      <c r="H195" s="78">
        <f>SUM(K196:AU196)*G195</f>
        <v>-1.2405191115202108</v>
      </c>
      <c r="I195" s="93"/>
      <c r="J195" s="93"/>
      <c r="K195" s="93"/>
      <c r="L195" s="93"/>
      <c r="M195" s="57"/>
      <c r="N195" s="57"/>
    </row>
    <row r="196" spans="1:47" ht="16" thickTop="1">
      <c r="A196" s="55"/>
      <c r="B196" s="55"/>
      <c r="C196" s="72"/>
      <c r="D196" s="72"/>
      <c r="E196" s="72"/>
      <c r="F196" s="72"/>
      <c r="G196" s="55"/>
      <c r="H196" s="55"/>
      <c r="I196" s="95">
        <f>SUM(I197:I200)</f>
        <v>2115200</v>
      </c>
      <c r="J196" s="95">
        <f>SUM(I197:I198)/SUM(K197:AU198)</f>
        <v>13220</v>
      </c>
      <c r="K196" s="95">
        <f t="shared" ref="K196:AU196" si="47">SUM(K197:K200)</f>
        <v>0</v>
      </c>
      <c r="L196" s="95">
        <f t="shared" si="47"/>
        <v>0</v>
      </c>
      <c r="M196" s="75">
        <f t="shared" si="47"/>
        <v>0</v>
      </c>
      <c r="N196" s="75">
        <f t="shared" si="47"/>
        <v>0</v>
      </c>
      <c r="O196" s="75">
        <f t="shared" si="47"/>
        <v>160</v>
      </c>
      <c r="P196" s="75">
        <f t="shared" si="47"/>
        <v>0</v>
      </c>
      <c r="Q196" s="75">
        <f t="shared" si="47"/>
        <v>0</v>
      </c>
      <c r="R196" s="75">
        <f t="shared" si="47"/>
        <v>0</v>
      </c>
      <c r="S196" s="75">
        <f t="shared" si="47"/>
        <v>0</v>
      </c>
      <c r="T196" s="75">
        <f t="shared" si="47"/>
        <v>0</v>
      </c>
      <c r="U196" s="75">
        <f t="shared" si="47"/>
        <v>0</v>
      </c>
      <c r="V196" s="75">
        <f t="shared" si="47"/>
        <v>0</v>
      </c>
      <c r="W196" s="75">
        <f t="shared" si="47"/>
        <v>0</v>
      </c>
      <c r="X196" s="75">
        <f t="shared" si="47"/>
        <v>0</v>
      </c>
      <c r="Y196" s="75">
        <f t="shared" si="47"/>
        <v>0</v>
      </c>
      <c r="Z196" s="75">
        <f t="shared" si="47"/>
        <v>0</v>
      </c>
      <c r="AA196" s="75">
        <f t="shared" si="47"/>
        <v>0</v>
      </c>
      <c r="AB196" s="75">
        <f t="shared" si="47"/>
        <v>0</v>
      </c>
      <c r="AC196" s="75">
        <f t="shared" si="47"/>
        <v>0</v>
      </c>
      <c r="AD196" s="75">
        <f t="shared" si="47"/>
        <v>0</v>
      </c>
      <c r="AE196" s="75">
        <f t="shared" si="47"/>
        <v>0</v>
      </c>
      <c r="AF196" s="75">
        <f t="shared" si="47"/>
        <v>0</v>
      </c>
      <c r="AG196" s="75">
        <f t="shared" si="47"/>
        <v>0</v>
      </c>
      <c r="AH196" s="75">
        <f t="shared" si="47"/>
        <v>0</v>
      </c>
      <c r="AI196" s="75">
        <f t="shared" si="47"/>
        <v>0</v>
      </c>
      <c r="AJ196" s="75">
        <f t="shared" si="47"/>
        <v>0</v>
      </c>
      <c r="AK196" s="75">
        <f t="shared" si="47"/>
        <v>0</v>
      </c>
      <c r="AL196" s="75">
        <f t="shared" si="47"/>
        <v>0</v>
      </c>
      <c r="AM196" s="75">
        <f t="shared" si="47"/>
        <v>0</v>
      </c>
      <c r="AN196" s="75">
        <f t="shared" si="47"/>
        <v>0</v>
      </c>
      <c r="AO196" s="75">
        <f t="shared" si="47"/>
        <v>0</v>
      </c>
      <c r="AP196" s="75">
        <f t="shared" si="47"/>
        <v>0</v>
      </c>
      <c r="AQ196" s="75">
        <f t="shared" si="47"/>
        <v>0</v>
      </c>
      <c r="AR196" s="75">
        <f t="shared" si="47"/>
        <v>0</v>
      </c>
      <c r="AS196" s="75">
        <f t="shared" si="47"/>
        <v>0</v>
      </c>
      <c r="AT196" s="75">
        <f t="shared" si="47"/>
        <v>0</v>
      </c>
      <c r="AU196" s="75">
        <f t="shared" si="47"/>
        <v>0</v>
      </c>
    </row>
    <row r="197" spans="1:47">
      <c r="A197" s="55"/>
      <c r="B197" s="55"/>
      <c r="C197" s="55"/>
      <c r="D197" s="55"/>
      <c r="E197" s="55"/>
      <c r="F197" s="72"/>
      <c r="G197" s="55"/>
      <c r="H197" s="55"/>
      <c r="I197" s="95">
        <f>J197*SUM(K197:AU197)</f>
        <v>2115200</v>
      </c>
      <c r="J197" s="95">
        <v>13220</v>
      </c>
      <c r="K197" s="95"/>
      <c r="L197" s="97"/>
      <c r="M197" s="55"/>
      <c r="N197" s="56"/>
      <c r="O197">
        <v>160</v>
      </c>
    </row>
    <row r="198" spans="1:47" s="32" customFormat="1">
      <c r="A198" s="76" t="s">
        <v>384</v>
      </c>
      <c r="B198" s="76"/>
      <c r="C198" s="76"/>
      <c r="D198" s="76"/>
      <c r="E198" s="76"/>
      <c r="F198" s="76"/>
      <c r="G198" s="76"/>
      <c r="H198" s="76"/>
      <c r="I198" s="98">
        <f>J198*SUM(K198:AU198)</f>
        <v>0</v>
      </c>
      <c r="J198" s="98"/>
      <c r="K198" s="98"/>
      <c r="L198" s="100"/>
      <c r="M198" s="76"/>
      <c r="N198" s="76"/>
    </row>
    <row r="199" spans="1:47">
      <c r="A199" s="55"/>
      <c r="B199" s="55"/>
      <c r="C199" s="55"/>
      <c r="D199" s="55"/>
      <c r="E199" s="55"/>
      <c r="F199" s="55"/>
      <c r="G199" s="55"/>
      <c r="H199" s="55"/>
      <c r="I199" s="95">
        <f>J199*SUM(K199:AU199)</f>
        <v>0</v>
      </c>
      <c r="J199" s="95"/>
      <c r="K199" s="95"/>
      <c r="L199" s="97"/>
      <c r="M199" s="55"/>
      <c r="N199" s="55"/>
    </row>
    <row r="200" spans="1:47" s="68" customFormat="1" ht="16" thickBot="1">
      <c r="A200" s="77" t="s">
        <v>385</v>
      </c>
      <c r="B200" s="77"/>
      <c r="C200" s="77"/>
      <c r="D200" s="77"/>
      <c r="E200" s="77"/>
      <c r="F200" s="77"/>
      <c r="G200" s="77"/>
      <c r="H200" s="77"/>
      <c r="I200" s="101">
        <f>J200*SUM(K200:AU200)</f>
        <v>0</v>
      </c>
      <c r="J200" s="101"/>
      <c r="K200" s="101"/>
      <c r="L200" s="103"/>
      <c r="M200" s="77"/>
      <c r="N200" s="77"/>
    </row>
    <row r="201" spans="1:47" s="69" customFormat="1" ht="19" thickTop="1" thickBot="1">
      <c r="A201" s="124" t="s">
        <v>762</v>
      </c>
      <c r="B201" s="140"/>
      <c r="C201" s="81">
        <v>18195</v>
      </c>
      <c r="D201" s="82">
        <v>18859</v>
      </c>
      <c r="E201" s="73">
        <f>C201/J202-1</f>
        <v>1.6515276630884035E-3</v>
      </c>
      <c r="F201" s="73">
        <f>C201/D201-1</f>
        <v>-3.5208653693196923E-2</v>
      </c>
      <c r="G201" s="74">
        <f>E201+F201</f>
        <v>-3.3557126030108519E-2</v>
      </c>
      <c r="H201" s="78">
        <f>SUM(K202:AU202)*G201</f>
        <v>-3.3557126030108519</v>
      </c>
      <c r="I201" s="93"/>
      <c r="J201" s="93"/>
      <c r="K201" s="93"/>
      <c r="L201" s="93"/>
      <c r="M201" s="57"/>
      <c r="N201" s="57"/>
    </row>
    <row r="202" spans="1:47" ht="16" thickTop="1">
      <c r="A202" s="55"/>
      <c r="B202" s="55"/>
      <c r="C202" s="72"/>
      <c r="D202" s="72"/>
      <c r="E202" s="72"/>
      <c r="F202" s="72"/>
      <c r="G202" s="55"/>
      <c r="H202" s="55"/>
      <c r="I202" s="95">
        <f>SUM(I203:I207)</f>
        <v>1816500</v>
      </c>
      <c r="J202" s="95">
        <f>SUM(I203:I205)/SUM(K203:AU205)</f>
        <v>18165</v>
      </c>
      <c r="K202" s="95">
        <f t="shared" ref="K202:AU202" si="48">SUM(K203:K207)</f>
        <v>0</v>
      </c>
      <c r="L202" s="95">
        <f t="shared" si="48"/>
        <v>0</v>
      </c>
      <c r="M202" s="75">
        <f t="shared" si="48"/>
        <v>0</v>
      </c>
      <c r="N202" s="75">
        <f t="shared" si="48"/>
        <v>0</v>
      </c>
      <c r="O202" s="75">
        <f t="shared" si="48"/>
        <v>100</v>
      </c>
      <c r="P202" s="75">
        <f t="shared" si="48"/>
        <v>0</v>
      </c>
      <c r="Q202" s="75">
        <f t="shared" si="48"/>
        <v>0</v>
      </c>
      <c r="R202" s="75">
        <f t="shared" si="48"/>
        <v>0</v>
      </c>
      <c r="S202" s="75">
        <f t="shared" si="48"/>
        <v>0</v>
      </c>
      <c r="T202" s="75">
        <f t="shared" si="48"/>
        <v>0</v>
      </c>
      <c r="U202" s="75">
        <f t="shared" si="48"/>
        <v>0</v>
      </c>
      <c r="V202" s="75">
        <f t="shared" si="48"/>
        <v>0</v>
      </c>
      <c r="W202" s="75">
        <f t="shared" si="48"/>
        <v>0</v>
      </c>
      <c r="X202" s="75">
        <f t="shared" si="48"/>
        <v>0</v>
      </c>
      <c r="Y202" s="75">
        <f t="shared" si="48"/>
        <v>0</v>
      </c>
      <c r="Z202" s="75">
        <f t="shared" si="48"/>
        <v>0</v>
      </c>
      <c r="AA202" s="75">
        <f t="shared" si="48"/>
        <v>0</v>
      </c>
      <c r="AB202" s="75">
        <f t="shared" si="48"/>
        <v>0</v>
      </c>
      <c r="AC202" s="75">
        <f t="shared" si="48"/>
        <v>0</v>
      </c>
      <c r="AD202" s="75">
        <f t="shared" si="48"/>
        <v>0</v>
      </c>
      <c r="AE202" s="75">
        <f t="shared" si="48"/>
        <v>0</v>
      </c>
      <c r="AF202" s="75">
        <f t="shared" si="48"/>
        <v>0</v>
      </c>
      <c r="AG202" s="75">
        <f t="shared" si="48"/>
        <v>0</v>
      </c>
      <c r="AH202" s="75">
        <f t="shared" si="48"/>
        <v>0</v>
      </c>
      <c r="AI202" s="75">
        <f t="shared" si="48"/>
        <v>0</v>
      </c>
      <c r="AJ202" s="75">
        <f t="shared" si="48"/>
        <v>0</v>
      </c>
      <c r="AK202" s="75">
        <f t="shared" si="48"/>
        <v>0</v>
      </c>
      <c r="AL202" s="75">
        <f t="shared" si="48"/>
        <v>0</v>
      </c>
      <c r="AM202" s="75">
        <f t="shared" si="48"/>
        <v>0</v>
      </c>
      <c r="AN202" s="75">
        <f t="shared" si="48"/>
        <v>0</v>
      </c>
      <c r="AO202" s="75">
        <f t="shared" si="48"/>
        <v>0</v>
      </c>
      <c r="AP202" s="75">
        <f t="shared" si="48"/>
        <v>0</v>
      </c>
      <c r="AQ202" s="75">
        <f t="shared" si="48"/>
        <v>0</v>
      </c>
      <c r="AR202" s="75">
        <f t="shared" si="48"/>
        <v>0</v>
      </c>
      <c r="AS202" s="75">
        <f t="shared" si="48"/>
        <v>0</v>
      </c>
      <c r="AT202" s="75">
        <f t="shared" si="48"/>
        <v>0</v>
      </c>
      <c r="AU202" s="75">
        <f t="shared" si="48"/>
        <v>0</v>
      </c>
    </row>
    <row r="203" spans="1:47">
      <c r="A203" s="55"/>
      <c r="B203" s="55"/>
      <c r="C203" s="55"/>
      <c r="D203" s="55"/>
      <c r="E203" s="55"/>
      <c r="F203" s="72"/>
      <c r="G203" s="55"/>
      <c r="H203" s="55"/>
      <c r="I203" s="95">
        <f>J203*SUM(K203:AU203)</f>
        <v>908500</v>
      </c>
      <c r="J203" s="95">
        <v>18170</v>
      </c>
      <c r="K203" s="95"/>
      <c r="L203" s="97"/>
      <c r="M203" s="55"/>
      <c r="N203" s="56"/>
      <c r="O203">
        <v>50</v>
      </c>
    </row>
    <row r="204" spans="1:47" s="33" customFormat="1">
      <c r="A204" s="57" t="s">
        <v>384</v>
      </c>
      <c r="B204" s="57"/>
      <c r="C204" s="57"/>
      <c r="D204" s="57"/>
      <c r="E204" s="57"/>
      <c r="F204" s="57"/>
      <c r="G204" s="57"/>
      <c r="H204" s="57"/>
      <c r="I204" s="105">
        <f>J204*SUM(K204:AU204)</f>
        <v>908000</v>
      </c>
      <c r="J204" s="105">
        <v>18160</v>
      </c>
      <c r="K204" s="105"/>
      <c r="L204" s="93"/>
      <c r="M204" s="57"/>
      <c r="N204" s="57"/>
      <c r="O204" s="33">
        <v>50</v>
      </c>
    </row>
    <row r="205" spans="1:47" s="32" customFormat="1">
      <c r="A205" s="76" t="s">
        <v>384</v>
      </c>
      <c r="B205" s="76"/>
      <c r="C205" s="76"/>
      <c r="D205" s="76"/>
      <c r="E205" s="76"/>
      <c r="F205" s="76"/>
      <c r="G205" s="76"/>
      <c r="H205" s="76"/>
      <c r="I205" s="98">
        <f>J205*SUM(K205:AU205)</f>
        <v>0</v>
      </c>
      <c r="J205" s="98"/>
      <c r="K205" s="98"/>
      <c r="L205" s="100"/>
      <c r="M205" s="76"/>
      <c r="N205" s="76"/>
    </row>
    <row r="206" spans="1:47">
      <c r="A206" s="55"/>
      <c r="B206" s="55"/>
      <c r="C206" s="55"/>
      <c r="D206" s="55"/>
      <c r="E206" s="55"/>
      <c r="F206" s="55"/>
      <c r="G206" s="55"/>
      <c r="H206" s="55"/>
      <c r="I206" s="95">
        <f>J206*SUM(K206:AU206)</f>
        <v>0</v>
      </c>
      <c r="J206" s="95"/>
      <c r="K206" s="95"/>
      <c r="L206" s="97"/>
      <c r="M206" s="55"/>
      <c r="N206" s="55"/>
    </row>
    <row r="207" spans="1:47" s="68" customFormat="1" ht="16" thickBot="1">
      <c r="A207" s="77" t="s">
        <v>385</v>
      </c>
      <c r="B207" s="77"/>
      <c r="C207" s="77"/>
      <c r="D207" s="77"/>
      <c r="E207" s="77"/>
      <c r="F207" s="77"/>
      <c r="G207" s="77"/>
      <c r="H207" s="77"/>
      <c r="I207" s="101">
        <f>J207*SUM(K207:AU207)</f>
        <v>0</v>
      </c>
      <c r="J207" s="101"/>
      <c r="K207" s="101"/>
      <c r="L207" s="103"/>
      <c r="M207" s="77"/>
      <c r="N207" s="77"/>
    </row>
    <row r="208" spans="1:47" s="69" customFormat="1" ht="19" thickTop="1" thickBot="1">
      <c r="A208" s="124" t="s">
        <v>763</v>
      </c>
      <c r="B208" s="140"/>
      <c r="C208" s="81">
        <v>30900</v>
      </c>
      <c r="D208" s="82">
        <v>29066</v>
      </c>
      <c r="E208" s="73">
        <f>C208/J209-1</f>
        <v>8.4210526315789513E-2</v>
      </c>
      <c r="F208" s="73">
        <f>C208/D208-1</f>
        <v>6.3097777471960326E-2</v>
      </c>
      <c r="G208" s="74">
        <f>E208+F208</f>
        <v>0.14730830378774984</v>
      </c>
      <c r="H208" s="78">
        <f>SUM(K209:AU209)*G208</f>
        <v>7.365415189387492</v>
      </c>
      <c r="I208" s="93"/>
      <c r="J208" s="93"/>
      <c r="K208" s="93"/>
      <c r="L208" s="93"/>
      <c r="M208" s="57"/>
      <c r="N208" s="57"/>
    </row>
    <row r="209" spans="1:47" ht="16" thickTop="1">
      <c r="A209" s="55"/>
      <c r="B209" s="55"/>
      <c r="C209" s="72"/>
      <c r="D209" s="72"/>
      <c r="E209" s="72"/>
      <c r="F209" s="72"/>
      <c r="G209" s="55"/>
      <c r="H209" s="55"/>
      <c r="I209" s="95">
        <f>SUM(I210:I213)</f>
        <v>1425000</v>
      </c>
      <c r="J209" s="95">
        <f>SUM(I210:I211)/SUM(K210:AU211)</f>
        <v>28500</v>
      </c>
      <c r="K209" s="95">
        <f t="shared" ref="K209:AU209" si="49">SUM(K210:K213)</f>
        <v>0</v>
      </c>
      <c r="L209" s="95">
        <f t="shared" si="49"/>
        <v>0</v>
      </c>
      <c r="M209" s="75">
        <f t="shared" si="49"/>
        <v>0</v>
      </c>
      <c r="N209" s="75">
        <f t="shared" si="49"/>
        <v>0</v>
      </c>
      <c r="O209" s="75">
        <f t="shared" si="49"/>
        <v>50</v>
      </c>
      <c r="P209" s="75">
        <f t="shared" si="49"/>
        <v>0</v>
      </c>
      <c r="Q209" s="75">
        <f t="shared" si="49"/>
        <v>0</v>
      </c>
      <c r="R209" s="75">
        <f t="shared" si="49"/>
        <v>0</v>
      </c>
      <c r="S209" s="75">
        <f t="shared" si="49"/>
        <v>0</v>
      </c>
      <c r="T209" s="75">
        <f t="shared" si="49"/>
        <v>0</v>
      </c>
      <c r="U209" s="75">
        <f t="shared" si="49"/>
        <v>0</v>
      </c>
      <c r="V209" s="75">
        <f t="shared" si="49"/>
        <v>0</v>
      </c>
      <c r="W209" s="75">
        <f t="shared" si="49"/>
        <v>0</v>
      </c>
      <c r="X209" s="75">
        <f t="shared" si="49"/>
        <v>0</v>
      </c>
      <c r="Y209" s="75">
        <f t="shared" si="49"/>
        <v>0</v>
      </c>
      <c r="Z209" s="75">
        <f t="shared" si="49"/>
        <v>0</v>
      </c>
      <c r="AA209" s="75">
        <f t="shared" si="49"/>
        <v>0</v>
      </c>
      <c r="AB209" s="75">
        <f t="shared" si="49"/>
        <v>0</v>
      </c>
      <c r="AC209" s="75">
        <f t="shared" si="49"/>
        <v>0</v>
      </c>
      <c r="AD209" s="75">
        <f t="shared" si="49"/>
        <v>0</v>
      </c>
      <c r="AE209" s="75">
        <f t="shared" si="49"/>
        <v>0</v>
      </c>
      <c r="AF209" s="75">
        <f t="shared" si="49"/>
        <v>0</v>
      </c>
      <c r="AG209" s="75">
        <f t="shared" si="49"/>
        <v>0</v>
      </c>
      <c r="AH209" s="75">
        <f t="shared" si="49"/>
        <v>0</v>
      </c>
      <c r="AI209" s="75">
        <f t="shared" si="49"/>
        <v>0</v>
      </c>
      <c r="AJ209" s="75">
        <f t="shared" si="49"/>
        <v>0</v>
      </c>
      <c r="AK209" s="75">
        <f t="shared" si="49"/>
        <v>0</v>
      </c>
      <c r="AL209" s="75">
        <f t="shared" si="49"/>
        <v>0</v>
      </c>
      <c r="AM209" s="75">
        <f t="shared" si="49"/>
        <v>0</v>
      </c>
      <c r="AN209" s="75">
        <f t="shared" si="49"/>
        <v>0</v>
      </c>
      <c r="AO209" s="75">
        <f t="shared" si="49"/>
        <v>0</v>
      </c>
      <c r="AP209" s="75">
        <f t="shared" si="49"/>
        <v>0</v>
      </c>
      <c r="AQ209" s="75">
        <f t="shared" si="49"/>
        <v>0</v>
      </c>
      <c r="AR209" s="75">
        <f t="shared" si="49"/>
        <v>0</v>
      </c>
      <c r="AS209" s="75">
        <f t="shared" si="49"/>
        <v>0</v>
      </c>
      <c r="AT209" s="75">
        <f t="shared" si="49"/>
        <v>0</v>
      </c>
      <c r="AU209" s="75">
        <f t="shared" si="49"/>
        <v>0</v>
      </c>
    </row>
    <row r="210" spans="1:47">
      <c r="A210" s="55"/>
      <c r="B210" s="55"/>
      <c r="C210" s="55"/>
      <c r="D210" s="55"/>
      <c r="E210" s="55"/>
      <c r="F210" s="72"/>
      <c r="G210" s="55"/>
      <c r="H210" s="55"/>
      <c r="I210" s="95">
        <f>J210*SUM(K210:AU210)</f>
        <v>1425000</v>
      </c>
      <c r="J210" s="95">
        <v>28500</v>
      </c>
      <c r="K210" s="95"/>
      <c r="L210" s="97"/>
      <c r="M210" s="55"/>
      <c r="N210" s="56"/>
      <c r="O210">
        <v>50</v>
      </c>
    </row>
    <row r="211" spans="1:47" s="32" customFormat="1">
      <c r="A211" s="76" t="s">
        <v>384</v>
      </c>
      <c r="B211" s="76"/>
      <c r="C211" s="76"/>
      <c r="D211" s="76"/>
      <c r="E211" s="76"/>
      <c r="F211" s="76"/>
      <c r="G211" s="76"/>
      <c r="H211" s="76"/>
      <c r="I211" s="98">
        <f>J211*SUM(K211:AU211)</f>
        <v>0</v>
      </c>
      <c r="J211" s="98"/>
      <c r="K211" s="98"/>
      <c r="L211" s="100"/>
      <c r="M211" s="76"/>
      <c r="N211" s="76"/>
    </row>
    <row r="212" spans="1:47">
      <c r="A212" s="55"/>
      <c r="B212" s="55"/>
      <c r="C212" s="55"/>
      <c r="D212" s="55"/>
      <c r="E212" s="55"/>
      <c r="F212" s="55"/>
      <c r="G212" s="55"/>
      <c r="H212" s="55"/>
      <c r="I212" s="95">
        <f>J212*SUM(K212:AU212)</f>
        <v>0</v>
      </c>
      <c r="J212" s="95"/>
      <c r="K212" s="95"/>
      <c r="L212" s="97"/>
      <c r="M212" s="55"/>
      <c r="N212" s="55"/>
    </row>
    <row r="213" spans="1:47" s="68" customFormat="1" ht="16" thickBot="1">
      <c r="A213" s="77" t="s">
        <v>385</v>
      </c>
      <c r="B213" s="77"/>
      <c r="C213" s="77"/>
      <c r="D213" s="77"/>
      <c r="E213" s="77"/>
      <c r="F213" s="77"/>
      <c r="G213" s="77"/>
      <c r="H213" s="77"/>
      <c r="I213" s="101">
        <f>J213*SUM(K213:AU213)</f>
        <v>0</v>
      </c>
      <c r="J213" s="101"/>
      <c r="K213" s="101"/>
      <c r="L213" s="103"/>
      <c r="M213" s="77"/>
      <c r="N213" s="77"/>
    </row>
    <row r="214" spans="1:47" s="69" customFormat="1" ht="17" thickTop="1" thickBot="1">
      <c r="A214" s="79" t="s">
        <v>372</v>
      </c>
      <c r="B214" s="80" t="s">
        <v>401</v>
      </c>
      <c r="C214" s="81">
        <v>30150</v>
      </c>
      <c r="D214" s="82">
        <v>29303</v>
      </c>
      <c r="E214" s="73" t="e">
        <f>C214/J215-1</f>
        <v>#DIV/0!</v>
      </c>
      <c r="F214" s="73">
        <f>C214/D214-1</f>
        <v>2.8904890284271234E-2</v>
      </c>
      <c r="G214" s="74" t="e">
        <f>E214+F214</f>
        <v>#DIV/0!</v>
      </c>
      <c r="H214" s="78" t="e">
        <f>SUM(K215:AU215)*G214</f>
        <v>#DIV/0!</v>
      </c>
      <c r="I214" s="93"/>
      <c r="J214" s="93"/>
      <c r="K214" s="93"/>
      <c r="L214" s="93"/>
      <c r="M214" s="57"/>
      <c r="N214" s="57"/>
    </row>
    <row r="215" spans="1:47" ht="16" thickTop="1">
      <c r="A215" s="55"/>
      <c r="B215" s="55"/>
      <c r="C215" s="72"/>
      <c r="D215" s="72"/>
      <c r="E215" s="72"/>
      <c r="F215" s="72"/>
      <c r="G215" s="55"/>
      <c r="H215" s="55"/>
      <c r="I215" s="95">
        <f>SUM(I216:I218)</f>
        <v>0</v>
      </c>
      <c r="J215" s="95" t="e">
        <f>SUM(I216:I217)/SUM(K216:AU217)</f>
        <v>#DIV/0!</v>
      </c>
      <c r="K215" s="95">
        <f t="shared" ref="K215:AU215" si="50">SUM(K216:K218)</f>
        <v>0</v>
      </c>
      <c r="L215" s="95">
        <f t="shared" si="50"/>
        <v>0</v>
      </c>
      <c r="M215" s="75">
        <f t="shared" si="50"/>
        <v>0</v>
      </c>
      <c r="N215" s="75">
        <f t="shared" si="50"/>
        <v>0</v>
      </c>
      <c r="O215" s="75">
        <f t="shared" si="50"/>
        <v>0</v>
      </c>
      <c r="P215" s="75">
        <f t="shared" si="50"/>
        <v>0</v>
      </c>
      <c r="Q215" s="75">
        <f t="shared" si="50"/>
        <v>0</v>
      </c>
      <c r="R215" s="75">
        <f t="shared" si="50"/>
        <v>0</v>
      </c>
      <c r="S215" s="75">
        <f t="shared" si="50"/>
        <v>0</v>
      </c>
      <c r="T215" s="75">
        <f t="shared" si="50"/>
        <v>0</v>
      </c>
      <c r="U215" s="75">
        <f t="shared" si="50"/>
        <v>0</v>
      </c>
      <c r="V215" s="75">
        <f t="shared" si="50"/>
        <v>0</v>
      </c>
      <c r="W215" s="75">
        <f t="shared" si="50"/>
        <v>0</v>
      </c>
      <c r="X215" s="75">
        <f t="shared" si="50"/>
        <v>0</v>
      </c>
      <c r="Y215" s="75">
        <f t="shared" si="50"/>
        <v>0</v>
      </c>
      <c r="Z215" s="75">
        <f t="shared" si="50"/>
        <v>0</v>
      </c>
      <c r="AA215" s="75">
        <f t="shared" si="50"/>
        <v>0</v>
      </c>
      <c r="AB215" s="75">
        <f t="shared" si="50"/>
        <v>0</v>
      </c>
      <c r="AC215" s="75">
        <f t="shared" si="50"/>
        <v>0</v>
      </c>
      <c r="AD215" s="75">
        <f t="shared" si="50"/>
        <v>0</v>
      </c>
      <c r="AE215" s="75">
        <f t="shared" si="50"/>
        <v>0</v>
      </c>
      <c r="AF215" s="75">
        <f t="shared" si="50"/>
        <v>0</v>
      </c>
      <c r="AG215" s="75">
        <f t="shared" si="50"/>
        <v>0</v>
      </c>
      <c r="AH215" s="75">
        <f t="shared" si="50"/>
        <v>0</v>
      </c>
      <c r="AI215" s="75">
        <f t="shared" si="50"/>
        <v>0</v>
      </c>
      <c r="AJ215" s="75">
        <f t="shared" si="50"/>
        <v>0</v>
      </c>
      <c r="AK215" s="75">
        <f t="shared" si="50"/>
        <v>0</v>
      </c>
      <c r="AL215" s="75">
        <f t="shared" si="50"/>
        <v>0</v>
      </c>
      <c r="AM215" s="75">
        <f t="shared" si="50"/>
        <v>0</v>
      </c>
      <c r="AN215" s="75">
        <f t="shared" si="50"/>
        <v>0</v>
      </c>
      <c r="AO215" s="75">
        <f t="shared" si="50"/>
        <v>0</v>
      </c>
      <c r="AP215" s="75">
        <f t="shared" si="50"/>
        <v>0</v>
      </c>
      <c r="AQ215" s="75">
        <f t="shared" si="50"/>
        <v>0</v>
      </c>
      <c r="AR215" s="75">
        <f t="shared" si="50"/>
        <v>0</v>
      </c>
      <c r="AS215" s="75">
        <f t="shared" si="50"/>
        <v>0</v>
      </c>
      <c r="AT215" s="75">
        <f t="shared" si="50"/>
        <v>0</v>
      </c>
      <c r="AU215" s="75">
        <f t="shared" si="50"/>
        <v>0</v>
      </c>
    </row>
    <row r="216" spans="1:47">
      <c r="A216" s="55"/>
      <c r="B216" s="55"/>
      <c r="C216" s="55"/>
      <c r="D216" s="55"/>
      <c r="E216" s="55"/>
      <c r="F216" s="55"/>
      <c r="G216" s="55"/>
      <c r="H216" s="55"/>
      <c r="I216" s="95"/>
      <c r="J216" s="95"/>
      <c r="K216" s="95"/>
      <c r="L216" s="97"/>
      <c r="M216" s="55"/>
      <c r="N216" s="55"/>
    </row>
    <row r="217" spans="1:47" s="32" customFormat="1">
      <c r="A217" s="76" t="s">
        <v>384</v>
      </c>
      <c r="B217" s="76"/>
      <c r="C217" s="76"/>
      <c r="D217" s="76"/>
      <c r="E217" s="76"/>
      <c r="F217" s="76"/>
      <c r="G217" s="76"/>
      <c r="H217" s="76"/>
      <c r="I217" s="98">
        <f t="shared" ref="I217:I218" si="51">J217*SUM(K217:AU217)</f>
        <v>0</v>
      </c>
      <c r="J217" s="98"/>
      <c r="K217" s="98"/>
      <c r="L217" s="100"/>
      <c r="M217" s="76"/>
      <c r="N217" s="76"/>
    </row>
    <row r="218" spans="1:47" s="68" customFormat="1" ht="16" thickBot="1">
      <c r="A218" s="77" t="s">
        <v>385</v>
      </c>
      <c r="B218" s="77"/>
      <c r="C218" s="77"/>
      <c r="D218" s="77"/>
      <c r="E218" s="77"/>
      <c r="F218" s="77"/>
      <c r="G218" s="77"/>
      <c r="H218" s="77"/>
      <c r="I218" s="101">
        <f t="shared" si="51"/>
        <v>0</v>
      </c>
      <c r="J218" s="101"/>
      <c r="K218" s="101"/>
      <c r="L218" s="103"/>
      <c r="M218" s="77"/>
      <c r="N218" s="77"/>
    </row>
    <row r="219" spans="1:47" s="69" customFormat="1" ht="19" thickTop="1" thickBot="1">
      <c r="A219" s="79" t="s">
        <v>517</v>
      </c>
      <c r="B219" s="140" t="s">
        <v>539</v>
      </c>
      <c r="C219" s="81">
        <v>87000</v>
      </c>
      <c r="D219" s="82">
        <v>97326</v>
      </c>
      <c r="E219" s="73" t="e">
        <f>C219/J220-1</f>
        <v>#DIV/0!</v>
      </c>
      <c r="F219" s="73">
        <f>C219/D219-1</f>
        <v>-0.1060970347080944</v>
      </c>
      <c r="G219" s="74" t="e">
        <f>E219+F219</f>
        <v>#DIV/0!</v>
      </c>
      <c r="H219" s="78" t="e">
        <f>SUM(K220:AU220)*G219</f>
        <v>#DIV/0!</v>
      </c>
      <c r="I219" s="93"/>
      <c r="J219" s="93"/>
      <c r="K219" s="93"/>
      <c r="L219" s="93"/>
      <c r="M219" s="57"/>
      <c r="N219" s="57"/>
    </row>
    <row r="220" spans="1:47" ht="16" thickTop="1">
      <c r="A220" s="55"/>
      <c r="B220" s="55"/>
      <c r="C220" s="72"/>
      <c r="D220" s="72"/>
      <c r="E220" s="72"/>
      <c r="F220" s="72"/>
      <c r="G220" s="55"/>
      <c r="H220" s="55"/>
      <c r="I220" s="95">
        <f>SUM(I221:I223)</f>
        <v>0</v>
      </c>
      <c r="J220" s="95" t="e">
        <f>SUM(I221:I222)/SUM(K221:AU222)</f>
        <v>#DIV/0!</v>
      </c>
      <c r="K220" s="95">
        <f t="shared" ref="K220:AU220" si="52">SUM(K221:K223)</f>
        <v>0</v>
      </c>
      <c r="L220" s="95">
        <f t="shared" si="52"/>
        <v>0</v>
      </c>
      <c r="M220" s="75">
        <f t="shared" si="52"/>
        <v>0</v>
      </c>
      <c r="N220" s="75">
        <f t="shared" si="52"/>
        <v>0</v>
      </c>
      <c r="O220" s="75">
        <f t="shared" si="52"/>
        <v>0</v>
      </c>
      <c r="P220" s="75">
        <f t="shared" si="52"/>
        <v>0</v>
      </c>
      <c r="Q220" s="75">
        <f t="shared" si="52"/>
        <v>0</v>
      </c>
      <c r="R220" s="75">
        <f t="shared" si="52"/>
        <v>0</v>
      </c>
      <c r="S220" s="75">
        <f t="shared" si="52"/>
        <v>0</v>
      </c>
      <c r="T220" s="75">
        <f t="shared" si="52"/>
        <v>0</v>
      </c>
      <c r="U220" s="75">
        <f t="shared" si="52"/>
        <v>0</v>
      </c>
      <c r="V220" s="75">
        <f t="shared" si="52"/>
        <v>0</v>
      </c>
      <c r="W220" s="75">
        <f t="shared" si="52"/>
        <v>0</v>
      </c>
      <c r="X220" s="75">
        <f t="shared" si="52"/>
        <v>0</v>
      </c>
      <c r="Y220" s="75">
        <f t="shared" si="52"/>
        <v>0</v>
      </c>
      <c r="Z220" s="75">
        <f t="shared" si="52"/>
        <v>0</v>
      </c>
      <c r="AA220" s="75">
        <f t="shared" si="52"/>
        <v>0</v>
      </c>
      <c r="AB220" s="75">
        <f t="shared" si="52"/>
        <v>0</v>
      </c>
      <c r="AC220" s="75">
        <f t="shared" si="52"/>
        <v>0</v>
      </c>
      <c r="AD220" s="75">
        <f t="shared" si="52"/>
        <v>0</v>
      </c>
      <c r="AE220" s="75">
        <f t="shared" si="52"/>
        <v>0</v>
      </c>
      <c r="AF220" s="75">
        <f t="shared" si="52"/>
        <v>0</v>
      </c>
      <c r="AG220" s="75">
        <f t="shared" si="52"/>
        <v>0</v>
      </c>
      <c r="AH220" s="75">
        <f t="shared" si="52"/>
        <v>0</v>
      </c>
      <c r="AI220" s="75">
        <f t="shared" si="52"/>
        <v>0</v>
      </c>
      <c r="AJ220" s="75">
        <f t="shared" si="52"/>
        <v>0</v>
      </c>
      <c r="AK220" s="75">
        <f t="shared" si="52"/>
        <v>0</v>
      </c>
      <c r="AL220" s="75">
        <f t="shared" si="52"/>
        <v>0</v>
      </c>
      <c r="AM220" s="75">
        <f t="shared" si="52"/>
        <v>0</v>
      </c>
      <c r="AN220" s="75">
        <f t="shared" si="52"/>
        <v>0</v>
      </c>
      <c r="AO220" s="75">
        <f t="shared" si="52"/>
        <v>0</v>
      </c>
      <c r="AP220" s="75">
        <f t="shared" si="52"/>
        <v>0</v>
      </c>
      <c r="AQ220" s="75">
        <f t="shared" si="52"/>
        <v>0</v>
      </c>
      <c r="AR220" s="75">
        <f t="shared" si="52"/>
        <v>0</v>
      </c>
      <c r="AS220" s="75">
        <f t="shared" si="52"/>
        <v>0</v>
      </c>
      <c r="AT220" s="75">
        <f t="shared" si="52"/>
        <v>0</v>
      </c>
      <c r="AU220" s="75">
        <f t="shared" si="52"/>
        <v>0</v>
      </c>
    </row>
    <row r="221" spans="1:47">
      <c r="A221" s="55"/>
      <c r="B221" s="55"/>
      <c r="C221" s="55"/>
      <c r="D221" s="55"/>
      <c r="E221" s="55"/>
      <c r="G221" s="55"/>
      <c r="H221" s="55"/>
      <c r="I221" s="95"/>
      <c r="J221" s="95"/>
      <c r="K221" s="95"/>
      <c r="L221" s="97"/>
      <c r="M221" s="56"/>
      <c r="N221" s="55"/>
    </row>
    <row r="222" spans="1:47" s="32" customFormat="1">
      <c r="A222" s="76" t="s">
        <v>384</v>
      </c>
      <c r="B222" s="76"/>
      <c r="C222" s="76"/>
      <c r="D222" s="76"/>
      <c r="E222" s="76"/>
      <c r="F222" s="76"/>
      <c r="G222" s="76"/>
      <c r="H222" s="76"/>
      <c r="I222" s="98">
        <f t="shared" ref="I222" si="53">J222*SUM(K222:AU222)</f>
        <v>0</v>
      </c>
      <c r="J222" s="98"/>
      <c r="K222" s="98"/>
      <c r="L222" s="100"/>
      <c r="M222" s="76"/>
      <c r="N222" s="76"/>
    </row>
    <row r="223" spans="1:47" s="68" customFormat="1" ht="16" thickBot="1">
      <c r="A223" s="77" t="s">
        <v>385</v>
      </c>
      <c r="B223" s="77"/>
      <c r="C223" s="77"/>
      <c r="D223" s="77"/>
      <c r="E223" s="77"/>
      <c r="F223" s="77"/>
      <c r="G223" s="77"/>
      <c r="H223" s="77"/>
      <c r="I223" s="101">
        <f>J223*SUM(K223:AU223)</f>
        <v>0</v>
      </c>
      <c r="J223" s="101"/>
      <c r="K223" s="101"/>
      <c r="L223" s="103"/>
      <c r="M223" s="77"/>
      <c r="N223" s="77"/>
    </row>
    <row r="224" spans="1:47" s="69" customFormat="1" ht="17" thickTop="1" thickBot="1">
      <c r="A224" s="79" t="s">
        <v>496</v>
      </c>
      <c r="B224" s="80" t="s">
        <v>497</v>
      </c>
      <c r="C224" s="81">
        <v>9120</v>
      </c>
      <c r="D224" s="82">
        <v>10186</v>
      </c>
      <c r="E224" s="73" t="e">
        <f>C224/J225-1</f>
        <v>#DIV/0!</v>
      </c>
      <c r="F224" s="73">
        <f>C224/D224-1</f>
        <v>-0.10465344590614567</v>
      </c>
      <c r="G224" s="74" t="e">
        <f>E224+F224</f>
        <v>#DIV/0!</v>
      </c>
      <c r="H224" s="78" t="e">
        <f>SUM(K225:AU225)*G224</f>
        <v>#DIV/0!</v>
      </c>
      <c r="I224" s="93"/>
      <c r="J224" s="93"/>
      <c r="K224" s="93"/>
      <c r="L224" s="93"/>
      <c r="M224" s="57"/>
      <c r="N224" s="57"/>
    </row>
    <row r="225" spans="1:47" ht="16" thickTop="1">
      <c r="B225" s="55"/>
      <c r="C225" s="72"/>
      <c r="D225" s="72"/>
      <c r="E225" s="72"/>
      <c r="F225" s="72"/>
      <c r="G225" s="55"/>
      <c r="H225" s="55"/>
      <c r="I225" s="95">
        <f>SUM(I226:I229)</f>
        <v>0</v>
      </c>
      <c r="J225" s="95" t="e">
        <f>SUM(I226:I227)/SUM(K226:AU227)</f>
        <v>#DIV/0!</v>
      </c>
      <c r="K225" s="95">
        <f t="shared" ref="K225:AU225" si="54">SUM(K226:K229)</f>
        <v>0</v>
      </c>
      <c r="L225" s="95">
        <f t="shared" si="54"/>
        <v>0</v>
      </c>
      <c r="M225" s="75">
        <f t="shared" si="54"/>
        <v>0</v>
      </c>
      <c r="N225" s="75">
        <f t="shared" si="54"/>
        <v>0</v>
      </c>
      <c r="O225" s="75">
        <f t="shared" si="54"/>
        <v>0</v>
      </c>
      <c r="P225" s="75">
        <f t="shared" si="54"/>
        <v>0</v>
      </c>
      <c r="Q225" s="75">
        <f t="shared" si="54"/>
        <v>0</v>
      </c>
      <c r="R225" s="75">
        <f t="shared" si="54"/>
        <v>0</v>
      </c>
      <c r="S225" s="75">
        <f t="shared" si="54"/>
        <v>0</v>
      </c>
      <c r="T225" s="75">
        <f t="shared" si="54"/>
        <v>0</v>
      </c>
      <c r="U225" s="75">
        <f t="shared" si="54"/>
        <v>0</v>
      </c>
      <c r="V225" s="75">
        <f t="shared" si="54"/>
        <v>0</v>
      </c>
      <c r="W225" s="75">
        <f t="shared" si="54"/>
        <v>0</v>
      </c>
      <c r="X225" s="75">
        <f t="shared" si="54"/>
        <v>0</v>
      </c>
      <c r="Y225" s="75">
        <f t="shared" si="54"/>
        <v>0</v>
      </c>
      <c r="Z225" s="75">
        <f t="shared" si="54"/>
        <v>0</v>
      </c>
      <c r="AA225" s="75">
        <f t="shared" si="54"/>
        <v>0</v>
      </c>
      <c r="AB225" s="75">
        <f t="shared" si="54"/>
        <v>0</v>
      </c>
      <c r="AC225" s="75">
        <f t="shared" si="54"/>
        <v>0</v>
      </c>
      <c r="AD225" s="75">
        <f t="shared" si="54"/>
        <v>0</v>
      </c>
      <c r="AE225" s="75">
        <f t="shared" si="54"/>
        <v>0</v>
      </c>
      <c r="AF225" s="75">
        <f t="shared" si="54"/>
        <v>0</v>
      </c>
      <c r="AG225" s="75">
        <f t="shared" si="54"/>
        <v>0</v>
      </c>
      <c r="AH225" s="75">
        <f t="shared" si="54"/>
        <v>0</v>
      </c>
      <c r="AI225" s="75">
        <f t="shared" si="54"/>
        <v>0</v>
      </c>
      <c r="AJ225" s="75">
        <f t="shared" si="54"/>
        <v>0</v>
      </c>
      <c r="AK225" s="75">
        <f t="shared" si="54"/>
        <v>0</v>
      </c>
      <c r="AL225" s="75">
        <f t="shared" si="54"/>
        <v>0</v>
      </c>
      <c r="AM225" s="75">
        <f t="shared" si="54"/>
        <v>0</v>
      </c>
      <c r="AN225" s="75">
        <f t="shared" si="54"/>
        <v>0</v>
      </c>
      <c r="AO225" s="75">
        <f t="shared" si="54"/>
        <v>0</v>
      </c>
      <c r="AP225" s="75">
        <f t="shared" si="54"/>
        <v>0</v>
      </c>
      <c r="AQ225" s="75">
        <f t="shared" si="54"/>
        <v>0</v>
      </c>
      <c r="AR225" s="75">
        <f t="shared" si="54"/>
        <v>0</v>
      </c>
      <c r="AS225" s="75">
        <f t="shared" si="54"/>
        <v>0</v>
      </c>
      <c r="AT225" s="75">
        <f t="shared" si="54"/>
        <v>0</v>
      </c>
      <c r="AU225" s="75">
        <f t="shared" si="54"/>
        <v>0</v>
      </c>
    </row>
    <row r="226" spans="1:47">
      <c r="A226" s="55"/>
      <c r="B226" s="55"/>
      <c r="C226" s="55"/>
      <c r="D226" s="55"/>
      <c r="E226" s="55"/>
      <c r="F226" s="72"/>
      <c r="G226" s="55"/>
      <c r="H226" s="55"/>
      <c r="I226" s="95">
        <f>J226*SUM(K226:AU226)</f>
        <v>0</v>
      </c>
      <c r="J226" s="95"/>
      <c r="K226" s="95"/>
      <c r="L226" s="97"/>
      <c r="M226" s="55"/>
      <c r="N226" s="56"/>
    </row>
    <row r="227" spans="1:47" s="32" customFormat="1">
      <c r="A227" s="76" t="s">
        <v>384</v>
      </c>
      <c r="B227" s="76"/>
      <c r="C227" s="76"/>
      <c r="D227" s="76"/>
      <c r="E227" s="76"/>
      <c r="F227" s="76"/>
      <c r="G227" s="76"/>
      <c r="H227" s="76"/>
      <c r="I227" s="98">
        <f>J227*SUM(K227:AU227)</f>
        <v>0</v>
      </c>
      <c r="J227" s="98"/>
      <c r="K227" s="98"/>
      <c r="L227" s="100"/>
      <c r="M227" s="76"/>
      <c r="N227" s="76"/>
    </row>
    <row r="228" spans="1:47">
      <c r="A228" s="55"/>
      <c r="B228" s="55"/>
      <c r="C228" s="55"/>
      <c r="D228" s="55"/>
      <c r="E228" s="55"/>
      <c r="F228" s="55"/>
      <c r="G228" s="55"/>
      <c r="H228" s="55"/>
      <c r="I228" s="95">
        <f>J228*SUM(K228:AU228)</f>
        <v>0</v>
      </c>
      <c r="J228" s="95"/>
      <c r="K228" s="95"/>
      <c r="L228" s="97"/>
      <c r="M228" s="55"/>
      <c r="N228" s="55"/>
    </row>
    <row r="229" spans="1:47" s="68" customFormat="1" ht="16" thickBot="1">
      <c r="A229" s="77" t="s">
        <v>385</v>
      </c>
      <c r="B229" s="77"/>
      <c r="C229" s="77"/>
      <c r="D229" s="77"/>
      <c r="E229" s="77"/>
      <c r="F229" s="77"/>
      <c r="G229" s="77"/>
      <c r="H229" s="77"/>
      <c r="I229" s="101">
        <f>J229*SUM(K229:AU229)</f>
        <v>0</v>
      </c>
      <c r="J229" s="101"/>
      <c r="K229" s="101"/>
      <c r="L229" s="103"/>
      <c r="M229" s="77"/>
      <c r="N229" s="77"/>
    </row>
    <row r="230" spans="1:47" s="69" customFormat="1" ht="19" thickTop="1" thickBot="1">
      <c r="A230" s="79" t="s">
        <v>498</v>
      </c>
      <c r="B230" s="139" t="s">
        <v>506</v>
      </c>
      <c r="C230" s="81">
        <v>2400</v>
      </c>
      <c r="D230" s="82">
        <v>2516</v>
      </c>
      <c r="E230" s="73" t="e">
        <f>C230/J231-1</f>
        <v>#DIV/0!</v>
      </c>
      <c r="F230" s="73">
        <f>C230/D230-1</f>
        <v>-4.6104928457869621E-2</v>
      </c>
      <c r="G230" s="74" t="e">
        <f>E230+F230</f>
        <v>#DIV/0!</v>
      </c>
      <c r="H230" s="78" t="e">
        <f>SUM(K231:AU231)*G230</f>
        <v>#DIV/0!</v>
      </c>
      <c r="I230" s="93"/>
      <c r="J230" s="93"/>
      <c r="K230" s="93"/>
      <c r="L230" s="93"/>
      <c r="M230" s="57"/>
      <c r="N230" s="57"/>
    </row>
    <row r="231" spans="1:47" ht="16" thickTop="1">
      <c r="A231" s="55"/>
      <c r="B231" s="55"/>
      <c r="C231" s="72"/>
      <c r="D231" s="72"/>
      <c r="E231" s="72"/>
      <c r="F231" s="72"/>
      <c r="G231" s="55"/>
      <c r="H231" s="55"/>
      <c r="I231" s="95">
        <f>SUM(I232:I235)</f>
        <v>0</v>
      </c>
      <c r="J231" s="95" t="e">
        <f>SUM(I232:I233)/SUM(K232:AU233)</f>
        <v>#DIV/0!</v>
      </c>
      <c r="K231" s="95">
        <f t="shared" ref="K231:AU231" si="55">SUM(K232:K235)</f>
        <v>0</v>
      </c>
      <c r="L231" s="95">
        <f t="shared" si="55"/>
        <v>0</v>
      </c>
      <c r="M231" s="75">
        <f t="shared" si="55"/>
        <v>0</v>
      </c>
      <c r="N231" s="75">
        <f t="shared" si="55"/>
        <v>0</v>
      </c>
      <c r="O231" s="75">
        <f t="shared" si="55"/>
        <v>0</v>
      </c>
      <c r="P231" s="75">
        <f t="shared" si="55"/>
        <v>0</v>
      </c>
      <c r="Q231" s="75">
        <f t="shared" si="55"/>
        <v>0</v>
      </c>
      <c r="R231" s="75">
        <f t="shared" si="55"/>
        <v>0</v>
      </c>
      <c r="S231" s="75">
        <f t="shared" si="55"/>
        <v>0</v>
      </c>
      <c r="T231" s="75">
        <f t="shared" si="55"/>
        <v>0</v>
      </c>
      <c r="U231" s="75">
        <f t="shared" si="55"/>
        <v>0</v>
      </c>
      <c r="V231" s="75">
        <f t="shared" si="55"/>
        <v>0</v>
      </c>
      <c r="W231" s="75">
        <f t="shared" si="55"/>
        <v>0</v>
      </c>
      <c r="X231" s="75">
        <f t="shared" si="55"/>
        <v>0</v>
      </c>
      <c r="Y231" s="75">
        <f t="shared" si="55"/>
        <v>0</v>
      </c>
      <c r="Z231" s="75">
        <f t="shared" si="55"/>
        <v>0</v>
      </c>
      <c r="AA231" s="75">
        <f t="shared" si="55"/>
        <v>0</v>
      </c>
      <c r="AB231" s="75">
        <f t="shared" si="55"/>
        <v>0</v>
      </c>
      <c r="AC231" s="75">
        <f t="shared" si="55"/>
        <v>0</v>
      </c>
      <c r="AD231" s="75">
        <f t="shared" si="55"/>
        <v>0</v>
      </c>
      <c r="AE231" s="75">
        <f t="shared" si="55"/>
        <v>0</v>
      </c>
      <c r="AF231" s="75">
        <f t="shared" si="55"/>
        <v>0</v>
      </c>
      <c r="AG231" s="75">
        <f t="shared" si="55"/>
        <v>0</v>
      </c>
      <c r="AH231" s="75">
        <f t="shared" si="55"/>
        <v>0</v>
      </c>
      <c r="AI231" s="75">
        <f t="shared" si="55"/>
        <v>0</v>
      </c>
      <c r="AJ231" s="75">
        <f t="shared" si="55"/>
        <v>0</v>
      </c>
      <c r="AK231" s="75">
        <f t="shared" si="55"/>
        <v>0</v>
      </c>
      <c r="AL231" s="75">
        <f t="shared" si="55"/>
        <v>0</v>
      </c>
      <c r="AM231" s="75">
        <f t="shared" si="55"/>
        <v>0</v>
      </c>
      <c r="AN231" s="75">
        <f t="shared" si="55"/>
        <v>0</v>
      </c>
      <c r="AO231" s="75">
        <f t="shared" si="55"/>
        <v>0</v>
      </c>
      <c r="AP231" s="75">
        <f t="shared" si="55"/>
        <v>0</v>
      </c>
      <c r="AQ231" s="75">
        <f t="shared" si="55"/>
        <v>0</v>
      </c>
      <c r="AR231" s="75">
        <f t="shared" si="55"/>
        <v>0</v>
      </c>
      <c r="AS231" s="75">
        <f t="shared" si="55"/>
        <v>0</v>
      </c>
      <c r="AT231" s="75">
        <f t="shared" si="55"/>
        <v>0</v>
      </c>
      <c r="AU231" s="75">
        <f t="shared" si="55"/>
        <v>0</v>
      </c>
    </row>
    <row r="232" spans="1:47">
      <c r="A232" s="55"/>
      <c r="B232" s="55"/>
      <c r="C232" s="55"/>
      <c r="D232" s="55"/>
      <c r="E232" s="55"/>
      <c r="F232" s="72"/>
      <c r="G232" s="55"/>
      <c r="H232" s="55"/>
      <c r="I232" s="95">
        <f>J232*SUM(K232:AU232)</f>
        <v>0</v>
      </c>
      <c r="J232" s="95"/>
      <c r="K232" s="95"/>
      <c r="L232" s="97"/>
      <c r="M232" s="55"/>
      <c r="N232" s="55"/>
    </row>
    <row r="233" spans="1:47" s="32" customFormat="1">
      <c r="A233" s="76" t="s">
        <v>384</v>
      </c>
      <c r="B233" s="76"/>
      <c r="C233" s="76"/>
      <c r="D233" s="76"/>
      <c r="E233" s="76"/>
      <c r="F233" s="76"/>
      <c r="G233" s="76"/>
      <c r="H233" s="76"/>
      <c r="I233" s="98">
        <f>J233*SUM(K233:AU233)</f>
        <v>0</v>
      </c>
      <c r="J233" s="98"/>
      <c r="K233" s="98"/>
      <c r="L233" s="100"/>
      <c r="M233" s="76"/>
      <c r="N233" s="76"/>
    </row>
    <row r="234" spans="1:47">
      <c r="A234" s="55"/>
      <c r="B234" s="55"/>
      <c r="C234" s="55"/>
      <c r="D234" s="55"/>
      <c r="E234" s="55"/>
      <c r="F234" s="55"/>
      <c r="G234" s="55"/>
      <c r="H234" s="55"/>
      <c r="I234" s="95">
        <f>J234*SUM(K234:AU234)</f>
        <v>0</v>
      </c>
      <c r="J234" s="95"/>
      <c r="K234" s="95"/>
      <c r="L234" s="97"/>
      <c r="M234" s="55"/>
      <c r="N234" s="55"/>
    </row>
    <row r="235" spans="1:47" s="68" customFormat="1">
      <c r="A235" s="77" t="s">
        <v>385</v>
      </c>
      <c r="B235" s="77"/>
      <c r="C235" s="77"/>
      <c r="D235" s="77"/>
      <c r="E235" s="77"/>
      <c r="F235" s="77"/>
      <c r="G235" s="77"/>
      <c r="H235" s="77"/>
      <c r="I235" s="101">
        <f>J235*SUM(K235:AU235)</f>
        <v>0</v>
      </c>
      <c r="J235" s="101"/>
      <c r="K235" s="101"/>
      <c r="L235" s="103"/>
      <c r="M235" s="77"/>
      <c r="N235" s="77"/>
    </row>
    <row r="236" spans="1:47" s="33" customFormat="1">
      <c r="A236" s="57"/>
      <c r="B236" s="57"/>
      <c r="C236" s="57"/>
      <c r="D236" s="57"/>
      <c r="E236" s="57"/>
      <c r="F236" s="57"/>
      <c r="G236" s="57"/>
      <c r="H236" s="57"/>
      <c r="I236" s="105"/>
      <c r="J236" s="105"/>
      <c r="K236" s="105">
        <f>$D288*SUM($K289:$AU289)/3+$D339*SUM($K340:$AU340)/3+$D266*SUM($K267:$AU267)/3+$D272*SUM($K273:$AU273)/3</f>
        <v>0</v>
      </c>
      <c r="L236" s="93"/>
      <c r="M236" s="57"/>
      <c r="N236" s="57"/>
    </row>
    <row r="237" spans="1:47">
      <c r="G237" s="83"/>
    </row>
    <row r="238" spans="1:47">
      <c r="B238" s="8"/>
    </row>
    <row r="239" spans="1:47">
      <c r="A239" t="s">
        <v>418</v>
      </c>
      <c r="B239" s="109" t="s">
        <v>448</v>
      </c>
      <c r="C239" s="111">
        <v>122</v>
      </c>
      <c r="D239" s="6">
        <v>1.2</v>
      </c>
      <c r="E239" s="107">
        <f t="shared" ref="E239:E262" si="56">(D239/C239)*0.85</f>
        <v>8.3606557377049178E-3</v>
      </c>
    </row>
    <row r="240" spans="1:47">
      <c r="A240" t="s">
        <v>428</v>
      </c>
      <c r="B240" s="8" t="s">
        <v>155</v>
      </c>
      <c r="C240" s="111">
        <v>36</v>
      </c>
      <c r="D240" s="6">
        <v>0.36499999999999999</v>
      </c>
      <c r="E240" s="107">
        <f>(D240/C240)*0.85</f>
        <v>8.6180555555555542E-3</v>
      </c>
      <c r="G240" s="83"/>
      <c r="I240"/>
      <c r="J240"/>
      <c r="K240"/>
      <c r="L240"/>
    </row>
    <row r="241" spans="1:12">
      <c r="A241" t="s">
        <v>433</v>
      </c>
      <c r="B241" s="8" t="s">
        <v>155</v>
      </c>
      <c r="C241" s="111">
        <v>274</v>
      </c>
      <c r="D241" s="6">
        <v>0.62</v>
      </c>
      <c r="E241" s="107">
        <f>(D241/C241)*0.85</f>
        <v>1.9233576642335767E-3</v>
      </c>
      <c r="I241"/>
      <c r="J241"/>
      <c r="K241"/>
      <c r="L241"/>
    </row>
    <row r="242" spans="1:12">
      <c r="A242" t="s">
        <v>437</v>
      </c>
      <c r="B242" s="8" t="s">
        <v>155</v>
      </c>
      <c r="C242" s="111">
        <v>206</v>
      </c>
      <c r="D242" s="5">
        <v>0.375</v>
      </c>
      <c r="E242" s="107">
        <f>(D242/C242)*0.85</f>
        <v>1.5473300970873787E-3</v>
      </c>
      <c r="I242"/>
      <c r="J242"/>
      <c r="K242"/>
      <c r="L242"/>
    </row>
    <row r="243" spans="1:12">
      <c r="A243" t="s">
        <v>438</v>
      </c>
      <c r="B243" s="8" t="s">
        <v>155</v>
      </c>
      <c r="C243" s="111">
        <v>44</v>
      </c>
      <c r="D243" s="6">
        <v>0.38</v>
      </c>
      <c r="E243" s="107">
        <f>(D243/C243)*0.85</f>
        <v>7.3409090909090906E-3</v>
      </c>
      <c r="I243"/>
      <c r="J243"/>
      <c r="K243"/>
      <c r="L243"/>
    </row>
    <row r="244" spans="1:12">
      <c r="A244" t="s">
        <v>419</v>
      </c>
      <c r="B244" s="8" t="s">
        <v>249</v>
      </c>
      <c r="C244" s="111">
        <v>83</v>
      </c>
      <c r="D244" s="6">
        <v>0.49</v>
      </c>
      <c r="E244" s="107">
        <f t="shared" si="56"/>
        <v>5.0180722891566268E-3</v>
      </c>
    </row>
    <row r="245" spans="1:12">
      <c r="A245" t="s">
        <v>432</v>
      </c>
      <c r="B245" s="8" t="s">
        <v>249</v>
      </c>
      <c r="C245" s="111">
        <v>261</v>
      </c>
      <c r="D245" s="6">
        <v>1.38</v>
      </c>
      <c r="E245" s="107">
        <f>(D245/C245)*0.85</f>
        <v>4.4942528735632172E-3</v>
      </c>
      <c r="I245"/>
      <c r="J245"/>
      <c r="K245"/>
      <c r="L245"/>
    </row>
    <row r="246" spans="1:12">
      <c r="A246" t="s">
        <v>427</v>
      </c>
      <c r="B246" s="8" t="s">
        <v>249</v>
      </c>
      <c r="C246" s="111">
        <v>273</v>
      </c>
      <c r="D246" s="6">
        <v>1.9</v>
      </c>
      <c r="E246" s="107">
        <f>(D246/C246)*0.85</f>
        <v>5.9157509157509152E-3</v>
      </c>
      <c r="I246"/>
      <c r="J246"/>
      <c r="K246"/>
      <c r="L246"/>
    </row>
    <row r="247" spans="1:12">
      <c r="A247" t="s">
        <v>420</v>
      </c>
      <c r="B247" s="8" t="s">
        <v>227</v>
      </c>
      <c r="C247" s="111">
        <v>141</v>
      </c>
      <c r="D247" s="6">
        <v>1.49</v>
      </c>
      <c r="E247" s="107">
        <f t="shared" si="56"/>
        <v>8.9822695035460982E-3</v>
      </c>
    </row>
    <row r="248" spans="1:12">
      <c r="A248" t="s">
        <v>436</v>
      </c>
      <c r="B248" s="8" t="s">
        <v>227</v>
      </c>
      <c r="C248" s="111">
        <v>222</v>
      </c>
      <c r="D248" s="5">
        <v>1.3</v>
      </c>
      <c r="E248" s="107">
        <f>(D248/C248)*0.85</f>
        <v>4.9774774774774778E-3</v>
      </c>
      <c r="I248"/>
      <c r="J248"/>
      <c r="K248"/>
      <c r="L248"/>
    </row>
    <row r="249" spans="1:12">
      <c r="A249" t="s">
        <v>423</v>
      </c>
      <c r="B249" s="109" t="s">
        <v>449</v>
      </c>
      <c r="C249" s="111">
        <v>98</v>
      </c>
      <c r="D249" s="6">
        <v>0.79</v>
      </c>
      <c r="E249" s="107">
        <f t="shared" si="56"/>
        <v>6.85204081632653E-3</v>
      </c>
    </row>
    <row r="250" spans="1:12">
      <c r="A250" t="s">
        <v>440</v>
      </c>
      <c r="B250" s="109" t="s">
        <v>451</v>
      </c>
      <c r="C250" s="111">
        <v>76</v>
      </c>
      <c r="D250" s="6">
        <v>0.68</v>
      </c>
      <c r="E250" s="107">
        <f t="shared" ref="E250:E255" si="57">(D250/C250)*0.85</f>
        <v>7.6052631578947373E-3</v>
      </c>
      <c r="I250"/>
      <c r="J250"/>
      <c r="K250"/>
      <c r="L250"/>
    </row>
    <row r="251" spans="1:12">
      <c r="A251" t="s">
        <v>421</v>
      </c>
      <c r="B251" s="8" t="s">
        <v>3</v>
      </c>
      <c r="C251" s="111">
        <v>175</v>
      </c>
      <c r="D251" s="6">
        <v>1.1499999999999999</v>
      </c>
      <c r="E251" s="107">
        <f t="shared" si="57"/>
        <v>5.585714285714285E-3</v>
      </c>
    </row>
    <row r="252" spans="1:12">
      <c r="A252" t="s">
        <v>425</v>
      </c>
      <c r="B252" s="8" t="s">
        <v>3</v>
      </c>
      <c r="C252" s="111">
        <v>80</v>
      </c>
      <c r="D252" s="6">
        <v>0.47</v>
      </c>
      <c r="E252" s="107">
        <f t="shared" si="57"/>
        <v>4.9937499999999999E-3</v>
      </c>
    </row>
    <row r="253" spans="1:12">
      <c r="A253" t="s">
        <v>426</v>
      </c>
      <c r="B253" s="8" t="s">
        <v>3</v>
      </c>
      <c r="C253" s="111">
        <v>543</v>
      </c>
      <c r="D253" s="6">
        <v>0.9</v>
      </c>
      <c r="E253" s="107">
        <f t="shared" si="57"/>
        <v>1.4088397790055249E-3</v>
      </c>
      <c r="I253"/>
      <c r="J253"/>
      <c r="K253"/>
      <c r="L253"/>
    </row>
    <row r="254" spans="1:12">
      <c r="A254" t="s">
        <v>430</v>
      </c>
      <c r="B254" s="8" t="s">
        <v>3</v>
      </c>
      <c r="C254" s="111">
        <v>46</v>
      </c>
      <c r="D254" s="6">
        <v>0.26</v>
      </c>
      <c r="E254" s="107">
        <f t="shared" si="57"/>
        <v>4.8043478260869563E-3</v>
      </c>
      <c r="I254"/>
      <c r="J254"/>
      <c r="K254"/>
      <c r="L254"/>
    </row>
    <row r="255" spans="1:12">
      <c r="A255" t="s">
        <v>435</v>
      </c>
      <c r="B255" s="8" t="s">
        <v>3</v>
      </c>
      <c r="C255" s="111">
        <v>141</v>
      </c>
      <c r="D255" s="5">
        <v>0.9133</v>
      </c>
      <c r="E255" s="107">
        <f t="shared" si="57"/>
        <v>5.5057092198581561E-3</v>
      </c>
      <c r="I255"/>
      <c r="J255"/>
      <c r="K255"/>
      <c r="L255"/>
    </row>
    <row r="256" spans="1:12">
      <c r="A256" t="s">
        <v>429</v>
      </c>
      <c r="B256" s="8" t="s">
        <v>281</v>
      </c>
      <c r="C256" s="111">
        <v>173</v>
      </c>
      <c r="D256" s="6">
        <v>1.1299999999999999</v>
      </c>
      <c r="E256" s="107">
        <f t="shared" si="56"/>
        <v>5.5520231213872827E-3</v>
      </c>
      <c r="I256"/>
      <c r="J256"/>
      <c r="K256"/>
      <c r="L256"/>
    </row>
    <row r="257" spans="1:47">
      <c r="A257" t="s">
        <v>422</v>
      </c>
      <c r="B257" s="8" t="s">
        <v>281</v>
      </c>
      <c r="C257" s="111">
        <v>140</v>
      </c>
      <c r="D257" s="6">
        <v>1.41</v>
      </c>
      <c r="E257" s="107">
        <f>(D257/C257)*0.85</f>
        <v>8.5607142857142861E-3</v>
      </c>
    </row>
    <row r="258" spans="1:47">
      <c r="A258" t="s">
        <v>447</v>
      </c>
      <c r="B258" s="109" t="s">
        <v>454</v>
      </c>
      <c r="C258" s="111">
        <v>663</v>
      </c>
      <c r="D258" s="6">
        <v>1.95</v>
      </c>
      <c r="E258" s="107">
        <f>(D258/C258)*0.85</f>
        <v>2.5000000000000001E-3</v>
      </c>
    </row>
    <row r="259" spans="1:47">
      <c r="A259" t="s">
        <v>431</v>
      </c>
      <c r="B259" s="8" t="s">
        <v>182</v>
      </c>
      <c r="C259" s="111">
        <v>428</v>
      </c>
      <c r="D259" s="6">
        <v>2.8</v>
      </c>
      <c r="E259" s="107">
        <f t="shared" si="56"/>
        <v>5.5607476635514009E-3</v>
      </c>
      <c r="I259"/>
      <c r="J259"/>
      <c r="K259"/>
      <c r="L259"/>
    </row>
    <row r="260" spans="1:47">
      <c r="A260" t="s">
        <v>434</v>
      </c>
      <c r="B260" s="8" t="s">
        <v>39</v>
      </c>
      <c r="C260" s="111">
        <v>85</v>
      </c>
      <c r="D260" s="6">
        <v>0.42499999999999999</v>
      </c>
      <c r="E260" s="107">
        <f t="shared" si="56"/>
        <v>4.2500000000000003E-3</v>
      </c>
      <c r="I260"/>
      <c r="J260"/>
      <c r="K260"/>
      <c r="L260"/>
    </row>
    <row r="261" spans="1:47">
      <c r="A261" t="s">
        <v>439</v>
      </c>
      <c r="B261" s="110" t="s">
        <v>450</v>
      </c>
      <c r="C261" s="111">
        <v>72</v>
      </c>
      <c r="D261" s="6">
        <f>0.2475*3</f>
        <v>0.74249999999999994</v>
      </c>
      <c r="E261" s="107">
        <f t="shared" si="56"/>
        <v>8.7656249999999991E-3</v>
      </c>
      <c r="I261"/>
      <c r="J261"/>
      <c r="K261"/>
      <c r="L261"/>
    </row>
    <row r="262" spans="1:47">
      <c r="A262" t="s">
        <v>441</v>
      </c>
      <c r="B262" s="8" t="s">
        <v>285</v>
      </c>
      <c r="C262" s="111">
        <v>86</v>
      </c>
      <c r="D262" s="6">
        <v>1.0589999999999999</v>
      </c>
      <c r="E262" s="107">
        <f t="shared" si="56"/>
        <v>1.0466860465116279E-2</v>
      </c>
      <c r="I262"/>
      <c r="J262"/>
      <c r="K262"/>
      <c r="L262"/>
    </row>
    <row r="263" spans="1:47">
      <c r="A263" t="s">
        <v>442</v>
      </c>
      <c r="B263" s="109" t="s">
        <v>452</v>
      </c>
      <c r="C263" s="111">
        <v>40</v>
      </c>
      <c r="D263" s="3">
        <v>0.4</v>
      </c>
      <c r="E263" s="107">
        <f>(D263/C263)*0.85</f>
        <v>8.5000000000000006E-3</v>
      </c>
    </row>
    <row r="264" spans="1:47">
      <c r="A264" t="s">
        <v>444</v>
      </c>
      <c r="B264" s="109" t="s">
        <v>452</v>
      </c>
      <c r="C264" s="111">
        <v>66</v>
      </c>
      <c r="D264" s="3">
        <v>0.64</v>
      </c>
      <c r="E264" s="107">
        <f>(D264/C264)*0.85</f>
        <v>8.2424242424242421E-3</v>
      </c>
    </row>
    <row r="265" spans="1:47">
      <c r="A265" t="s">
        <v>445</v>
      </c>
      <c r="B265" s="109" t="s">
        <v>453</v>
      </c>
      <c r="C265" s="111">
        <v>45</v>
      </c>
      <c r="D265" s="6">
        <v>0.69</v>
      </c>
      <c r="E265" s="107">
        <f>(D265/C265)*0.85</f>
        <v>1.3033333333333333E-2</v>
      </c>
    </row>
    <row r="266" spans="1:47">
      <c r="A266" t="s">
        <v>443</v>
      </c>
      <c r="B266" s="109" t="s">
        <v>452</v>
      </c>
      <c r="C266" s="111">
        <v>31</v>
      </c>
      <c r="D266" s="3">
        <v>0.33</v>
      </c>
      <c r="E266" s="107">
        <f t="shared" ref="E266" si="58">(D266/C266)*0.85</f>
        <v>9.0483870967741926E-3</v>
      </c>
      <c r="F266" s="107">
        <f>(D266/J267)*0.85</f>
        <v>1.075536809815951E-2</v>
      </c>
      <c r="G266" s="108">
        <f>F266/E266-1</f>
        <v>0.18865030674846639</v>
      </c>
      <c r="H266" s="78">
        <f>SUM(K267:AU267)*G266</f>
        <v>0</v>
      </c>
    </row>
    <row r="267" spans="1:47">
      <c r="A267" s="55"/>
      <c r="B267" s="55"/>
      <c r="C267" s="72"/>
      <c r="D267" s="72"/>
      <c r="E267" s="72"/>
      <c r="F267" s="72"/>
      <c r="G267" s="55"/>
      <c r="H267" s="55"/>
      <c r="I267" s="96">
        <f>SUM(I268:I271)</f>
        <v>-228.80000000000018</v>
      </c>
      <c r="J267" s="96">
        <f>SUM(I268:I269)/SUM(K268:AU269)</f>
        <v>26.08</v>
      </c>
      <c r="K267" s="56">
        <f>SUM(K268:K271)</f>
        <v>110</v>
      </c>
      <c r="L267" s="56">
        <f t="shared" ref="L267:AU267" si="59">SUM(L268:L271)</f>
        <v>-110</v>
      </c>
      <c r="M267" s="56">
        <f t="shared" si="59"/>
        <v>0</v>
      </c>
      <c r="N267" s="56">
        <f t="shared" si="59"/>
        <v>0</v>
      </c>
      <c r="O267" s="56">
        <f t="shared" si="59"/>
        <v>0</v>
      </c>
      <c r="P267" s="56">
        <f t="shared" si="59"/>
        <v>0</v>
      </c>
      <c r="Q267" s="56">
        <f t="shared" si="59"/>
        <v>0</v>
      </c>
      <c r="R267" s="56">
        <f t="shared" si="59"/>
        <v>0</v>
      </c>
      <c r="S267" s="56">
        <f t="shared" si="59"/>
        <v>0</v>
      </c>
      <c r="T267" s="56">
        <f t="shared" si="59"/>
        <v>0</v>
      </c>
      <c r="U267" s="56">
        <f t="shared" si="59"/>
        <v>0</v>
      </c>
      <c r="V267" s="56">
        <f t="shared" si="59"/>
        <v>0</v>
      </c>
      <c r="W267" s="56">
        <f t="shared" si="59"/>
        <v>0</v>
      </c>
      <c r="X267" s="56">
        <f t="shared" si="59"/>
        <v>0</v>
      </c>
      <c r="Y267" s="56">
        <f t="shared" si="59"/>
        <v>0</v>
      </c>
      <c r="Z267" s="56">
        <f t="shared" si="59"/>
        <v>0</v>
      </c>
      <c r="AA267" s="56">
        <f t="shared" si="59"/>
        <v>0</v>
      </c>
      <c r="AB267" s="56">
        <f t="shared" si="59"/>
        <v>0</v>
      </c>
      <c r="AC267" s="56">
        <f t="shared" si="59"/>
        <v>0</v>
      </c>
      <c r="AD267" s="56">
        <f t="shared" si="59"/>
        <v>0</v>
      </c>
      <c r="AE267" s="56">
        <f t="shared" si="59"/>
        <v>0</v>
      </c>
      <c r="AF267" s="56">
        <f t="shared" si="59"/>
        <v>0</v>
      </c>
      <c r="AG267" s="56">
        <f t="shared" si="59"/>
        <v>0</v>
      </c>
      <c r="AH267" s="56">
        <f t="shared" si="59"/>
        <v>0</v>
      </c>
      <c r="AI267" s="56">
        <f t="shared" si="59"/>
        <v>0</v>
      </c>
      <c r="AJ267" s="56">
        <f t="shared" si="59"/>
        <v>0</v>
      </c>
      <c r="AK267" s="56">
        <f t="shared" si="59"/>
        <v>0</v>
      </c>
      <c r="AL267" s="56">
        <f t="shared" si="59"/>
        <v>0</v>
      </c>
      <c r="AM267" s="56">
        <f t="shared" si="59"/>
        <v>0</v>
      </c>
      <c r="AN267" s="56">
        <f t="shared" si="59"/>
        <v>0</v>
      </c>
      <c r="AO267" s="56">
        <f t="shared" si="59"/>
        <v>0</v>
      </c>
      <c r="AP267" s="56">
        <f t="shared" si="59"/>
        <v>0</v>
      </c>
      <c r="AQ267" s="56">
        <f t="shared" si="59"/>
        <v>0</v>
      </c>
      <c r="AR267" s="56">
        <f t="shared" si="59"/>
        <v>0</v>
      </c>
      <c r="AS267" s="56">
        <f t="shared" si="59"/>
        <v>0</v>
      </c>
      <c r="AT267" s="56">
        <f t="shared" si="59"/>
        <v>0</v>
      </c>
      <c r="AU267" s="56">
        <f t="shared" si="59"/>
        <v>0</v>
      </c>
    </row>
    <row r="268" spans="1:47">
      <c r="A268" s="55"/>
      <c r="B268" s="55"/>
      <c r="C268" s="55"/>
      <c r="D268" s="55"/>
      <c r="E268" s="55"/>
      <c r="F268" s="72"/>
      <c r="G268" s="55"/>
      <c r="H268" s="55"/>
      <c r="I268" s="96">
        <f>J268*SUM(K268:AU268)</f>
        <v>2868.7999999999997</v>
      </c>
      <c r="J268" s="96">
        <v>26.08</v>
      </c>
      <c r="K268" s="56">
        <v>110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spans="1:47" s="32" customFormat="1">
      <c r="A269" s="76" t="s">
        <v>384</v>
      </c>
      <c r="B269" s="76"/>
      <c r="C269" s="76"/>
      <c r="D269" s="76"/>
      <c r="E269" s="76"/>
      <c r="F269" s="76"/>
      <c r="G269" s="76"/>
      <c r="H269" s="76"/>
      <c r="I269" s="99">
        <f>J269*SUM(K269:AU269)</f>
        <v>0</v>
      </c>
      <c r="J269" s="99"/>
      <c r="K269" s="98"/>
      <c r="L269" s="100"/>
      <c r="M269" s="76"/>
      <c r="N269" s="76"/>
    </row>
    <row r="270" spans="1:47">
      <c r="A270" s="55"/>
      <c r="B270" s="55"/>
      <c r="C270" s="55"/>
      <c r="D270" s="55"/>
      <c r="E270" s="55"/>
      <c r="F270" s="55"/>
      <c r="G270" s="55"/>
      <c r="H270" s="55"/>
      <c r="I270" s="96">
        <f>J270*SUM(K270:AU270)</f>
        <v>-3097.6</v>
      </c>
      <c r="J270" s="96">
        <v>28.16</v>
      </c>
      <c r="K270" s="95"/>
      <c r="L270" s="97">
        <v>-110</v>
      </c>
      <c r="M270" s="55"/>
      <c r="N270" s="55"/>
    </row>
    <row r="271" spans="1:47" s="68" customFormat="1">
      <c r="A271" s="77" t="s">
        <v>385</v>
      </c>
      <c r="B271" s="77"/>
      <c r="C271" s="77"/>
      <c r="D271" s="77"/>
      <c r="E271" s="77"/>
      <c r="F271" s="77"/>
      <c r="G271" s="77"/>
      <c r="H271" s="77"/>
      <c r="I271" s="102">
        <f>J271*SUM(K271:AU271)</f>
        <v>0</v>
      </c>
      <c r="J271" s="102"/>
      <c r="K271" s="101"/>
      <c r="L271" s="103"/>
      <c r="M271" s="77"/>
      <c r="N271" s="77"/>
    </row>
    <row r="272" spans="1:47">
      <c r="A272" t="s">
        <v>446</v>
      </c>
      <c r="B272" s="143" t="s">
        <v>536</v>
      </c>
      <c r="C272" s="111">
        <v>48</v>
      </c>
      <c r="D272" s="3">
        <v>0.61850000000000005</v>
      </c>
      <c r="E272" s="107">
        <f t="shared" ref="E272" si="60">(D272/C272)*0.85</f>
        <v>1.0952604166666668E-2</v>
      </c>
      <c r="F272" s="107">
        <f>(D272/J273)*0.85</f>
        <v>1.1117043772467753E-2</v>
      </c>
      <c r="G272" s="108">
        <f>F272/E272-1</f>
        <v>1.5013744977796506E-2</v>
      </c>
      <c r="H272" s="78">
        <f>SUM(K273:AU273)*G272</f>
        <v>0</v>
      </c>
    </row>
    <row r="273" spans="1:47">
      <c r="A273" s="55"/>
      <c r="B273" s="55"/>
      <c r="C273" s="72"/>
      <c r="D273" s="72"/>
      <c r="E273" s="72"/>
      <c r="F273" s="72"/>
      <c r="G273" s="55"/>
      <c r="H273" s="55"/>
      <c r="I273" s="96">
        <f>SUM(I274:I277)</f>
        <v>-43.5</v>
      </c>
      <c r="J273" s="96">
        <f>SUM(I274:I275)/SUM(K274:AU275)</f>
        <v>47.29</v>
      </c>
      <c r="K273" s="56">
        <f>SUM(K274:K277)</f>
        <v>0</v>
      </c>
      <c r="L273" s="56">
        <f t="shared" ref="L273:AU273" si="61">SUM(L274:L277)</f>
        <v>50</v>
      </c>
      <c r="M273" s="56">
        <f t="shared" si="61"/>
        <v>-50</v>
      </c>
      <c r="N273" s="56">
        <f t="shared" si="61"/>
        <v>0</v>
      </c>
      <c r="O273" s="56">
        <f t="shared" si="61"/>
        <v>0</v>
      </c>
      <c r="P273" s="56">
        <f t="shared" si="61"/>
        <v>0</v>
      </c>
      <c r="Q273" s="56">
        <f t="shared" si="61"/>
        <v>0</v>
      </c>
      <c r="R273" s="56">
        <f t="shared" si="61"/>
        <v>0</v>
      </c>
      <c r="S273" s="56">
        <f t="shared" si="61"/>
        <v>0</v>
      </c>
      <c r="T273" s="56">
        <f t="shared" si="61"/>
        <v>0</v>
      </c>
      <c r="U273" s="56">
        <f t="shared" si="61"/>
        <v>0</v>
      </c>
      <c r="V273" s="56">
        <f t="shared" si="61"/>
        <v>0</v>
      </c>
      <c r="W273" s="56">
        <f t="shared" si="61"/>
        <v>0</v>
      </c>
      <c r="X273" s="56">
        <f t="shared" si="61"/>
        <v>0</v>
      </c>
      <c r="Y273" s="56">
        <f t="shared" si="61"/>
        <v>0</v>
      </c>
      <c r="Z273" s="56">
        <f t="shared" si="61"/>
        <v>0</v>
      </c>
      <c r="AA273" s="56">
        <f t="shared" si="61"/>
        <v>0</v>
      </c>
      <c r="AB273" s="56">
        <f t="shared" si="61"/>
        <v>0</v>
      </c>
      <c r="AC273" s="56">
        <f t="shared" si="61"/>
        <v>0</v>
      </c>
      <c r="AD273" s="56">
        <f t="shared" si="61"/>
        <v>0</v>
      </c>
      <c r="AE273" s="56">
        <f t="shared" si="61"/>
        <v>0</v>
      </c>
      <c r="AF273" s="56">
        <f t="shared" si="61"/>
        <v>0</v>
      </c>
      <c r="AG273" s="56">
        <f t="shared" si="61"/>
        <v>0</v>
      </c>
      <c r="AH273" s="56">
        <f t="shared" si="61"/>
        <v>0</v>
      </c>
      <c r="AI273" s="56">
        <f t="shared" si="61"/>
        <v>0</v>
      </c>
      <c r="AJ273" s="56">
        <f t="shared" si="61"/>
        <v>0</v>
      </c>
      <c r="AK273" s="56">
        <f t="shared" si="61"/>
        <v>0</v>
      </c>
      <c r="AL273" s="56">
        <f t="shared" si="61"/>
        <v>0</v>
      </c>
      <c r="AM273" s="56">
        <f t="shared" si="61"/>
        <v>0</v>
      </c>
      <c r="AN273" s="56">
        <f t="shared" si="61"/>
        <v>0</v>
      </c>
      <c r="AO273" s="56">
        <f t="shared" si="61"/>
        <v>0</v>
      </c>
      <c r="AP273" s="56">
        <f t="shared" si="61"/>
        <v>0</v>
      </c>
      <c r="AQ273" s="56">
        <f t="shared" si="61"/>
        <v>0</v>
      </c>
      <c r="AR273" s="56">
        <f t="shared" si="61"/>
        <v>0</v>
      </c>
      <c r="AS273" s="56">
        <f t="shared" si="61"/>
        <v>0</v>
      </c>
      <c r="AT273" s="56">
        <f t="shared" si="61"/>
        <v>0</v>
      </c>
      <c r="AU273" s="56">
        <f t="shared" si="61"/>
        <v>0</v>
      </c>
    </row>
    <row r="274" spans="1:47">
      <c r="A274" s="55"/>
      <c r="B274" s="55"/>
      <c r="C274" s="55"/>
      <c r="D274" s="55"/>
      <c r="E274" s="55"/>
      <c r="F274" s="72"/>
      <c r="G274" s="55"/>
      <c r="H274" s="55"/>
      <c r="I274" s="96">
        <f>J274*SUM(K274:AU274)</f>
        <v>2364.5</v>
      </c>
      <c r="J274" s="96">
        <v>47.29</v>
      </c>
      <c r="K274" s="56"/>
      <c r="L274" s="56">
        <v>50</v>
      </c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spans="1:47" s="32" customFormat="1">
      <c r="A275" s="76" t="s">
        <v>384</v>
      </c>
      <c r="B275" s="76"/>
      <c r="C275" s="76"/>
      <c r="D275" s="76"/>
      <c r="E275" s="76"/>
      <c r="F275" s="76"/>
      <c r="G275" s="76"/>
      <c r="H275" s="76"/>
      <c r="I275" s="99">
        <f>J275*SUM(K275:AU275)</f>
        <v>0</v>
      </c>
      <c r="J275" s="99"/>
      <c r="K275" s="98"/>
      <c r="L275" s="100"/>
      <c r="M275" s="76"/>
      <c r="N275" s="76"/>
    </row>
    <row r="276" spans="1:47">
      <c r="A276" s="55"/>
      <c r="B276" s="55"/>
      <c r="C276" s="55"/>
      <c r="D276" s="55"/>
      <c r="E276" s="55"/>
      <c r="F276" s="55"/>
      <c r="G276" s="55"/>
      <c r="H276" s="55"/>
      <c r="I276" s="96">
        <f>J276*SUM(K276:AU276)</f>
        <v>-2408</v>
      </c>
      <c r="J276" s="96">
        <v>48.16</v>
      </c>
      <c r="K276" s="95"/>
      <c r="L276" s="97"/>
      <c r="M276" s="55">
        <v>-50</v>
      </c>
      <c r="N276" s="55"/>
    </row>
    <row r="277" spans="1:47" s="68" customFormat="1">
      <c r="A277" s="77" t="s">
        <v>385</v>
      </c>
      <c r="B277" s="77"/>
      <c r="C277" s="77"/>
      <c r="D277" s="77"/>
      <c r="E277" s="77"/>
      <c r="F277" s="77"/>
      <c r="G277" s="77"/>
      <c r="H277" s="77"/>
      <c r="I277" s="102">
        <f>J277*SUM(K277:AU277)</f>
        <v>0</v>
      </c>
      <c r="J277" s="102"/>
      <c r="K277" s="101"/>
      <c r="L277" s="103"/>
      <c r="M277" s="77"/>
      <c r="N277" s="77"/>
    </row>
    <row r="278" spans="1:47" s="112" customFormat="1" ht="32">
      <c r="A278" s="112" t="s">
        <v>388</v>
      </c>
      <c r="B278" s="112" t="s">
        <v>390</v>
      </c>
      <c r="C278" s="112" t="s">
        <v>389</v>
      </c>
      <c r="D278" s="118" t="s">
        <v>455</v>
      </c>
      <c r="E278" s="118" t="s">
        <v>417</v>
      </c>
      <c r="F278" s="118" t="s">
        <v>416</v>
      </c>
      <c r="G278" s="113" t="s">
        <v>392</v>
      </c>
      <c r="H278" s="112" t="s">
        <v>467</v>
      </c>
      <c r="I278" s="114" t="s">
        <v>468</v>
      </c>
      <c r="J278" s="114" t="s">
        <v>387</v>
      </c>
      <c r="K278" s="115" t="s">
        <v>469</v>
      </c>
      <c r="L278" s="116">
        <v>44562</v>
      </c>
      <c r="M278" s="117">
        <v>44593</v>
      </c>
      <c r="N278" s="117">
        <v>44621</v>
      </c>
      <c r="O278" s="117">
        <v>44652</v>
      </c>
      <c r="P278" s="117">
        <v>44682</v>
      </c>
      <c r="Q278" s="117">
        <v>44713</v>
      </c>
      <c r="R278" s="117">
        <v>44743</v>
      </c>
      <c r="S278" s="117">
        <v>44774</v>
      </c>
      <c r="T278" s="117">
        <v>44805</v>
      </c>
      <c r="U278" s="117">
        <v>44835</v>
      </c>
      <c r="V278" s="117">
        <v>44866</v>
      </c>
      <c r="W278" s="117">
        <v>44896</v>
      </c>
      <c r="X278" s="117">
        <v>44927</v>
      </c>
      <c r="Y278" s="117">
        <v>44958</v>
      </c>
      <c r="Z278" s="117">
        <v>44986</v>
      </c>
      <c r="AA278" s="117">
        <v>45017</v>
      </c>
      <c r="AB278" s="117">
        <v>45047</v>
      </c>
      <c r="AC278" s="117">
        <v>45078</v>
      </c>
      <c r="AD278" s="117">
        <v>45108</v>
      </c>
      <c r="AE278" s="117">
        <v>45139</v>
      </c>
      <c r="AF278" s="117">
        <v>45170</v>
      </c>
      <c r="AG278" s="117">
        <v>45200</v>
      </c>
      <c r="AH278" s="117">
        <v>45231</v>
      </c>
      <c r="AI278" s="117">
        <v>45261</v>
      </c>
      <c r="AJ278" s="117">
        <v>45292</v>
      </c>
      <c r="AK278" s="117">
        <v>45323</v>
      </c>
      <c r="AL278" s="117">
        <v>45352</v>
      </c>
      <c r="AM278" s="117">
        <v>45383</v>
      </c>
      <c r="AN278" s="117">
        <v>45413</v>
      </c>
      <c r="AO278" s="117">
        <v>45444</v>
      </c>
      <c r="AP278" s="117">
        <v>45474</v>
      </c>
      <c r="AQ278" s="117">
        <v>45505</v>
      </c>
      <c r="AR278" s="117">
        <v>45536</v>
      </c>
      <c r="AS278" s="117">
        <v>45566</v>
      </c>
      <c r="AT278" s="117">
        <v>45597</v>
      </c>
      <c r="AU278" s="117">
        <v>45627</v>
      </c>
    </row>
    <row r="279" spans="1:47">
      <c r="A279" s="61" t="s">
        <v>562</v>
      </c>
      <c r="B279" s="109" t="s">
        <v>561</v>
      </c>
      <c r="C279" s="111">
        <v>59.17</v>
      </c>
      <c r="D279" s="6">
        <f>2.67/2</f>
        <v>1.335</v>
      </c>
      <c r="E279" s="107">
        <f t="shared" ref="E279" si="62">(D279/C279)*0.85</f>
        <v>1.9177792800405609E-2</v>
      </c>
      <c r="F279" s="107">
        <f>(D279/J280)*0.85</f>
        <v>1.7141627076142207E-2</v>
      </c>
      <c r="G279" s="108">
        <f>F279/E279-1</f>
        <v>-0.10617310059895613</v>
      </c>
      <c r="H279" s="78">
        <f>SUM(K280:AU280)*G279</f>
        <v>-10.617310059895612</v>
      </c>
    </row>
    <row r="280" spans="1:47">
      <c r="A280" s="55"/>
      <c r="B280" s="55"/>
      <c r="C280" s="72"/>
      <c r="D280" s="72"/>
      <c r="E280" s="72"/>
      <c r="F280" s="72"/>
      <c r="G280" s="55"/>
      <c r="H280" s="55"/>
      <c r="I280" s="96">
        <f>SUM(I281:I287)</f>
        <v>6619.85</v>
      </c>
      <c r="J280" s="96">
        <f>SUM(I281:I285)/SUM(K281:AU285)</f>
        <v>66.19850000000001</v>
      </c>
      <c r="K280" s="56">
        <f>SUM(K281:K287)</f>
        <v>0</v>
      </c>
      <c r="L280" s="56">
        <f t="shared" ref="L280:AU280" si="63">SUM(L281:L287)</f>
        <v>0</v>
      </c>
      <c r="M280" s="56">
        <f t="shared" si="63"/>
        <v>0</v>
      </c>
      <c r="N280" s="56">
        <f t="shared" si="63"/>
        <v>50</v>
      </c>
      <c r="O280" s="56">
        <f t="shared" si="63"/>
        <v>0</v>
      </c>
      <c r="P280" s="56">
        <f t="shared" si="63"/>
        <v>0</v>
      </c>
      <c r="Q280" s="56">
        <f t="shared" si="63"/>
        <v>0</v>
      </c>
      <c r="R280" s="56">
        <f t="shared" si="63"/>
        <v>0</v>
      </c>
      <c r="S280" s="56">
        <f t="shared" si="63"/>
        <v>50</v>
      </c>
      <c r="T280" s="56">
        <f t="shared" si="63"/>
        <v>0</v>
      </c>
      <c r="U280" s="56">
        <f t="shared" si="63"/>
        <v>0</v>
      </c>
      <c r="V280" s="56">
        <f t="shared" si="63"/>
        <v>0</v>
      </c>
      <c r="W280" s="56">
        <f t="shared" si="63"/>
        <v>0</v>
      </c>
      <c r="X280" s="56">
        <f t="shared" si="63"/>
        <v>0</v>
      </c>
      <c r="Y280" s="56">
        <f t="shared" si="63"/>
        <v>0</v>
      </c>
      <c r="Z280" s="56">
        <f t="shared" si="63"/>
        <v>0</v>
      </c>
      <c r="AA280" s="56">
        <f t="shared" si="63"/>
        <v>0</v>
      </c>
      <c r="AB280" s="56">
        <f t="shared" si="63"/>
        <v>0</v>
      </c>
      <c r="AC280" s="56">
        <f t="shared" si="63"/>
        <v>0</v>
      </c>
      <c r="AD280" s="56">
        <f t="shared" si="63"/>
        <v>0</v>
      </c>
      <c r="AE280" s="56">
        <f t="shared" si="63"/>
        <v>0</v>
      </c>
      <c r="AF280" s="56">
        <f t="shared" si="63"/>
        <v>0</v>
      </c>
      <c r="AG280" s="56">
        <f t="shared" si="63"/>
        <v>0</v>
      </c>
      <c r="AH280" s="56">
        <f t="shared" si="63"/>
        <v>0</v>
      </c>
      <c r="AI280" s="56">
        <f t="shared" si="63"/>
        <v>0</v>
      </c>
      <c r="AJ280" s="56">
        <f t="shared" si="63"/>
        <v>0</v>
      </c>
      <c r="AK280" s="56">
        <f t="shared" si="63"/>
        <v>0</v>
      </c>
      <c r="AL280" s="56">
        <f t="shared" si="63"/>
        <v>0</v>
      </c>
      <c r="AM280" s="56">
        <f t="shared" si="63"/>
        <v>0</v>
      </c>
      <c r="AN280" s="56">
        <f t="shared" si="63"/>
        <v>0</v>
      </c>
      <c r="AO280" s="56">
        <f t="shared" si="63"/>
        <v>0</v>
      </c>
      <c r="AP280" s="56">
        <f t="shared" si="63"/>
        <v>0</v>
      </c>
      <c r="AQ280" s="56">
        <f t="shared" si="63"/>
        <v>0</v>
      </c>
      <c r="AR280" s="56">
        <f t="shared" si="63"/>
        <v>0</v>
      </c>
      <c r="AS280" s="56">
        <f t="shared" si="63"/>
        <v>0</v>
      </c>
      <c r="AT280" s="56">
        <f t="shared" si="63"/>
        <v>0</v>
      </c>
      <c r="AU280" s="56">
        <f t="shared" si="63"/>
        <v>0</v>
      </c>
    </row>
    <row r="281" spans="1:47">
      <c r="A281" s="55"/>
      <c r="B281" s="55"/>
      <c r="C281" s="55"/>
      <c r="D281" s="55"/>
      <c r="E281" s="55"/>
      <c r="F281" s="72"/>
      <c r="G281" s="55"/>
      <c r="H281" s="55"/>
      <c r="I281" s="96">
        <f t="shared" ref="I281:I287" si="64">J281*SUM(K281:AU281)</f>
        <v>3654</v>
      </c>
      <c r="J281" s="96">
        <v>73.08</v>
      </c>
      <c r="K281" s="56"/>
      <c r="L281" s="56"/>
      <c r="M281" s="56"/>
      <c r="N281" s="56">
        <v>50</v>
      </c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spans="1:47" s="215" customFormat="1">
      <c r="F282" s="216"/>
      <c r="I282" s="217">
        <f t="shared" si="64"/>
        <v>896.25</v>
      </c>
      <c r="J282" s="217">
        <v>59.75</v>
      </c>
      <c r="K282" s="218"/>
      <c r="L282" s="218"/>
      <c r="M282" s="218"/>
      <c r="N282" s="218"/>
      <c r="O282" s="218"/>
      <c r="P282" s="218"/>
      <c r="Q282" s="218"/>
      <c r="R282" s="218"/>
      <c r="S282" s="218">
        <v>15</v>
      </c>
      <c r="T282" s="218"/>
      <c r="U282" s="218"/>
      <c r="V282" s="218"/>
      <c r="W282" s="218"/>
      <c r="X282" s="218"/>
      <c r="Y282" s="218"/>
      <c r="Z282" s="218"/>
      <c r="AA282" s="218"/>
      <c r="AB282" s="218"/>
      <c r="AC282" s="218"/>
      <c r="AD282" s="218"/>
      <c r="AE282" s="218"/>
      <c r="AF282" s="218"/>
      <c r="AG282" s="218"/>
      <c r="AH282" s="218"/>
      <c r="AI282" s="218"/>
      <c r="AJ282" s="218"/>
      <c r="AK282" s="218"/>
      <c r="AL282" s="218"/>
      <c r="AM282" s="218"/>
      <c r="AN282" s="218"/>
      <c r="AO282" s="218"/>
      <c r="AP282" s="218"/>
      <c r="AQ282" s="218"/>
      <c r="AR282" s="218"/>
      <c r="AS282" s="218"/>
      <c r="AT282" s="218"/>
      <c r="AU282" s="218"/>
    </row>
    <row r="283" spans="1:47" s="215" customFormat="1">
      <c r="F283" s="216"/>
      <c r="I283" s="217">
        <f t="shared" si="64"/>
        <v>886.8</v>
      </c>
      <c r="J283" s="217">
        <v>59.12</v>
      </c>
      <c r="K283" s="218"/>
      <c r="L283" s="218"/>
      <c r="M283" s="218"/>
      <c r="N283" s="218"/>
      <c r="O283" s="218"/>
      <c r="P283" s="218"/>
      <c r="Q283" s="218"/>
      <c r="R283" s="218"/>
      <c r="S283" s="218">
        <v>15</v>
      </c>
      <c r="T283" s="218"/>
      <c r="U283" s="218"/>
      <c r="V283" s="218"/>
      <c r="W283" s="218"/>
      <c r="X283" s="218"/>
      <c r="Y283" s="218"/>
      <c r="Z283" s="218"/>
      <c r="AA283" s="218"/>
      <c r="AB283" s="218"/>
      <c r="AC283" s="218"/>
      <c r="AD283" s="218"/>
      <c r="AE283" s="218"/>
      <c r="AF283" s="218"/>
      <c r="AG283" s="218"/>
      <c r="AH283" s="218"/>
      <c r="AI283" s="218"/>
      <c r="AJ283" s="218"/>
      <c r="AK283" s="218"/>
      <c r="AL283" s="218"/>
      <c r="AM283" s="218"/>
      <c r="AN283" s="218"/>
      <c r="AO283" s="218"/>
      <c r="AP283" s="218"/>
      <c r="AQ283" s="218"/>
      <c r="AR283" s="218"/>
      <c r="AS283" s="218"/>
      <c r="AT283" s="218"/>
      <c r="AU283" s="218"/>
    </row>
    <row r="284" spans="1:47" s="215" customFormat="1">
      <c r="F284" s="216"/>
      <c r="I284" s="217">
        <f t="shared" si="64"/>
        <v>1182.8</v>
      </c>
      <c r="J284" s="217">
        <v>59.14</v>
      </c>
      <c r="K284" s="218"/>
      <c r="L284" s="218"/>
      <c r="M284" s="218"/>
      <c r="N284" s="218"/>
      <c r="O284" s="218"/>
      <c r="P284" s="218"/>
      <c r="Q284" s="218"/>
      <c r="R284" s="218"/>
      <c r="S284" s="218">
        <v>20</v>
      </c>
      <c r="T284" s="218"/>
      <c r="U284" s="218"/>
      <c r="V284" s="218"/>
      <c r="W284" s="218"/>
      <c r="X284" s="218"/>
      <c r="Y284" s="218"/>
      <c r="Z284" s="218"/>
      <c r="AA284" s="218"/>
      <c r="AB284" s="218"/>
      <c r="AC284" s="218"/>
      <c r="AD284" s="218"/>
      <c r="AE284" s="218"/>
      <c r="AF284" s="218"/>
      <c r="AG284" s="218"/>
      <c r="AH284" s="218"/>
      <c r="AI284" s="218"/>
      <c r="AJ284" s="218"/>
      <c r="AK284" s="218"/>
      <c r="AL284" s="218"/>
      <c r="AM284" s="218"/>
      <c r="AN284" s="218"/>
      <c r="AO284" s="218"/>
      <c r="AP284" s="218"/>
      <c r="AQ284" s="218"/>
      <c r="AR284" s="218"/>
      <c r="AS284" s="218"/>
      <c r="AT284" s="218"/>
      <c r="AU284" s="218"/>
    </row>
    <row r="285" spans="1:47" s="32" customFormat="1">
      <c r="A285" s="76" t="s">
        <v>384</v>
      </c>
      <c r="B285" s="76"/>
      <c r="C285" s="76"/>
      <c r="D285" s="76"/>
      <c r="E285" s="76"/>
      <c r="F285" s="76"/>
      <c r="G285" s="76"/>
      <c r="H285" s="76"/>
      <c r="I285" s="99">
        <f t="shared" si="64"/>
        <v>0</v>
      </c>
      <c r="J285" s="99"/>
      <c r="K285" s="98"/>
      <c r="L285" s="100"/>
      <c r="M285" s="76"/>
      <c r="N285" s="76"/>
    </row>
    <row r="286" spans="1:47">
      <c r="A286" s="55"/>
      <c r="B286" s="55"/>
      <c r="C286" s="55"/>
      <c r="D286" s="55"/>
      <c r="E286" s="55"/>
      <c r="F286" s="55"/>
      <c r="G286" s="55"/>
      <c r="H286" s="55"/>
      <c r="I286" s="96">
        <f t="shared" si="64"/>
        <v>0</v>
      </c>
      <c r="J286" s="96"/>
      <c r="K286" s="95"/>
      <c r="L286" s="97"/>
      <c r="M286" s="55"/>
      <c r="N286" s="55"/>
    </row>
    <row r="287" spans="1:47" s="68" customFormat="1">
      <c r="A287" s="77" t="s">
        <v>385</v>
      </c>
      <c r="B287" s="77"/>
      <c r="C287" s="77"/>
      <c r="D287" s="77"/>
      <c r="E287" s="77"/>
      <c r="F287" s="77"/>
      <c r="G287" s="77"/>
      <c r="H287" s="77"/>
      <c r="I287" s="102">
        <f t="shared" si="64"/>
        <v>0</v>
      </c>
      <c r="J287" s="102"/>
      <c r="K287" s="101"/>
      <c r="L287" s="103"/>
      <c r="M287" s="77"/>
      <c r="N287" s="77"/>
    </row>
    <row r="288" spans="1:47">
      <c r="A288" s="61" t="s">
        <v>415</v>
      </c>
      <c r="B288" s="36" t="s">
        <v>508</v>
      </c>
      <c r="C288" s="111">
        <v>23.83</v>
      </c>
      <c r="D288" s="5">
        <v>0.52</v>
      </c>
      <c r="E288" s="107">
        <f>(D288/C288)*0.85</f>
        <v>1.8548048678136805E-2</v>
      </c>
      <c r="F288" s="107">
        <f>(D288/J289)*0.85</f>
        <v>1.6521943907626631E-2</v>
      </c>
      <c r="G288" s="108">
        <f>F288/E288-1</f>
        <v>-0.10923546760465486</v>
      </c>
      <c r="H288" s="78">
        <f>SUM(K289:AU289)*G288</f>
        <v>0</v>
      </c>
    </row>
    <row r="289" spans="1:47">
      <c r="A289" s="55"/>
      <c r="B289" s="55"/>
      <c r="C289" s="72"/>
      <c r="D289" s="72"/>
      <c r="E289" s="72"/>
      <c r="F289" s="72"/>
      <c r="G289" s="55"/>
      <c r="H289" s="55"/>
      <c r="I289" s="96">
        <f>SUM(I290:I296)</f>
        <v>268.82500000000073</v>
      </c>
      <c r="J289" s="96">
        <f>SUM(I290:I291)/SUM(K290:AU291)</f>
        <v>26.752300000000002</v>
      </c>
      <c r="K289" s="56">
        <f>SUM(K290:K296)</f>
        <v>250</v>
      </c>
      <c r="L289" s="56">
        <f t="shared" ref="L289:AU289" si="65">SUM(L290:L296)</f>
        <v>-150</v>
      </c>
      <c r="M289" s="56">
        <f t="shared" si="65"/>
        <v>0</v>
      </c>
      <c r="N289" s="56">
        <f t="shared" si="65"/>
        <v>-100</v>
      </c>
      <c r="O289" s="56">
        <f t="shared" si="65"/>
        <v>0</v>
      </c>
      <c r="P289" s="56">
        <f t="shared" si="65"/>
        <v>0</v>
      </c>
      <c r="Q289" s="56">
        <f t="shared" si="65"/>
        <v>0</v>
      </c>
      <c r="R289" s="56">
        <f t="shared" si="65"/>
        <v>0</v>
      </c>
      <c r="S289" s="56">
        <f t="shared" si="65"/>
        <v>0</v>
      </c>
      <c r="T289" s="56">
        <f t="shared" si="65"/>
        <v>0</v>
      </c>
      <c r="U289" s="56">
        <f t="shared" si="65"/>
        <v>0</v>
      </c>
      <c r="V289" s="56">
        <f t="shared" si="65"/>
        <v>0</v>
      </c>
      <c r="W289" s="56">
        <f t="shared" si="65"/>
        <v>0</v>
      </c>
      <c r="X289" s="56">
        <f t="shared" si="65"/>
        <v>0</v>
      </c>
      <c r="Y289" s="56">
        <f t="shared" si="65"/>
        <v>0</v>
      </c>
      <c r="Z289" s="56">
        <f t="shared" si="65"/>
        <v>0</v>
      </c>
      <c r="AA289" s="56">
        <f t="shared" si="65"/>
        <v>0</v>
      </c>
      <c r="AB289" s="56">
        <f t="shared" si="65"/>
        <v>0</v>
      </c>
      <c r="AC289" s="56">
        <f t="shared" si="65"/>
        <v>0</v>
      </c>
      <c r="AD289" s="56">
        <f t="shared" si="65"/>
        <v>0</v>
      </c>
      <c r="AE289" s="56">
        <f t="shared" si="65"/>
        <v>0</v>
      </c>
      <c r="AF289" s="56">
        <f t="shared" si="65"/>
        <v>0</v>
      </c>
      <c r="AG289" s="56">
        <f t="shared" si="65"/>
        <v>0</v>
      </c>
      <c r="AH289" s="56">
        <f t="shared" si="65"/>
        <v>0</v>
      </c>
      <c r="AI289" s="56">
        <f t="shared" si="65"/>
        <v>0</v>
      </c>
      <c r="AJ289" s="56">
        <f t="shared" si="65"/>
        <v>0</v>
      </c>
      <c r="AK289" s="56">
        <f t="shared" si="65"/>
        <v>0</v>
      </c>
      <c r="AL289" s="56">
        <f t="shared" si="65"/>
        <v>0</v>
      </c>
      <c r="AM289" s="56">
        <f t="shared" si="65"/>
        <v>0</v>
      </c>
      <c r="AN289" s="56">
        <f t="shared" si="65"/>
        <v>0</v>
      </c>
      <c r="AO289" s="56">
        <f t="shared" si="65"/>
        <v>0</v>
      </c>
      <c r="AP289" s="56">
        <f t="shared" si="65"/>
        <v>0</v>
      </c>
      <c r="AQ289" s="56">
        <f t="shared" si="65"/>
        <v>0</v>
      </c>
      <c r="AR289" s="56">
        <f t="shared" si="65"/>
        <v>0</v>
      </c>
      <c r="AS289" s="56">
        <f t="shared" si="65"/>
        <v>0</v>
      </c>
      <c r="AT289" s="56">
        <f t="shared" si="65"/>
        <v>0</v>
      </c>
      <c r="AU289" s="56">
        <f t="shared" si="65"/>
        <v>0</v>
      </c>
    </row>
    <row r="290" spans="1:47">
      <c r="A290" s="55"/>
      <c r="B290" s="55"/>
      <c r="C290" s="55"/>
      <c r="D290" s="55"/>
      <c r="E290" s="55"/>
      <c r="F290" s="72"/>
      <c r="G290" s="55"/>
      <c r="H290" s="55"/>
      <c r="I290" s="96">
        <f t="shared" ref="I290:I296" si="66">J290*SUM(K290:AU290)</f>
        <v>6688.0750000000007</v>
      </c>
      <c r="J290" s="96">
        <v>26.752300000000002</v>
      </c>
      <c r="K290" s="56">
        <v>250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 spans="1:47" s="32" customFormat="1">
      <c r="A291" s="76" t="s">
        <v>384</v>
      </c>
      <c r="B291" s="76"/>
      <c r="C291" s="76"/>
      <c r="D291" s="76"/>
      <c r="E291" s="76"/>
      <c r="F291" s="76"/>
      <c r="G291" s="76"/>
      <c r="H291" s="76"/>
      <c r="I291" s="99">
        <f t="shared" si="66"/>
        <v>0</v>
      </c>
      <c r="J291" s="99"/>
      <c r="K291" s="98"/>
      <c r="L291" s="100"/>
      <c r="M291" s="76"/>
      <c r="N291" s="76"/>
    </row>
    <row r="292" spans="1:47">
      <c r="A292" s="55"/>
      <c r="B292" s="55"/>
      <c r="C292" s="55"/>
      <c r="D292" s="55"/>
      <c r="E292" s="55"/>
      <c r="F292" s="55"/>
      <c r="G292" s="55"/>
      <c r="H292" s="55"/>
      <c r="I292" s="96">
        <f t="shared" si="66"/>
        <v>-2726</v>
      </c>
      <c r="J292" s="96">
        <v>27.26</v>
      </c>
      <c r="K292" s="95"/>
      <c r="L292" s="95">
        <v>-100</v>
      </c>
      <c r="M292" s="55"/>
      <c r="N292" s="55"/>
    </row>
    <row r="293" spans="1:47" s="33" customFormat="1">
      <c r="A293" s="57" t="s">
        <v>385</v>
      </c>
      <c r="B293" s="57"/>
      <c r="C293" s="57"/>
      <c r="D293" s="57"/>
      <c r="E293" s="57"/>
      <c r="F293" s="57"/>
      <c r="G293" s="57"/>
      <c r="H293" s="57"/>
      <c r="I293" s="138">
        <f t="shared" si="66"/>
        <v>-1371.5</v>
      </c>
      <c r="J293" s="138">
        <v>27.43</v>
      </c>
      <c r="K293" s="105"/>
      <c r="L293" s="105">
        <v>-50</v>
      </c>
      <c r="M293" s="57"/>
      <c r="N293" s="57"/>
    </row>
    <row r="294" spans="1:47" s="33" customFormat="1">
      <c r="A294" s="57" t="s">
        <v>385</v>
      </c>
      <c r="B294" s="57"/>
      <c r="C294" s="57"/>
      <c r="D294" s="57"/>
      <c r="E294" s="57"/>
      <c r="F294" s="57"/>
      <c r="G294" s="57"/>
      <c r="H294" s="57"/>
      <c r="I294" s="138">
        <f t="shared" si="66"/>
        <v>-813.75</v>
      </c>
      <c r="J294" s="138">
        <v>23.25</v>
      </c>
      <c r="K294" s="105"/>
      <c r="L294" s="93"/>
      <c r="M294" s="57"/>
      <c r="N294" s="57">
        <v>-35</v>
      </c>
    </row>
    <row r="295" spans="1:47" s="33" customFormat="1">
      <c r="A295" s="57" t="s">
        <v>385</v>
      </c>
      <c r="B295" s="57"/>
      <c r="C295" s="57"/>
      <c r="D295" s="57"/>
      <c r="E295" s="57"/>
      <c r="F295" s="57"/>
      <c r="G295" s="57"/>
      <c r="H295" s="57"/>
      <c r="I295" s="138">
        <f t="shared" si="66"/>
        <v>-1508</v>
      </c>
      <c r="J295" s="138">
        <v>23.2</v>
      </c>
      <c r="K295" s="105"/>
      <c r="L295" s="93"/>
      <c r="M295" s="57"/>
      <c r="N295" s="57">
        <v>-65</v>
      </c>
    </row>
    <row r="296" spans="1:47" s="68" customFormat="1" ht="16" thickBot="1">
      <c r="A296" s="77" t="s">
        <v>385</v>
      </c>
      <c r="B296" s="77"/>
      <c r="C296" s="77"/>
      <c r="D296" s="77"/>
      <c r="E296" s="77"/>
      <c r="F296" s="77"/>
      <c r="G296" s="77"/>
      <c r="H296" s="77"/>
      <c r="I296" s="102">
        <f t="shared" si="66"/>
        <v>0</v>
      </c>
      <c r="J296" s="102"/>
      <c r="K296" s="101"/>
      <c r="L296" s="103"/>
      <c r="M296" s="77"/>
      <c r="N296" s="77"/>
    </row>
    <row r="297" spans="1:47" s="69" customFormat="1" ht="19" thickTop="1" thickBot="1">
      <c r="A297" s="79" t="s">
        <v>406</v>
      </c>
      <c r="B297" s="139" t="s">
        <v>505</v>
      </c>
      <c r="C297" s="84">
        <v>34.03</v>
      </c>
      <c r="D297" s="89">
        <v>40.409999999999997</v>
      </c>
      <c r="E297" s="73">
        <f>C297/J298-1</f>
        <v>-0.13144461459928536</v>
      </c>
      <c r="F297" s="73">
        <f>C297/D297-1</f>
        <v>-0.15788171244741389</v>
      </c>
      <c r="G297" s="74">
        <f>E297+F297</f>
        <v>-0.28932632704669925</v>
      </c>
      <c r="H297" s="78">
        <f>SUM(K298:AU298)*G297</f>
        <v>0</v>
      </c>
      <c r="I297" s="93"/>
      <c r="J297" s="94"/>
      <c r="K297" s="93"/>
      <c r="L297" s="93"/>
      <c r="M297" s="57"/>
      <c r="N297" s="57"/>
    </row>
    <row r="298" spans="1:47" ht="16" thickTop="1">
      <c r="A298" s="55"/>
      <c r="B298" s="55"/>
      <c r="C298" s="85"/>
      <c r="D298" s="85"/>
      <c r="E298" s="72"/>
      <c r="F298" s="72"/>
      <c r="G298" s="55"/>
      <c r="H298" s="55"/>
      <c r="I298" s="95">
        <f>SUM(I299:I304)</f>
        <v>415.47999999999979</v>
      </c>
      <c r="J298" s="96">
        <f>SUM(I299:I300)/SUM(K299:AU300)</f>
        <v>39.18</v>
      </c>
      <c r="K298" s="95">
        <f t="shared" ref="K298:AU298" si="67">SUM(K299:K304)</f>
        <v>92</v>
      </c>
      <c r="L298" s="95">
        <f t="shared" si="67"/>
        <v>0</v>
      </c>
      <c r="M298" s="75">
        <f t="shared" si="67"/>
        <v>-92</v>
      </c>
      <c r="N298" s="75">
        <f t="shared" si="67"/>
        <v>0</v>
      </c>
      <c r="O298" s="75">
        <f t="shared" si="67"/>
        <v>0</v>
      </c>
      <c r="P298" s="75">
        <f t="shared" si="67"/>
        <v>0</v>
      </c>
      <c r="Q298" s="75">
        <f t="shared" si="67"/>
        <v>0</v>
      </c>
      <c r="R298" s="75">
        <f t="shared" si="67"/>
        <v>0</v>
      </c>
      <c r="S298" s="75">
        <f t="shared" si="67"/>
        <v>0</v>
      </c>
      <c r="T298" s="75">
        <f t="shared" si="67"/>
        <v>0</v>
      </c>
      <c r="U298" s="75">
        <f t="shared" si="67"/>
        <v>0</v>
      </c>
      <c r="V298" s="75">
        <f t="shared" si="67"/>
        <v>0</v>
      </c>
      <c r="W298" s="75">
        <f t="shared" si="67"/>
        <v>0</v>
      </c>
      <c r="X298" s="75">
        <f t="shared" si="67"/>
        <v>0</v>
      </c>
      <c r="Y298" s="75">
        <f t="shared" si="67"/>
        <v>0</v>
      </c>
      <c r="Z298" s="75">
        <f t="shared" si="67"/>
        <v>0</v>
      </c>
      <c r="AA298" s="75">
        <f t="shared" si="67"/>
        <v>0</v>
      </c>
      <c r="AB298" s="75">
        <f t="shared" si="67"/>
        <v>0</v>
      </c>
      <c r="AC298" s="75">
        <f t="shared" si="67"/>
        <v>0</v>
      </c>
      <c r="AD298" s="75">
        <f t="shared" si="67"/>
        <v>0</v>
      </c>
      <c r="AE298" s="75">
        <f t="shared" si="67"/>
        <v>0</v>
      </c>
      <c r="AF298" s="75">
        <f t="shared" si="67"/>
        <v>0</v>
      </c>
      <c r="AG298" s="75">
        <f t="shared" si="67"/>
        <v>0</v>
      </c>
      <c r="AH298" s="75">
        <f t="shared" si="67"/>
        <v>0</v>
      </c>
      <c r="AI298" s="75">
        <f t="shared" si="67"/>
        <v>0</v>
      </c>
      <c r="AJ298" s="75">
        <f t="shared" si="67"/>
        <v>0</v>
      </c>
      <c r="AK298" s="75">
        <f t="shared" si="67"/>
        <v>0</v>
      </c>
      <c r="AL298" s="75">
        <f t="shared" si="67"/>
        <v>0</v>
      </c>
      <c r="AM298" s="75">
        <f t="shared" si="67"/>
        <v>0</v>
      </c>
      <c r="AN298" s="75">
        <f t="shared" si="67"/>
        <v>0</v>
      </c>
      <c r="AO298" s="75">
        <f t="shared" si="67"/>
        <v>0</v>
      </c>
      <c r="AP298" s="75">
        <f t="shared" si="67"/>
        <v>0</v>
      </c>
      <c r="AQ298" s="75">
        <f t="shared" si="67"/>
        <v>0</v>
      </c>
      <c r="AR298" s="75">
        <f t="shared" si="67"/>
        <v>0</v>
      </c>
      <c r="AS298" s="75">
        <f t="shared" si="67"/>
        <v>0</v>
      </c>
      <c r="AT298" s="75">
        <f t="shared" si="67"/>
        <v>0</v>
      </c>
      <c r="AU298" s="75">
        <f t="shared" si="67"/>
        <v>0</v>
      </c>
    </row>
    <row r="299" spans="1:47">
      <c r="A299" s="55"/>
      <c r="B299" s="55"/>
      <c r="C299" s="86"/>
      <c r="D299" s="86"/>
      <c r="E299" s="55"/>
      <c r="F299" s="55"/>
      <c r="G299" s="55"/>
      <c r="H299" s="55"/>
      <c r="I299" s="95">
        <f t="shared" ref="I299:I304" si="68">J299*SUM(K299:AU299)</f>
        <v>3918</v>
      </c>
      <c r="J299" s="96">
        <v>39.18</v>
      </c>
      <c r="K299" s="95">
        <v>100</v>
      </c>
      <c r="L299" s="97"/>
      <c r="M299" s="55"/>
      <c r="N299" s="55"/>
    </row>
    <row r="300" spans="1:47" s="32" customFormat="1">
      <c r="A300" s="76" t="s">
        <v>384</v>
      </c>
      <c r="B300" s="76"/>
      <c r="C300" s="87"/>
      <c r="D300" s="87"/>
      <c r="E300" s="76"/>
      <c r="F300" s="76"/>
      <c r="G300" s="76"/>
      <c r="H300" s="76"/>
      <c r="I300" s="98">
        <f t="shared" si="68"/>
        <v>0</v>
      </c>
      <c r="J300" s="99"/>
      <c r="K300" s="98"/>
      <c r="L300" s="100"/>
      <c r="M300" s="76"/>
      <c r="N300" s="76"/>
    </row>
    <row r="301" spans="1:47">
      <c r="A301" s="55"/>
      <c r="B301" s="55"/>
      <c r="C301" s="86"/>
      <c r="D301" s="86"/>
      <c r="E301" s="55"/>
      <c r="F301" s="55"/>
      <c r="G301" s="55"/>
      <c r="H301" s="55"/>
      <c r="I301" s="95">
        <f t="shared" si="68"/>
        <v>-342.32</v>
      </c>
      <c r="J301" s="96">
        <v>42.79</v>
      </c>
      <c r="K301" s="95">
        <v>-8</v>
      </c>
      <c r="L301" s="97"/>
      <c r="M301" s="55"/>
      <c r="N301" s="55"/>
    </row>
    <row r="302" spans="1:47" s="33" customFormat="1">
      <c r="A302" s="57" t="s">
        <v>385</v>
      </c>
      <c r="B302" s="57"/>
      <c r="C302" s="137"/>
      <c r="D302" s="137"/>
      <c r="E302" s="57"/>
      <c r="F302" s="57"/>
      <c r="G302" s="57"/>
      <c r="H302" s="57"/>
      <c r="I302" s="105">
        <f t="shared" si="68"/>
        <v>-1584.7</v>
      </c>
      <c r="J302" s="138">
        <v>34.450000000000003</v>
      </c>
      <c r="K302" s="105"/>
      <c r="L302" s="93"/>
      <c r="M302" s="57">
        <v>-46</v>
      </c>
      <c r="N302" s="57"/>
    </row>
    <row r="303" spans="1:47" s="33" customFormat="1">
      <c r="A303" s="57" t="s">
        <v>385</v>
      </c>
      <c r="B303" s="57"/>
      <c r="C303" s="137"/>
      <c r="D303" s="137"/>
      <c r="E303" s="57"/>
      <c r="F303" s="57"/>
      <c r="G303" s="57"/>
      <c r="H303" s="57"/>
      <c r="I303" s="105">
        <f t="shared" si="68"/>
        <v>-1575.5</v>
      </c>
      <c r="J303" s="138">
        <v>34.25</v>
      </c>
      <c r="K303" s="105"/>
      <c r="L303" s="93"/>
      <c r="M303" s="57">
        <v>-46</v>
      </c>
      <c r="N303" s="57"/>
    </row>
    <row r="304" spans="1:47" s="68" customFormat="1" ht="16" thickBot="1">
      <c r="A304" s="77" t="s">
        <v>385</v>
      </c>
      <c r="B304" s="77"/>
      <c r="C304" s="88"/>
      <c r="D304" s="88"/>
      <c r="E304" s="77"/>
      <c r="F304" s="77"/>
      <c r="G304" s="77"/>
      <c r="H304" s="77"/>
      <c r="I304" s="101">
        <f t="shared" si="68"/>
        <v>0</v>
      </c>
      <c r="J304" s="102"/>
      <c r="K304" s="101"/>
      <c r="L304" s="103"/>
      <c r="M304" s="77"/>
      <c r="N304" s="77"/>
    </row>
    <row r="305" spans="1:47" s="69" customFormat="1" ht="19" thickTop="1" thickBot="1">
      <c r="A305" s="124" t="s">
        <v>481</v>
      </c>
      <c r="B305" s="80" t="s">
        <v>504</v>
      </c>
      <c r="C305" s="84">
        <v>378.7</v>
      </c>
      <c r="D305" s="89">
        <v>406</v>
      </c>
      <c r="E305" s="73">
        <f>C305/J306-1</f>
        <v>1.5616137327822077E-2</v>
      </c>
      <c r="F305" s="73">
        <f>C305/D305-1</f>
        <v>-6.7241379310344906E-2</v>
      </c>
      <c r="G305" s="74">
        <f>E305+F305</f>
        <v>-5.1625241982522829E-2</v>
      </c>
      <c r="H305" s="78">
        <f>SUM(K306:AU306)*G305</f>
        <v>0</v>
      </c>
      <c r="I305" s="93"/>
      <c r="J305" s="94"/>
      <c r="K305" s="93"/>
      <c r="L305" s="93"/>
      <c r="M305" s="57"/>
      <c r="N305" s="57"/>
    </row>
    <row r="306" spans="1:47" ht="16" thickTop="1">
      <c r="A306" s="55"/>
      <c r="B306" s="55"/>
      <c r="C306" s="85"/>
      <c r="D306" s="85"/>
      <c r="E306" s="72"/>
      <c r="F306" s="72"/>
      <c r="G306" s="55"/>
      <c r="H306" s="55"/>
      <c r="I306" s="95">
        <f>SUM(I307:I310)</f>
        <v>-577.6934999999994</v>
      </c>
      <c r="J306" s="96">
        <f>SUM(I307:I308)/SUM(K307:AU308)</f>
        <v>372.87709999999998</v>
      </c>
      <c r="K306" s="95">
        <f t="shared" ref="K306:AU306" si="69">SUM(K307:K310)</f>
        <v>15</v>
      </c>
      <c r="L306" s="95">
        <f t="shared" si="69"/>
        <v>0</v>
      </c>
      <c r="M306" s="75">
        <f t="shared" si="69"/>
        <v>-15</v>
      </c>
      <c r="N306" s="75">
        <f t="shared" si="69"/>
        <v>0</v>
      </c>
      <c r="O306" s="75">
        <f t="shared" si="69"/>
        <v>0</v>
      </c>
      <c r="P306" s="75">
        <f t="shared" si="69"/>
        <v>0</v>
      </c>
      <c r="Q306" s="75">
        <f t="shared" si="69"/>
        <v>0</v>
      </c>
      <c r="R306" s="75">
        <f t="shared" si="69"/>
        <v>0</v>
      </c>
      <c r="S306" s="75">
        <f t="shared" si="69"/>
        <v>0</v>
      </c>
      <c r="T306" s="75">
        <f t="shared" si="69"/>
        <v>0</v>
      </c>
      <c r="U306" s="75">
        <f t="shared" si="69"/>
        <v>0</v>
      </c>
      <c r="V306" s="75">
        <f t="shared" si="69"/>
        <v>0</v>
      </c>
      <c r="W306" s="75">
        <f t="shared" si="69"/>
        <v>0</v>
      </c>
      <c r="X306" s="75">
        <f t="shared" si="69"/>
        <v>0</v>
      </c>
      <c r="Y306" s="75">
        <f t="shared" si="69"/>
        <v>0</v>
      </c>
      <c r="Z306" s="75">
        <f t="shared" si="69"/>
        <v>0</v>
      </c>
      <c r="AA306" s="75">
        <f t="shared" si="69"/>
        <v>0</v>
      </c>
      <c r="AB306" s="75">
        <f t="shared" si="69"/>
        <v>0</v>
      </c>
      <c r="AC306" s="75">
        <f t="shared" si="69"/>
        <v>0</v>
      </c>
      <c r="AD306" s="75">
        <f t="shared" si="69"/>
        <v>0</v>
      </c>
      <c r="AE306" s="75">
        <f t="shared" si="69"/>
        <v>0</v>
      </c>
      <c r="AF306" s="75">
        <f t="shared" si="69"/>
        <v>0</v>
      </c>
      <c r="AG306" s="75">
        <f t="shared" si="69"/>
        <v>0</v>
      </c>
      <c r="AH306" s="75">
        <f t="shared" si="69"/>
        <v>0</v>
      </c>
      <c r="AI306" s="75">
        <f t="shared" si="69"/>
        <v>0</v>
      </c>
      <c r="AJ306" s="75">
        <f t="shared" si="69"/>
        <v>0</v>
      </c>
      <c r="AK306" s="75">
        <f t="shared" si="69"/>
        <v>0</v>
      </c>
      <c r="AL306" s="75">
        <f t="shared" si="69"/>
        <v>0</v>
      </c>
      <c r="AM306" s="75">
        <f t="shared" si="69"/>
        <v>0</v>
      </c>
      <c r="AN306" s="75">
        <f t="shared" si="69"/>
        <v>0</v>
      </c>
      <c r="AO306" s="75">
        <f t="shared" si="69"/>
        <v>0</v>
      </c>
      <c r="AP306" s="75">
        <f t="shared" si="69"/>
        <v>0</v>
      </c>
      <c r="AQ306" s="75">
        <f t="shared" si="69"/>
        <v>0</v>
      </c>
      <c r="AR306" s="75">
        <f t="shared" si="69"/>
        <v>0</v>
      </c>
      <c r="AS306" s="75">
        <f t="shared" si="69"/>
        <v>0</v>
      </c>
      <c r="AT306" s="75">
        <f t="shared" si="69"/>
        <v>0</v>
      </c>
      <c r="AU306" s="75">
        <f t="shared" si="69"/>
        <v>0</v>
      </c>
    </row>
    <row r="307" spans="1:47">
      <c r="A307" s="55"/>
      <c r="B307" s="55"/>
      <c r="C307" s="86"/>
      <c r="D307" s="86"/>
      <c r="E307" s="55"/>
      <c r="F307" s="55"/>
      <c r="G307" s="55"/>
      <c r="H307" s="55"/>
      <c r="I307" s="95">
        <f>J307*SUM(K307:AU307)</f>
        <v>5593.1565000000001</v>
      </c>
      <c r="J307" s="96">
        <v>372.87709999999998</v>
      </c>
      <c r="K307" s="95">
        <v>15</v>
      </c>
      <c r="L307" s="97"/>
      <c r="M307" s="55"/>
      <c r="N307" s="55"/>
    </row>
    <row r="308" spans="1:47" s="32" customFormat="1">
      <c r="A308" s="76" t="s">
        <v>384</v>
      </c>
      <c r="B308" s="76"/>
      <c r="C308" s="87"/>
      <c r="D308" s="87"/>
      <c r="E308" s="76"/>
      <c r="F308" s="76"/>
      <c r="G308" s="76"/>
      <c r="H308" s="76"/>
      <c r="I308" s="98">
        <f>J308*SUM(K308:AU308)</f>
        <v>0</v>
      </c>
      <c r="J308" s="99"/>
      <c r="K308" s="98"/>
      <c r="L308" s="100"/>
      <c r="M308" s="76"/>
      <c r="N308" s="76"/>
    </row>
    <row r="309" spans="1:47">
      <c r="A309" s="55"/>
      <c r="B309" s="55"/>
      <c r="C309" s="86"/>
      <c r="D309" s="86"/>
      <c r="E309" s="55"/>
      <c r="F309" s="55"/>
      <c r="G309" s="55"/>
      <c r="H309" s="55"/>
      <c r="I309" s="95">
        <f>J309*SUM(K309:AU309)</f>
        <v>-6170.8499999999995</v>
      </c>
      <c r="J309" s="96">
        <v>411.39</v>
      </c>
      <c r="K309" s="95"/>
      <c r="L309" s="97"/>
      <c r="M309" s="55">
        <v>-15</v>
      </c>
      <c r="N309" s="55"/>
    </row>
    <row r="310" spans="1:47" s="68" customFormat="1" ht="16" thickBot="1">
      <c r="A310" s="77" t="s">
        <v>385</v>
      </c>
      <c r="B310" s="77"/>
      <c r="C310" s="88"/>
      <c r="D310" s="88"/>
      <c r="E310" s="77"/>
      <c r="F310" s="77"/>
      <c r="G310" s="77"/>
      <c r="H310" s="77"/>
      <c r="I310" s="101">
        <f>J310*SUM(K310:AU310)</f>
        <v>0</v>
      </c>
      <c r="J310" s="102"/>
      <c r="K310" s="101"/>
      <c r="L310" s="103"/>
      <c r="M310" s="77"/>
      <c r="N310" s="77"/>
    </row>
    <row r="311" spans="1:47" s="69" customFormat="1" ht="17" thickTop="1" thickBot="1">
      <c r="A311" s="79" t="s">
        <v>408</v>
      </c>
      <c r="B311" s="80"/>
      <c r="C311" s="84">
        <v>157</v>
      </c>
      <c r="D311" s="89">
        <v>168</v>
      </c>
      <c r="E311" s="73">
        <f>C311/J312-1</f>
        <v>0.11855229410088342</v>
      </c>
      <c r="F311" s="73">
        <f>C311/D311-1</f>
        <v>-6.5476190476190466E-2</v>
      </c>
      <c r="G311" s="74">
        <f>E311+F311</f>
        <v>5.307610362469295E-2</v>
      </c>
      <c r="H311" s="78">
        <f>SUM(K312:AU312)*G311</f>
        <v>0</v>
      </c>
      <c r="I311" s="93"/>
      <c r="J311" s="94"/>
      <c r="K311" s="93"/>
      <c r="L311" s="93"/>
      <c r="M311" s="57"/>
      <c r="N311" s="57"/>
    </row>
    <row r="312" spans="1:47" ht="16" thickTop="1">
      <c r="A312" s="55"/>
      <c r="B312" s="55"/>
      <c r="C312" s="85"/>
      <c r="D312" s="85"/>
      <c r="E312" s="72"/>
      <c r="F312" s="72"/>
      <c r="G312" s="55"/>
      <c r="H312" s="55"/>
      <c r="I312" s="95">
        <f>SUM(I313:I317)</f>
        <v>-179.98000000000002</v>
      </c>
      <c r="J312" s="96">
        <f>SUM(I313:I314)/SUM(K313:AU314)</f>
        <v>140.36000000000001</v>
      </c>
      <c r="K312" s="95">
        <f t="shared" ref="K312:AU312" si="70">SUM(K313:K317)</f>
        <v>0</v>
      </c>
      <c r="L312" s="95">
        <f t="shared" si="70"/>
        <v>0</v>
      </c>
      <c r="M312" s="95">
        <f t="shared" si="70"/>
        <v>0</v>
      </c>
      <c r="N312" s="95">
        <f t="shared" si="70"/>
        <v>0</v>
      </c>
      <c r="O312" s="95">
        <f t="shared" si="70"/>
        <v>0</v>
      </c>
      <c r="P312" s="95">
        <f t="shared" si="70"/>
        <v>0</v>
      </c>
      <c r="Q312" s="95">
        <f t="shared" si="70"/>
        <v>0</v>
      </c>
      <c r="R312" s="95">
        <f t="shared" si="70"/>
        <v>0</v>
      </c>
      <c r="S312" s="95">
        <f t="shared" si="70"/>
        <v>0</v>
      </c>
      <c r="T312" s="95">
        <f t="shared" si="70"/>
        <v>0</v>
      </c>
      <c r="U312" s="95">
        <f t="shared" si="70"/>
        <v>0</v>
      </c>
      <c r="V312" s="95">
        <f t="shared" si="70"/>
        <v>0</v>
      </c>
      <c r="W312" s="95">
        <f t="shared" si="70"/>
        <v>0</v>
      </c>
      <c r="X312" s="95">
        <f t="shared" si="70"/>
        <v>0</v>
      </c>
      <c r="Y312" s="95">
        <f t="shared" si="70"/>
        <v>0</v>
      </c>
      <c r="Z312" s="95">
        <f t="shared" si="70"/>
        <v>0</v>
      </c>
      <c r="AA312" s="95">
        <f t="shared" si="70"/>
        <v>0</v>
      </c>
      <c r="AB312" s="95">
        <f t="shared" si="70"/>
        <v>0</v>
      </c>
      <c r="AC312" s="95">
        <f t="shared" si="70"/>
        <v>0</v>
      </c>
      <c r="AD312" s="95">
        <f t="shared" si="70"/>
        <v>0</v>
      </c>
      <c r="AE312" s="95">
        <f t="shared" si="70"/>
        <v>0</v>
      </c>
      <c r="AF312" s="95">
        <f t="shared" si="70"/>
        <v>0</v>
      </c>
      <c r="AG312" s="95">
        <f t="shared" si="70"/>
        <v>0</v>
      </c>
      <c r="AH312" s="95">
        <f t="shared" si="70"/>
        <v>0</v>
      </c>
      <c r="AI312" s="95">
        <f t="shared" si="70"/>
        <v>0</v>
      </c>
      <c r="AJ312" s="95">
        <f t="shared" si="70"/>
        <v>0</v>
      </c>
      <c r="AK312" s="95">
        <f t="shared" si="70"/>
        <v>0</v>
      </c>
      <c r="AL312" s="95">
        <f t="shared" si="70"/>
        <v>0</v>
      </c>
      <c r="AM312" s="95">
        <f t="shared" si="70"/>
        <v>0</v>
      </c>
      <c r="AN312" s="95">
        <f t="shared" si="70"/>
        <v>0</v>
      </c>
      <c r="AO312" s="95">
        <f t="shared" si="70"/>
        <v>0</v>
      </c>
      <c r="AP312" s="95">
        <f t="shared" si="70"/>
        <v>0</v>
      </c>
      <c r="AQ312" s="95">
        <f t="shared" si="70"/>
        <v>0</v>
      </c>
      <c r="AR312" s="95">
        <f t="shared" si="70"/>
        <v>0</v>
      </c>
      <c r="AS312" s="95">
        <f t="shared" si="70"/>
        <v>0</v>
      </c>
      <c r="AT312" s="95">
        <f t="shared" si="70"/>
        <v>0</v>
      </c>
      <c r="AU312" s="95">
        <f t="shared" si="70"/>
        <v>0</v>
      </c>
    </row>
    <row r="313" spans="1:47">
      <c r="A313" s="55"/>
      <c r="B313" s="55"/>
      <c r="C313" s="86"/>
      <c r="D313" s="86"/>
      <c r="E313" s="55"/>
      <c r="F313" s="55"/>
      <c r="G313" s="55"/>
      <c r="H313" s="55"/>
      <c r="I313" s="95">
        <f>J313*SUM(K313:AU313)</f>
        <v>701.80000000000007</v>
      </c>
      <c r="J313" s="96">
        <v>140.36000000000001</v>
      </c>
      <c r="K313" s="95">
        <v>5</v>
      </c>
      <c r="L313" s="97"/>
      <c r="M313" s="55"/>
      <c r="N313" s="55"/>
    </row>
    <row r="314" spans="1:47" s="32" customFormat="1">
      <c r="A314" s="76" t="s">
        <v>384</v>
      </c>
      <c r="B314" s="76"/>
      <c r="C314" s="87"/>
      <c r="D314" s="87"/>
      <c r="E314" s="76"/>
      <c r="F314" s="76"/>
      <c r="G314" s="76"/>
      <c r="H314" s="76"/>
      <c r="I314" s="98">
        <f>J314*SUM(K314:AU314)</f>
        <v>0</v>
      </c>
      <c r="J314" s="99"/>
      <c r="K314" s="98"/>
      <c r="L314" s="100"/>
      <c r="M314" s="76"/>
      <c r="N314" s="76"/>
    </row>
    <row r="315" spans="1:47">
      <c r="A315" s="55"/>
      <c r="B315" s="55"/>
      <c r="C315" s="86"/>
      <c r="D315" s="86"/>
      <c r="E315" s="55"/>
      <c r="F315" s="55"/>
      <c r="G315" s="55"/>
      <c r="H315" s="55"/>
      <c r="I315" s="95">
        <f>J315*SUM(K315:AU315)</f>
        <v>-359.6</v>
      </c>
      <c r="J315" s="96">
        <v>179.8</v>
      </c>
      <c r="K315" s="95">
        <v>-2</v>
      </c>
      <c r="L315" s="97"/>
      <c r="M315" s="55"/>
      <c r="N315" s="55"/>
    </row>
    <row r="316" spans="1:47" s="33" customFormat="1">
      <c r="A316" s="57" t="s">
        <v>385</v>
      </c>
      <c r="B316" s="57"/>
      <c r="C316" s="137"/>
      <c r="D316" s="137"/>
      <c r="E316" s="57"/>
      <c r="F316" s="57"/>
      <c r="G316" s="57"/>
      <c r="H316" s="57"/>
      <c r="I316" s="105">
        <f>J316*SUM(K316:AU316)</f>
        <v>-522.18000000000006</v>
      </c>
      <c r="J316" s="138">
        <v>174.06</v>
      </c>
      <c r="K316" s="105">
        <v>-3</v>
      </c>
      <c r="L316" s="93"/>
      <c r="M316" s="57"/>
      <c r="N316" s="57"/>
    </row>
    <row r="317" spans="1:47" s="68" customFormat="1" ht="16" thickBot="1">
      <c r="A317" s="77" t="s">
        <v>385</v>
      </c>
      <c r="B317" s="77"/>
      <c r="C317" s="88"/>
      <c r="D317" s="88"/>
      <c r="E317" s="77"/>
      <c r="F317" s="77"/>
      <c r="G317" s="77"/>
      <c r="H317" s="77"/>
      <c r="I317" s="101">
        <f>J317*SUM(K317:AU317)</f>
        <v>0</v>
      </c>
      <c r="J317" s="102"/>
      <c r="K317" s="101"/>
      <c r="L317" s="103"/>
      <c r="M317" s="77"/>
      <c r="N317" s="77"/>
    </row>
    <row r="318" spans="1:47" s="69" customFormat="1" ht="17" thickTop="1" thickBot="1">
      <c r="A318" s="79" t="s">
        <v>407</v>
      </c>
      <c r="B318" s="80"/>
      <c r="C318" s="84">
        <v>204.2</v>
      </c>
      <c r="D318" s="89">
        <v>206.68</v>
      </c>
      <c r="E318" s="73">
        <f>C318/J319-1</f>
        <v>-0.11834680721187496</v>
      </c>
      <c r="F318" s="73">
        <f>C318/D318-1</f>
        <v>-1.1999225856396456E-2</v>
      </c>
      <c r="G318" s="74">
        <f>E318+F318</f>
        <v>-0.13034603306827142</v>
      </c>
      <c r="H318" s="78">
        <f>SUM(K319:AU319)*G318</f>
        <v>0</v>
      </c>
      <c r="I318" s="93"/>
      <c r="J318" s="94"/>
      <c r="K318" s="93"/>
      <c r="L318" s="93"/>
      <c r="M318" s="57"/>
      <c r="N318" s="57"/>
    </row>
    <row r="319" spans="1:47" ht="16" thickTop="1">
      <c r="A319" s="55"/>
      <c r="B319" s="55"/>
      <c r="C319" s="85"/>
      <c r="D319" s="85"/>
      <c r="E319" s="72"/>
      <c r="F319" s="72"/>
      <c r="G319" s="55"/>
      <c r="H319" s="55"/>
      <c r="I319" s="95">
        <f>SUM(I320:I328)</f>
        <v>487.09999999999991</v>
      </c>
      <c r="J319" s="96">
        <f>SUM(I320:I324)/SUM(K320:AU324)</f>
        <v>231.6103448275862</v>
      </c>
      <c r="K319" s="95">
        <f>SUM(K320:K328)</f>
        <v>23</v>
      </c>
      <c r="L319" s="95">
        <f t="shared" ref="L319:AU319" si="71">SUM(L320:L328)</f>
        <v>0</v>
      </c>
      <c r="M319" s="95">
        <f t="shared" si="71"/>
        <v>-23</v>
      </c>
      <c r="N319" s="95">
        <f t="shared" si="71"/>
        <v>0</v>
      </c>
      <c r="O319" s="95">
        <f t="shared" si="71"/>
        <v>0</v>
      </c>
      <c r="P319" s="95">
        <f t="shared" si="71"/>
        <v>0</v>
      </c>
      <c r="Q319" s="95">
        <f t="shared" si="71"/>
        <v>0</v>
      </c>
      <c r="R319" s="95">
        <f t="shared" si="71"/>
        <v>0</v>
      </c>
      <c r="S319" s="95">
        <f t="shared" si="71"/>
        <v>0</v>
      </c>
      <c r="T319" s="95">
        <f t="shared" si="71"/>
        <v>0</v>
      </c>
      <c r="U319" s="95">
        <f t="shared" si="71"/>
        <v>0</v>
      </c>
      <c r="V319" s="95">
        <f t="shared" si="71"/>
        <v>0</v>
      </c>
      <c r="W319" s="95">
        <f t="shared" si="71"/>
        <v>0</v>
      </c>
      <c r="X319" s="95">
        <f t="shared" si="71"/>
        <v>0</v>
      </c>
      <c r="Y319" s="95">
        <f t="shared" si="71"/>
        <v>0</v>
      </c>
      <c r="Z319" s="95">
        <f t="shared" si="71"/>
        <v>0</v>
      </c>
      <c r="AA319" s="95">
        <f t="shared" si="71"/>
        <v>0</v>
      </c>
      <c r="AB319" s="95">
        <f t="shared" si="71"/>
        <v>0</v>
      </c>
      <c r="AC319" s="95">
        <f t="shared" si="71"/>
        <v>0</v>
      </c>
      <c r="AD319" s="95">
        <f t="shared" si="71"/>
        <v>0</v>
      </c>
      <c r="AE319" s="95">
        <f t="shared" si="71"/>
        <v>0</v>
      </c>
      <c r="AF319" s="95">
        <f t="shared" si="71"/>
        <v>0</v>
      </c>
      <c r="AG319" s="95">
        <f t="shared" si="71"/>
        <v>0</v>
      </c>
      <c r="AH319" s="95">
        <f t="shared" si="71"/>
        <v>0</v>
      </c>
      <c r="AI319" s="95">
        <f t="shared" si="71"/>
        <v>0</v>
      </c>
      <c r="AJ319" s="95">
        <f t="shared" si="71"/>
        <v>0</v>
      </c>
      <c r="AK319" s="95">
        <f t="shared" si="71"/>
        <v>0</v>
      </c>
      <c r="AL319" s="95">
        <f t="shared" si="71"/>
        <v>0</v>
      </c>
      <c r="AM319" s="95">
        <f t="shared" si="71"/>
        <v>0</v>
      </c>
      <c r="AN319" s="95">
        <f t="shared" si="71"/>
        <v>0</v>
      </c>
      <c r="AO319" s="95">
        <f t="shared" si="71"/>
        <v>0</v>
      </c>
      <c r="AP319" s="95">
        <f t="shared" si="71"/>
        <v>0</v>
      </c>
      <c r="AQ319" s="95">
        <f t="shared" si="71"/>
        <v>0</v>
      </c>
      <c r="AR319" s="95">
        <f t="shared" si="71"/>
        <v>0</v>
      </c>
      <c r="AS319" s="95">
        <f t="shared" si="71"/>
        <v>0</v>
      </c>
      <c r="AT319" s="95">
        <f t="shared" si="71"/>
        <v>0</v>
      </c>
      <c r="AU319" s="95">
        <f t="shared" si="71"/>
        <v>0</v>
      </c>
    </row>
    <row r="320" spans="1:47">
      <c r="A320" s="55"/>
      <c r="B320" s="55"/>
      <c r="C320" s="86"/>
      <c r="D320" s="86"/>
      <c r="E320" s="55"/>
      <c r="F320" s="55"/>
      <c r="G320" s="55"/>
      <c r="H320" s="55"/>
      <c r="I320" s="95">
        <f t="shared" ref="I320:I328" si="72">J320*SUM(K320:AU320)</f>
        <v>4744.2</v>
      </c>
      <c r="J320" s="96">
        <v>237.21</v>
      </c>
      <c r="K320" s="95">
        <v>20</v>
      </c>
      <c r="L320" s="97"/>
      <c r="M320" s="55"/>
      <c r="N320" s="55"/>
    </row>
    <row r="321" spans="1:47">
      <c r="A321" s="55"/>
      <c r="B321" s="55"/>
      <c r="C321" s="86"/>
      <c r="D321" s="86"/>
      <c r="E321" s="55"/>
      <c r="F321" s="55"/>
      <c r="G321" s="55"/>
      <c r="H321" s="55"/>
      <c r="I321" s="95">
        <f t="shared" si="72"/>
        <v>684.59999999999991</v>
      </c>
      <c r="J321" s="96">
        <v>228.2</v>
      </c>
      <c r="K321" s="95">
        <v>3</v>
      </c>
      <c r="L321" s="97"/>
      <c r="M321" s="55"/>
      <c r="N321" s="55"/>
    </row>
    <row r="322" spans="1:47">
      <c r="A322" s="55"/>
      <c r="B322" s="55"/>
      <c r="C322" s="86"/>
      <c r="D322" s="86"/>
      <c r="E322" s="55"/>
      <c r="F322" s="55"/>
      <c r="G322" s="55"/>
      <c r="H322" s="55"/>
      <c r="I322" s="95">
        <f t="shared" si="72"/>
        <v>666.93000000000006</v>
      </c>
      <c r="J322" s="96">
        <v>222.31</v>
      </c>
      <c r="K322" s="95">
        <v>3</v>
      </c>
      <c r="L322" s="97"/>
      <c r="M322" s="55"/>
      <c r="N322" s="55"/>
    </row>
    <row r="323" spans="1:47">
      <c r="A323" s="55"/>
      <c r="B323" s="55"/>
      <c r="C323" s="86"/>
      <c r="D323" s="86"/>
      <c r="E323" s="55"/>
      <c r="F323" s="55"/>
      <c r="G323" s="55"/>
      <c r="H323" s="55"/>
      <c r="I323" s="95">
        <f t="shared" si="72"/>
        <v>620.97</v>
      </c>
      <c r="J323" s="96">
        <v>206.99</v>
      </c>
      <c r="K323" s="95">
        <v>3</v>
      </c>
      <c r="L323" s="97"/>
      <c r="M323" s="55"/>
      <c r="N323" s="55"/>
    </row>
    <row r="324" spans="1:47" s="32" customFormat="1">
      <c r="A324" s="76" t="s">
        <v>384</v>
      </c>
      <c r="B324" s="76"/>
      <c r="C324" s="87"/>
      <c r="D324" s="87"/>
      <c r="E324" s="76"/>
      <c r="F324" s="76"/>
      <c r="G324" s="76"/>
      <c r="H324" s="76"/>
      <c r="I324" s="98">
        <f t="shared" si="72"/>
        <v>0</v>
      </c>
      <c r="J324" s="99"/>
      <c r="K324" s="98"/>
      <c r="L324" s="100"/>
      <c r="M324" s="76"/>
      <c r="N324" s="76"/>
    </row>
    <row r="325" spans="1:47">
      <c r="A325" s="55"/>
      <c r="B325" s="55"/>
      <c r="C325" s="86"/>
      <c r="D325" s="86"/>
      <c r="E325" s="55"/>
      <c r="F325" s="55"/>
      <c r="G325" s="55"/>
      <c r="H325" s="55"/>
      <c r="I325" s="95">
        <f t="shared" si="72"/>
        <v>-1399.5</v>
      </c>
      <c r="J325" s="96">
        <v>233.25</v>
      </c>
      <c r="K325" s="95">
        <v>-6</v>
      </c>
      <c r="L325" s="97"/>
      <c r="M325" s="55"/>
      <c r="N325" s="55"/>
    </row>
    <row r="326" spans="1:47" s="33" customFormat="1">
      <c r="A326" s="57" t="s">
        <v>385</v>
      </c>
      <c r="B326" s="57"/>
      <c r="C326" s="137"/>
      <c r="D326" s="137"/>
      <c r="E326" s="57"/>
      <c r="F326" s="57"/>
      <c r="G326" s="57"/>
      <c r="H326" s="57"/>
      <c r="I326" s="105">
        <f t="shared" ref="I326" si="73">J326*SUM(K326:AU326)</f>
        <v>-2057.1999999999998</v>
      </c>
      <c r="J326" s="138">
        <v>205.72</v>
      </c>
      <c r="K326" s="105"/>
      <c r="L326" s="93"/>
      <c r="M326" s="57">
        <v>-10</v>
      </c>
      <c r="N326" s="57"/>
    </row>
    <row r="327" spans="1:47" s="33" customFormat="1">
      <c r="A327" s="57" t="s">
        <v>385</v>
      </c>
      <c r="B327" s="57"/>
      <c r="C327" s="137"/>
      <c r="D327" s="137"/>
      <c r="E327" s="57"/>
      <c r="F327" s="57"/>
      <c r="G327" s="57"/>
      <c r="H327" s="57"/>
      <c r="I327" s="105">
        <f t="shared" ref="I327" si="74">J327*SUM(K327:AU327)</f>
        <v>-2772.9</v>
      </c>
      <c r="J327" s="138">
        <v>213.3</v>
      </c>
      <c r="K327" s="105"/>
      <c r="L327" s="93"/>
      <c r="M327" s="57">
        <v>-13</v>
      </c>
      <c r="N327" s="57"/>
    </row>
    <row r="328" spans="1:47" s="68" customFormat="1" ht="16" thickBot="1">
      <c r="A328" s="77" t="s">
        <v>385</v>
      </c>
      <c r="B328" s="77"/>
      <c r="C328" s="88"/>
      <c r="D328" s="88"/>
      <c r="E328" s="77"/>
      <c r="F328" s="77"/>
      <c r="G328" s="77"/>
      <c r="H328" s="77"/>
      <c r="I328" s="101">
        <f t="shared" si="72"/>
        <v>0</v>
      </c>
      <c r="J328" s="102"/>
      <c r="K328" s="101"/>
      <c r="L328" s="103"/>
      <c r="M328" s="77"/>
      <c r="N328" s="77"/>
    </row>
    <row r="329" spans="1:47" s="69" customFormat="1" ht="19" thickTop="1" thickBot="1">
      <c r="A329" s="79" t="s">
        <v>405</v>
      </c>
      <c r="B329" s="139" t="s">
        <v>514</v>
      </c>
      <c r="C329" s="84">
        <v>35</v>
      </c>
      <c r="D329" s="89">
        <v>90</v>
      </c>
      <c r="E329" s="73">
        <f>C329/J330-1</f>
        <v>-0.73478898237658208</v>
      </c>
      <c r="F329" s="73">
        <f>C329/D329-1</f>
        <v>-0.61111111111111116</v>
      </c>
      <c r="G329" s="74">
        <f>E329+F329</f>
        <v>-1.3459000934876932</v>
      </c>
      <c r="H329" s="78">
        <f>SUM(K330:AU330)*G329</f>
        <v>0</v>
      </c>
      <c r="I329" s="93"/>
      <c r="J329" s="94"/>
      <c r="K329" s="93"/>
      <c r="L329" s="93"/>
      <c r="M329" s="57"/>
      <c r="N329" s="57"/>
    </row>
    <row r="330" spans="1:47" ht="16" thickTop="1">
      <c r="A330" s="55"/>
      <c r="B330" s="55"/>
      <c r="C330" s="85"/>
      <c r="D330" s="85"/>
      <c r="E330" s="72"/>
      <c r="F330" s="72"/>
      <c r="G330" s="55"/>
      <c r="H330" s="55"/>
      <c r="I330" s="95">
        <f>SUM(I331:I338)</f>
        <v>583.01000000000045</v>
      </c>
      <c r="J330" s="96">
        <f>SUM(I331:I334)/SUM(K331:AU334)</f>
        <v>131.9703846153846</v>
      </c>
      <c r="K330" s="95">
        <f t="shared" ref="K330:AU330" si="75">SUM(K331:K338)</f>
        <v>20</v>
      </c>
      <c r="L330" s="95">
        <f t="shared" si="75"/>
        <v>6</v>
      </c>
      <c r="M330" s="75">
        <f t="shared" si="75"/>
        <v>-26</v>
      </c>
      <c r="N330" s="75">
        <f t="shared" si="75"/>
        <v>0</v>
      </c>
      <c r="O330" s="75">
        <f t="shared" si="75"/>
        <v>0</v>
      </c>
      <c r="P330" s="75">
        <f t="shared" si="75"/>
        <v>0</v>
      </c>
      <c r="Q330" s="75">
        <f t="shared" si="75"/>
        <v>0</v>
      </c>
      <c r="R330" s="75">
        <f t="shared" si="75"/>
        <v>0</v>
      </c>
      <c r="S330" s="75">
        <f t="shared" si="75"/>
        <v>0</v>
      </c>
      <c r="T330" s="75">
        <f t="shared" si="75"/>
        <v>0</v>
      </c>
      <c r="U330" s="75">
        <f t="shared" si="75"/>
        <v>0</v>
      </c>
      <c r="V330" s="75">
        <f t="shared" si="75"/>
        <v>0</v>
      </c>
      <c r="W330" s="75">
        <f t="shared" si="75"/>
        <v>0</v>
      </c>
      <c r="X330" s="75">
        <f t="shared" si="75"/>
        <v>0</v>
      </c>
      <c r="Y330" s="75">
        <f t="shared" si="75"/>
        <v>0</v>
      </c>
      <c r="Z330" s="75">
        <f t="shared" si="75"/>
        <v>0</v>
      </c>
      <c r="AA330" s="75">
        <f t="shared" si="75"/>
        <v>0</v>
      </c>
      <c r="AB330" s="75">
        <f t="shared" si="75"/>
        <v>0</v>
      </c>
      <c r="AC330" s="75">
        <f t="shared" si="75"/>
        <v>0</v>
      </c>
      <c r="AD330" s="75">
        <f t="shared" si="75"/>
        <v>0</v>
      </c>
      <c r="AE330" s="75">
        <f t="shared" si="75"/>
        <v>0</v>
      </c>
      <c r="AF330" s="75">
        <f t="shared" si="75"/>
        <v>0</v>
      </c>
      <c r="AG330" s="75">
        <f t="shared" si="75"/>
        <v>0</v>
      </c>
      <c r="AH330" s="75">
        <f t="shared" si="75"/>
        <v>0</v>
      </c>
      <c r="AI330" s="75">
        <f t="shared" si="75"/>
        <v>0</v>
      </c>
      <c r="AJ330" s="75">
        <f t="shared" si="75"/>
        <v>0</v>
      </c>
      <c r="AK330" s="75">
        <f t="shared" si="75"/>
        <v>0</v>
      </c>
      <c r="AL330" s="75">
        <f t="shared" si="75"/>
        <v>0</v>
      </c>
      <c r="AM330" s="75">
        <f t="shared" si="75"/>
        <v>0</v>
      </c>
      <c r="AN330" s="75">
        <f t="shared" si="75"/>
        <v>0</v>
      </c>
      <c r="AO330" s="75">
        <f t="shared" si="75"/>
        <v>0</v>
      </c>
      <c r="AP330" s="75">
        <f t="shared" si="75"/>
        <v>0</v>
      </c>
      <c r="AQ330" s="75">
        <f t="shared" si="75"/>
        <v>0</v>
      </c>
      <c r="AR330" s="75">
        <f t="shared" si="75"/>
        <v>0</v>
      </c>
      <c r="AS330" s="75">
        <f t="shared" si="75"/>
        <v>0</v>
      </c>
      <c r="AT330" s="75">
        <f t="shared" si="75"/>
        <v>0</v>
      </c>
      <c r="AU330" s="75">
        <f t="shared" si="75"/>
        <v>0</v>
      </c>
    </row>
    <row r="331" spans="1:47">
      <c r="A331" s="55"/>
      <c r="B331" s="55"/>
      <c r="C331" s="86"/>
      <c r="D331" s="86"/>
      <c r="E331" s="55"/>
      <c r="F331" s="55"/>
      <c r="G331" s="55"/>
      <c r="H331" s="55"/>
      <c r="I331" s="95">
        <f>J331*SUM(K331:AU331)</f>
        <v>2680</v>
      </c>
      <c r="J331" s="96">
        <v>134</v>
      </c>
      <c r="K331" s="95">
        <v>20</v>
      </c>
      <c r="L331" s="97"/>
      <c r="M331" s="55"/>
      <c r="N331" s="55"/>
    </row>
    <row r="332" spans="1:47">
      <c r="A332" s="55"/>
      <c r="B332" s="55"/>
      <c r="C332" s="86"/>
      <c r="D332" s="86"/>
      <c r="E332" s="55"/>
      <c r="F332" s="55"/>
      <c r="G332" s="55"/>
      <c r="H332" s="55"/>
      <c r="I332" s="95">
        <f t="shared" ref="I332:I333" si="76">J332*SUM(K332:AU332)</f>
        <v>390.06000000000006</v>
      </c>
      <c r="J332" s="96">
        <v>130.02000000000001</v>
      </c>
      <c r="K332" s="95"/>
      <c r="L332" s="97">
        <v>3</v>
      </c>
      <c r="M332" s="55"/>
      <c r="N332" s="55"/>
    </row>
    <row r="333" spans="1:47">
      <c r="A333" s="55"/>
      <c r="B333" s="55"/>
      <c r="C333" s="86"/>
      <c r="D333" s="86"/>
      <c r="E333" s="55"/>
      <c r="F333" s="55"/>
      <c r="G333" s="55"/>
      <c r="H333" s="55"/>
      <c r="I333" s="95">
        <f t="shared" si="76"/>
        <v>361.17</v>
      </c>
      <c r="J333" s="96">
        <v>120.39</v>
      </c>
      <c r="K333" s="95"/>
      <c r="L333" s="97">
        <v>3</v>
      </c>
      <c r="M333" s="55"/>
      <c r="N333" s="55"/>
    </row>
    <row r="334" spans="1:47" s="32" customFormat="1">
      <c r="A334" s="76" t="s">
        <v>384</v>
      </c>
      <c r="B334" s="76"/>
      <c r="C334" s="87"/>
      <c r="D334" s="87"/>
      <c r="E334" s="76"/>
      <c r="F334" s="76"/>
      <c r="G334" s="76"/>
      <c r="H334" s="76"/>
      <c r="I334" s="98">
        <f>J334*SUM(K334:AU334)</f>
        <v>0</v>
      </c>
      <c r="J334" s="99"/>
      <c r="K334" s="98"/>
      <c r="L334" s="100"/>
      <c r="M334" s="76"/>
      <c r="N334" s="76"/>
    </row>
    <row r="335" spans="1:47">
      <c r="A335" s="55"/>
      <c r="B335" s="55"/>
      <c r="C335" s="86"/>
      <c r="D335" s="86"/>
      <c r="E335" s="55"/>
      <c r="F335" s="55"/>
      <c r="G335" s="55"/>
      <c r="H335" s="55"/>
      <c r="I335" s="95">
        <f>J335*SUM(K335:AU335)</f>
        <v>-1188.55</v>
      </c>
      <c r="J335" s="96">
        <v>108.05</v>
      </c>
      <c r="K335" s="95"/>
      <c r="L335" s="97"/>
      <c r="M335" s="55">
        <v>-11</v>
      </c>
      <c r="N335" s="55"/>
    </row>
    <row r="336" spans="1:47" s="33" customFormat="1">
      <c r="A336" s="57" t="s">
        <v>385</v>
      </c>
      <c r="B336" s="57"/>
      <c r="C336" s="137"/>
      <c r="D336" s="137"/>
      <c r="E336" s="57"/>
      <c r="F336" s="57"/>
      <c r="G336" s="57"/>
      <c r="H336" s="57"/>
      <c r="I336" s="105">
        <f>J336*SUM(K336:AU336)</f>
        <v>-216.8</v>
      </c>
      <c r="J336" s="138">
        <v>108.4</v>
      </c>
      <c r="K336" s="105"/>
      <c r="L336" s="93"/>
      <c r="M336" s="57">
        <v>-2</v>
      </c>
      <c r="N336" s="57"/>
    </row>
    <row r="337" spans="1:47" s="33" customFormat="1">
      <c r="A337" s="57" t="s">
        <v>385</v>
      </c>
      <c r="B337" s="57"/>
      <c r="C337" s="137"/>
      <c r="D337" s="137"/>
      <c r="E337" s="57"/>
      <c r="F337" s="57"/>
      <c r="G337" s="57"/>
      <c r="H337" s="57"/>
      <c r="I337" s="105">
        <f>J337*SUM(K337:AU337)</f>
        <v>-1442.87</v>
      </c>
      <c r="J337" s="138">
        <v>110.99</v>
      </c>
      <c r="K337" s="105"/>
      <c r="L337" s="93"/>
      <c r="M337" s="57">
        <v>-13</v>
      </c>
      <c r="N337" s="57"/>
    </row>
    <row r="338" spans="1:47" s="68" customFormat="1">
      <c r="A338" s="77" t="s">
        <v>385</v>
      </c>
      <c r="B338" s="77"/>
      <c r="C338" s="88"/>
      <c r="D338" s="88"/>
      <c r="E338" s="77"/>
      <c r="F338" s="77"/>
      <c r="G338" s="77"/>
      <c r="H338" s="77"/>
      <c r="I338" s="101">
        <f>J338*SUM(K338:AU338)</f>
        <v>0</v>
      </c>
      <c r="J338" s="102"/>
      <c r="K338" s="101"/>
      <c r="L338" s="103"/>
      <c r="M338" s="77"/>
      <c r="N338" s="77"/>
    </row>
    <row r="339" spans="1:47" ht="17">
      <c r="A339" t="s">
        <v>424</v>
      </c>
      <c r="B339" s="142" t="s">
        <v>507</v>
      </c>
      <c r="C339" s="111">
        <v>51</v>
      </c>
      <c r="D339" s="6">
        <v>0.64</v>
      </c>
      <c r="E339" s="107">
        <f t="shared" ref="E339" si="77">(D339/C339)*0.85</f>
        <v>1.0666666666666666E-2</v>
      </c>
      <c r="F339" s="107">
        <f>(D339/J340)*0.85</f>
        <v>9.5013535935726135E-3</v>
      </c>
      <c r="G339" s="108">
        <f>F339/E339-1</f>
        <v>-0.1092481006025674</v>
      </c>
      <c r="H339" s="78">
        <f>SUM(K340:AU340)*G339</f>
        <v>0</v>
      </c>
    </row>
    <row r="340" spans="1:47">
      <c r="A340" s="55"/>
      <c r="B340" s="55"/>
      <c r="C340" s="72"/>
      <c r="D340" s="72"/>
      <c r="E340" s="72"/>
      <c r="F340" s="72"/>
      <c r="G340" s="55"/>
      <c r="H340" s="55"/>
      <c r="I340" s="96">
        <f>SUM(I341:I345)</f>
        <v>344.30000000000018</v>
      </c>
      <c r="J340" s="96">
        <f>SUM(I341:I342)/SUM(K341:AU342)</f>
        <v>57.255000000000003</v>
      </c>
      <c r="K340" s="56">
        <f>SUM(K341:K345)</f>
        <v>100</v>
      </c>
      <c r="L340" s="56">
        <f t="shared" ref="L340:AU340" si="78">SUM(L341:L345)</f>
        <v>0</v>
      </c>
      <c r="M340" s="56">
        <f t="shared" si="78"/>
        <v>-50</v>
      </c>
      <c r="N340" s="56">
        <f t="shared" si="78"/>
        <v>-50</v>
      </c>
      <c r="O340" s="56">
        <f t="shared" si="78"/>
        <v>0</v>
      </c>
      <c r="P340" s="56">
        <f t="shared" si="78"/>
        <v>0</v>
      </c>
      <c r="Q340" s="56">
        <f t="shared" si="78"/>
        <v>0</v>
      </c>
      <c r="R340" s="56">
        <f t="shared" si="78"/>
        <v>0</v>
      </c>
      <c r="S340" s="56">
        <f t="shared" si="78"/>
        <v>0</v>
      </c>
      <c r="T340" s="56">
        <f t="shared" si="78"/>
        <v>0</v>
      </c>
      <c r="U340" s="56">
        <f t="shared" si="78"/>
        <v>0</v>
      </c>
      <c r="V340" s="56">
        <f t="shared" si="78"/>
        <v>0</v>
      </c>
      <c r="W340" s="56">
        <f t="shared" si="78"/>
        <v>0</v>
      </c>
      <c r="X340" s="56">
        <f t="shared" si="78"/>
        <v>0</v>
      </c>
      <c r="Y340" s="56">
        <f t="shared" si="78"/>
        <v>0</v>
      </c>
      <c r="Z340" s="56">
        <f t="shared" si="78"/>
        <v>0</v>
      </c>
      <c r="AA340" s="56">
        <f t="shared" si="78"/>
        <v>0</v>
      </c>
      <c r="AB340" s="56">
        <f t="shared" si="78"/>
        <v>0</v>
      </c>
      <c r="AC340" s="56">
        <f t="shared" si="78"/>
        <v>0</v>
      </c>
      <c r="AD340" s="56">
        <f t="shared" si="78"/>
        <v>0</v>
      </c>
      <c r="AE340" s="56">
        <f t="shared" si="78"/>
        <v>0</v>
      </c>
      <c r="AF340" s="56">
        <f t="shared" si="78"/>
        <v>0</v>
      </c>
      <c r="AG340" s="56">
        <f t="shared" si="78"/>
        <v>0</v>
      </c>
      <c r="AH340" s="56">
        <f t="shared" si="78"/>
        <v>0</v>
      </c>
      <c r="AI340" s="56">
        <f t="shared" si="78"/>
        <v>0</v>
      </c>
      <c r="AJ340" s="56">
        <f t="shared" si="78"/>
        <v>0</v>
      </c>
      <c r="AK340" s="56">
        <f t="shared" si="78"/>
        <v>0</v>
      </c>
      <c r="AL340" s="56">
        <f t="shared" si="78"/>
        <v>0</v>
      </c>
      <c r="AM340" s="56">
        <f t="shared" si="78"/>
        <v>0</v>
      </c>
      <c r="AN340" s="56">
        <f t="shared" si="78"/>
        <v>0</v>
      </c>
      <c r="AO340" s="56">
        <f t="shared" si="78"/>
        <v>0</v>
      </c>
      <c r="AP340" s="56">
        <f t="shared" si="78"/>
        <v>0</v>
      </c>
      <c r="AQ340" s="56">
        <f t="shared" si="78"/>
        <v>0</v>
      </c>
      <c r="AR340" s="56">
        <f t="shared" si="78"/>
        <v>0</v>
      </c>
      <c r="AS340" s="56">
        <f t="shared" si="78"/>
        <v>0</v>
      </c>
      <c r="AT340" s="56">
        <f t="shared" si="78"/>
        <v>0</v>
      </c>
      <c r="AU340" s="56">
        <f t="shared" si="78"/>
        <v>0</v>
      </c>
    </row>
    <row r="341" spans="1:47">
      <c r="A341" s="55"/>
      <c r="B341" s="55"/>
      <c r="C341" s="55"/>
      <c r="D341" s="55"/>
      <c r="E341" s="55"/>
      <c r="F341" s="72"/>
      <c r="G341" s="55"/>
      <c r="H341" s="55"/>
      <c r="I341" s="96">
        <f>J341*SUM(K341:AU341)</f>
        <v>5725.5</v>
      </c>
      <c r="J341" s="96">
        <v>57.255000000000003</v>
      </c>
      <c r="K341" s="56">
        <v>100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 spans="1:47" s="32" customFormat="1">
      <c r="A342" s="76" t="s">
        <v>384</v>
      </c>
      <c r="B342" s="76"/>
      <c r="C342" s="76"/>
      <c r="D342" s="76"/>
      <c r="E342" s="76"/>
      <c r="F342" s="76"/>
      <c r="G342" s="76"/>
      <c r="H342" s="76"/>
      <c r="I342" s="99">
        <f>J342*SUM(K342:AU342)</f>
        <v>0</v>
      </c>
      <c r="J342" s="99"/>
      <c r="K342" s="98"/>
      <c r="L342" s="100"/>
      <c r="M342" s="76"/>
      <c r="N342" s="76"/>
    </row>
    <row r="343" spans="1:47">
      <c r="A343" s="55"/>
      <c r="B343" s="55"/>
      <c r="C343" s="55"/>
      <c r="D343" s="55"/>
      <c r="E343" s="55"/>
      <c r="F343" s="55"/>
      <c r="G343" s="55"/>
      <c r="H343" s="55"/>
      <c r="I343" s="96">
        <f>J343*SUM(K343:AU343)</f>
        <v>-2651.7</v>
      </c>
      <c r="J343" s="96">
        <v>53.033999999999999</v>
      </c>
      <c r="K343" s="95"/>
      <c r="L343" s="97"/>
      <c r="M343" s="55">
        <v>-50</v>
      </c>
      <c r="N343" s="55"/>
    </row>
    <row r="344" spans="1:47" s="33" customFormat="1">
      <c r="A344" s="57" t="s">
        <v>385</v>
      </c>
      <c r="B344" s="57"/>
      <c r="C344" s="57"/>
      <c r="D344" s="57"/>
      <c r="E344" s="57"/>
      <c r="F344" s="57"/>
      <c r="G344" s="57"/>
      <c r="H344" s="57"/>
      <c r="I344" s="138">
        <f>J344*SUM(K344:AU344)</f>
        <v>-2729.5</v>
      </c>
      <c r="J344" s="138">
        <v>54.59</v>
      </c>
      <c r="K344" s="105"/>
      <c r="L344" s="93"/>
      <c r="M344" s="57"/>
      <c r="N344" s="57">
        <v>-50</v>
      </c>
    </row>
    <row r="345" spans="1:47" s="68" customFormat="1" ht="16" thickBot="1">
      <c r="A345" s="77" t="s">
        <v>385</v>
      </c>
      <c r="B345" s="77"/>
      <c r="C345" s="77"/>
      <c r="D345" s="77"/>
      <c r="E345" s="77"/>
      <c r="F345" s="77"/>
      <c r="G345" s="77"/>
      <c r="H345" s="77"/>
      <c r="I345" s="102">
        <f>J345*SUM(K345:AU345)</f>
        <v>0</v>
      </c>
      <c r="J345" s="102"/>
      <c r="K345" s="101"/>
      <c r="L345" s="103"/>
      <c r="M345" s="77"/>
      <c r="N345" s="77"/>
    </row>
    <row r="346" spans="1:47" s="69" customFormat="1" ht="19" thickTop="1" thickBot="1">
      <c r="A346" s="79" t="s">
        <v>375</v>
      </c>
      <c r="B346" s="139" t="s">
        <v>511</v>
      </c>
      <c r="C346" s="81">
        <v>2980</v>
      </c>
      <c r="D346" s="82">
        <v>2484</v>
      </c>
      <c r="E346" s="73">
        <f>C346/J347-1</f>
        <v>1.3239604802013138E-2</v>
      </c>
      <c r="F346" s="73">
        <f>C346/D346-1</f>
        <v>0.19967793880837359</v>
      </c>
      <c r="G346" s="74">
        <f>E346+F346</f>
        <v>0.21291754361038673</v>
      </c>
      <c r="H346" s="78">
        <f>SUM(K347:AU347)*G346</f>
        <v>0</v>
      </c>
      <c r="I346" s="93"/>
      <c r="J346" s="93"/>
      <c r="K346" s="93"/>
      <c r="L346" s="93"/>
      <c r="M346" s="57"/>
      <c r="N346" s="57"/>
    </row>
    <row r="347" spans="1:47" ht="16" thickTop="1">
      <c r="A347" s="55"/>
      <c r="B347" s="55"/>
      <c r="C347" s="72"/>
      <c r="D347" s="72"/>
      <c r="E347" s="72"/>
      <c r="F347" s="72"/>
      <c r="G347" s="55"/>
      <c r="H347" s="55"/>
      <c r="I347" s="95">
        <f>SUM(I348:I355)</f>
        <v>-22145</v>
      </c>
      <c r="J347" s="95">
        <f>SUM(I348:I353)/SUM(K348:AU353)</f>
        <v>2941.061507936508</v>
      </c>
      <c r="K347" s="95">
        <f>SUM(K348:K355)</f>
        <v>504</v>
      </c>
      <c r="L347" s="95">
        <f t="shared" ref="L347:AU347" si="79">SUM(L348:L355)</f>
        <v>0</v>
      </c>
      <c r="M347" s="75">
        <f t="shared" si="79"/>
        <v>0</v>
      </c>
      <c r="N347" s="75">
        <f t="shared" si="79"/>
        <v>-504</v>
      </c>
      <c r="O347" s="75">
        <f t="shared" si="79"/>
        <v>0</v>
      </c>
      <c r="P347" s="75">
        <f t="shared" si="79"/>
        <v>0</v>
      </c>
      <c r="Q347" s="75">
        <f t="shared" si="79"/>
        <v>0</v>
      </c>
      <c r="R347" s="75">
        <f t="shared" si="79"/>
        <v>0</v>
      </c>
      <c r="S347" s="75">
        <f t="shared" si="79"/>
        <v>0</v>
      </c>
      <c r="T347" s="75">
        <f t="shared" si="79"/>
        <v>0</v>
      </c>
      <c r="U347" s="75">
        <f t="shared" si="79"/>
        <v>0</v>
      </c>
      <c r="V347" s="75">
        <f t="shared" si="79"/>
        <v>0</v>
      </c>
      <c r="W347" s="75">
        <f t="shared" si="79"/>
        <v>0</v>
      </c>
      <c r="X347" s="75">
        <f t="shared" si="79"/>
        <v>0</v>
      </c>
      <c r="Y347" s="75">
        <f t="shared" si="79"/>
        <v>0</v>
      </c>
      <c r="Z347" s="75">
        <f t="shared" si="79"/>
        <v>0</v>
      </c>
      <c r="AA347" s="75">
        <f t="shared" si="79"/>
        <v>0</v>
      </c>
      <c r="AB347" s="75">
        <f t="shared" si="79"/>
        <v>0</v>
      </c>
      <c r="AC347" s="75">
        <f t="shared" si="79"/>
        <v>0</v>
      </c>
      <c r="AD347" s="75">
        <f t="shared" si="79"/>
        <v>0</v>
      </c>
      <c r="AE347" s="75">
        <f t="shared" si="79"/>
        <v>0</v>
      </c>
      <c r="AF347" s="75">
        <f t="shared" si="79"/>
        <v>0</v>
      </c>
      <c r="AG347" s="75">
        <f t="shared" si="79"/>
        <v>0</v>
      </c>
      <c r="AH347" s="75">
        <f t="shared" si="79"/>
        <v>0</v>
      </c>
      <c r="AI347" s="75">
        <f t="shared" si="79"/>
        <v>0</v>
      </c>
      <c r="AJ347" s="75">
        <f t="shared" si="79"/>
        <v>0</v>
      </c>
      <c r="AK347" s="75">
        <f t="shared" si="79"/>
        <v>0</v>
      </c>
      <c r="AL347" s="75">
        <f t="shared" si="79"/>
        <v>0</v>
      </c>
      <c r="AM347" s="75">
        <f t="shared" si="79"/>
        <v>0</v>
      </c>
      <c r="AN347" s="75">
        <f t="shared" si="79"/>
        <v>0</v>
      </c>
      <c r="AO347" s="75">
        <f t="shared" si="79"/>
        <v>0</v>
      </c>
      <c r="AP347" s="75">
        <f t="shared" si="79"/>
        <v>0</v>
      </c>
      <c r="AQ347" s="75">
        <f t="shared" si="79"/>
        <v>0</v>
      </c>
      <c r="AR347" s="75">
        <f t="shared" si="79"/>
        <v>0</v>
      </c>
      <c r="AS347" s="75">
        <f t="shared" si="79"/>
        <v>0</v>
      </c>
      <c r="AT347" s="75">
        <f t="shared" si="79"/>
        <v>0</v>
      </c>
      <c r="AU347" s="75">
        <f t="shared" si="79"/>
        <v>0</v>
      </c>
    </row>
    <row r="348" spans="1:47">
      <c r="A348" s="55"/>
      <c r="B348" s="55"/>
      <c r="C348" s="55"/>
      <c r="D348" s="55"/>
      <c r="E348" s="55"/>
      <c r="F348" s="55"/>
      <c r="G348" s="55"/>
      <c r="H348" s="55"/>
      <c r="I348" s="95">
        <f>J348*SUM(K348:AU348)</f>
        <v>1200000</v>
      </c>
      <c r="J348" s="95">
        <v>3000</v>
      </c>
      <c r="K348" s="95">
        <v>400</v>
      </c>
      <c r="L348" s="97"/>
      <c r="M348" s="55"/>
      <c r="N348" s="55"/>
    </row>
    <row r="349" spans="1:47">
      <c r="A349" s="55"/>
      <c r="B349" s="55"/>
      <c r="C349" s="55"/>
      <c r="D349" s="55"/>
      <c r="E349" s="55"/>
      <c r="F349" s="55"/>
      <c r="G349" s="55"/>
      <c r="H349" s="55"/>
      <c r="I349" s="95">
        <f t="shared" ref="I349:I352" si="80">J349*SUM(K349:AU349)</f>
        <v>58065</v>
      </c>
      <c r="J349" s="95">
        <v>2765</v>
      </c>
      <c r="K349" s="95">
        <v>21</v>
      </c>
      <c r="L349" s="97"/>
      <c r="M349" s="55"/>
      <c r="N349" s="55"/>
    </row>
    <row r="350" spans="1:47">
      <c r="A350" s="55"/>
      <c r="B350" s="55"/>
      <c r="C350" s="55"/>
      <c r="D350" s="55"/>
      <c r="E350" s="55"/>
      <c r="F350" s="55"/>
      <c r="G350" s="55"/>
      <c r="H350" s="55"/>
      <c r="I350" s="95">
        <f t="shared" si="80"/>
        <v>68250</v>
      </c>
      <c r="J350" s="95">
        <v>2730</v>
      </c>
      <c r="K350" s="95">
        <v>25</v>
      </c>
      <c r="L350" s="97"/>
      <c r="M350" s="55"/>
      <c r="N350" s="55"/>
    </row>
    <row r="351" spans="1:47">
      <c r="A351" s="55"/>
      <c r="B351" s="55"/>
      <c r="C351" s="55"/>
      <c r="D351" s="55"/>
      <c r="E351" s="55"/>
      <c r="F351" s="55"/>
      <c r="G351" s="55"/>
      <c r="H351" s="55"/>
      <c r="I351" s="95">
        <f t="shared" si="80"/>
        <v>83080</v>
      </c>
      <c r="J351" s="95">
        <v>2680</v>
      </c>
      <c r="K351" s="95">
        <v>31</v>
      </c>
      <c r="L351" s="97"/>
      <c r="M351" s="55"/>
      <c r="N351" s="55"/>
    </row>
    <row r="352" spans="1:47">
      <c r="A352" s="55"/>
      <c r="B352" s="55"/>
      <c r="C352" s="55"/>
      <c r="D352" s="55"/>
      <c r="E352" s="55"/>
      <c r="F352" s="55"/>
      <c r="G352" s="55"/>
      <c r="H352" s="55"/>
      <c r="I352" s="95">
        <f t="shared" si="80"/>
        <v>72900</v>
      </c>
      <c r="J352" s="95">
        <v>2700</v>
      </c>
      <c r="K352" s="95">
        <v>27</v>
      </c>
      <c r="L352" s="97"/>
      <c r="M352" s="55"/>
      <c r="N352" s="55"/>
    </row>
    <row r="353" spans="1:17" s="32" customFormat="1">
      <c r="A353" s="76" t="s">
        <v>384</v>
      </c>
      <c r="B353" s="76"/>
      <c r="C353" s="76"/>
      <c r="D353" s="76"/>
      <c r="E353" s="76"/>
      <c r="F353" s="76"/>
      <c r="G353" s="76"/>
      <c r="H353" s="76"/>
      <c r="I353" s="98">
        <f>J353*SUM(K353:AU353)</f>
        <v>0</v>
      </c>
      <c r="J353" s="98"/>
      <c r="K353" s="98"/>
      <c r="L353" s="100"/>
      <c r="M353" s="76"/>
      <c r="N353" s="76"/>
    </row>
    <row r="354" spans="1:17">
      <c r="A354" s="55"/>
      <c r="B354" s="55"/>
      <c r="C354" s="55"/>
      <c r="D354" s="55"/>
      <c r="E354" s="55"/>
      <c r="F354" s="55"/>
      <c r="G354" s="55"/>
      <c r="H354" s="55"/>
      <c r="I354" s="95">
        <f>J354*SUM(K354:AU354)</f>
        <v>-1504440</v>
      </c>
      <c r="J354" s="95">
        <v>2985</v>
      </c>
      <c r="K354" s="95"/>
      <c r="L354" s="97"/>
      <c r="M354" s="55"/>
      <c r="N354" s="55">
        <v>-504</v>
      </c>
    </row>
    <row r="355" spans="1:17" s="68" customFormat="1">
      <c r="A355" s="77" t="s">
        <v>385</v>
      </c>
      <c r="B355" s="77"/>
      <c r="C355" s="77"/>
      <c r="D355" s="77"/>
      <c r="E355" s="77"/>
      <c r="F355" s="77"/>
      <c r="G355" s="77"/>
      <c r="H355" s="77"/>
      <c r="I355" s="101">
        <f>J355*SUM(K355:AU355)</f>
        <v>0</v>
      </c>
      <c r="J355" s="101"/>
      <c r="K355" s="101"/>
      <c r="L355" s="103"/>
      <c r="M355" s="77"/>
      <c r="N355" s="77"/>
    </row>
    <row r="357" spans="1:17">
      <c r="A357" s="56">
        <f>A358/0.06</f>
        <v>10000</v>
      </c>
      <c r="B357" s="91"/>
    </row>
    <row r="358" spans="1:17" ht="17">
      <c r="A358" s="56">
        <f>3000/5</f>
        <v>600</v>
      </c>
      <c r="B358" s="61" t="s">
        <v>596</v>
      </c>
      <c r="G358" s="263" t="s">
        <v>767</v>
      </c>
      <c r="H358" s="264"/>
      <c r="I358" s="264"/>
      <c r="J358" s="264"/>
      <c r="K358" s="264"/>
    </row>
    <row r="359" spans="1:17">
      <c r="A359" s="61" t="s">
        <v>388</v>
      </c>
      <c r="B359" s="61" t="s">
        <v>584</v>
      </c>
      <c r="C359" s="61" t="s">
        <v>1451</v>
      </c>
      <c r="D359" s="61" t="s">
        <v>585</v>
      </c>
      <c r="E359" s="61" t="s">
        <v>389</v>
      </c>
      <c r="F359" s="61" t="s">
        <v>586</v>
      </c>
      <c r="G359" s="61" t="s">
        <v>597</v>
      </c>
      <c r="H359" s="163"/>
      <c r="I359" s="111"/>
      <c r="J359" s="214" t="s">
        <v>1466</v>
      </c>
    </row>
    <row r="360" spans="1:17">
      <c r="A360" s="61" t="s">
        <v>570</v>
      </c>
      <c r="B360" s="209" t="s">
        <v>1454</v>
      </c>
      <c r="C360" s="212" t="s">
        <v>1465</v>
      </c>
      <c r="D360" s="160" t="s">
        <v>1455</v>
      </c>
      <c r="E360" s="162">
        <v>5100</v>
      </c>
      <c r="F360" s="162">
        <f>134*2</f>
        <v>268</v>
      </c>
      <c r="G360" s="107">
        <f>(F360/E360)*0.9</f>
        <v>4.7294117647058827E-2</v>
      </c>
      <c r="H360" s="56"/>
      <c r="I360" s="111"/>
      <c r="J360" s="56">
        <v>7</v>
      </c>
      <c r="K360" s="56"/>
      <c r="L360" s="56"/>
      <c r="M360" s="56"/>
      <c r="N360" s="56"/>
      <c r="O360" s="56"/>
      <c r="P360" s="56"/>
      <c r="Q360" s="56"/>
    </row>
    <row r="361" spans="1:17">
      <c r="A361" s="61" t="s">
        <v>571</v>
      </c>
      <c r="B361" s="209" t="s">
        <v>1452</v>
      </c>
      <c r="C361" s="212" t="s">
        <v>593</v>
      </c>
      <c r="D361" s="160" t="s">
        <v>592</v>
      </c>
      <c r="E361" s="162">
        <v>5510</v>
      </c>
      <c r="F361" s="162">
        <f>163*2</f>
        <v>326</v>
      </c>
      <c r="G361" s="107">
        <f t="shared" ref="G361:G406" si="81">(F361/E361)*0.9</f>
        <v>5.3248638838475498E-2</v>
      </c>
      <c r="H361" s="56"/>
      <c r="I361" s="111"/>
      <c r="J361" s="56">
        <v>8</v>
      </c>
      <c r="K361" s="56"/>
      <c r="L361" s="56"/>
      <c r="M361" s="56"/>
      <c r="N361" s="56"/>
      <c r="O361" s="56"/>
      <c r="P361" s="56"/>
      <c r="Q361" s="56"/>
    </row>
    <row r="362" spans="1:17">
      <c r="A362" s="61" t="s">
        <v>572</v>
      </c>
      <c r="B362" s="209" t="s">
        <v>1457</v>
      </c>
      <c r="C362" s="212" t="s">
        <v>594</v>
      </c>
      <c r="D362" s="160" t="s">
        <v>589</v>
      </c>
      <c r="E362" s="162">
        <v>5190</v>
      </c>
      <c r="F362" s="162">
        <f>70*4</f>
        <v>280</v>
      </c>
      <c r="G362" s="107">
        <f t="shared" si="81"/>
        <v>4.8554913294797684E-2</v>
      </c>
      <c r="H362" s="56"/>
      <c r="I362" s="111"/>
      <c r="J362" s="56">
        <v>7</v>
      </c>
      <c r="K362" s="56"/>
      <c r="L362" s="56"/>
      <c r="M362" s="56"/>
      <c r="N362" s="56"/>
      <c r="O362" s="56"/>
      <c r="P362" s="56"/>
      <c r="Q362" s="56"/>
    </row>
    <row r="363" spans="1:17">
      <c r="A363" s="61" t="s">
        <v>573</v>
      </c>
      <c r="B363" s="209" t="s">
        <v>1452</v>
      </c>
      <c r="C363" s="212" t="s">
        <v>591</v>
      </c>
      <c r="D363" s="160" t="s">
        <v>592</v>
      </c>
      <c r="E363" s="162">
        <v>4490</v>
      </c>
      <c r="F363" s="162">
        <f>190*2</f>
        <v>380</v>
      </c>
      <c r="G363" s="107">
        <f t="shared" si="81"/>
        <v>7.6169265033407568E-2</v>
      </c>
      <c r="H363" s="56">
        <v>5470</v>
      </c>
      <c r="I363" s="111">
        <v>6.25</v>
      </c>
      <c r="J363" s="56"/>
      <c r="K363" s="56"/>
      <c r="L363" s="56"/>
      <c r="M363" s="56"/>
      <c r="N363" s="56"/>
      <c r="O363" s="56"/>
      <c r="P363" s="56"/>
      <c r="Q363" s="56"/>
    </row>
    <row r="364" spans="1:17">
      <c r="A364" s="61"/>
      <c r="B364" s="8"/>
      <c r="C364" s="161"/>
      <c r="D364" s="160"/>
      <c r="E364" s="162"/>
      <c r="F364" s="162"/>
      <c r="G364" s="107"/>
      <c r="H364" s="56">
        <v>5320</v>
      </c>
      <c r="I364" s="111">
        <v>6.43</v>
      </c>
      <c r="J364" s="56"/>
      <c r="K364" s="56"/>
      <c r="L364" s="56"/>
      <c r="M364" s="56"/>
      <c r="N364" s="56"/>
      <c r="O364" s="56"/>
      <c r="P364" s="56"/>
      <c r="Q364" s="56"/>
    </row>
    <row r="365" spans="1:17">
      <c r="A365" s="61"/>
      <c r="B365" s="8"/>
      <c r="C365" s="161"/>
      <c r="D365" s="160"/>
      <c r="E365" s="162"/>
      <c r="F365" s="162"/>
      <c r="G365" s="107"/>
      <c r="H365" s="56">
        <v>5200</v>
      </c>
      <c r="I365" s="111">
        <v>6.58</v>
      </c>
      <c r="J365" s="56"/>
      <c r="K365" s="56"/>
      <c r="L365" s="56"/>
      <c r="M365" s="56"/>
      <c r="N365" s="56"/>
      <c r="O365" s="56"/>
      <c r="P365" s="56"/>
      <c r="Q365" s="56"/>
    </row>
    <row r="366" spans="1:17">
      <c r="A366" s="61"/>
      <c r="B366" s="8"/>
      <c r="C366" s="161"/>
      <c r="D366" s="160"/>
      <c r="E366" s="162"/>
      <c r="F366" s="162"/>
      <c r="G366" s="107"/>
      <c r="H366" s="56">
        <v>5170</v>
      </c>
      <c r="I366" s="111">
        <v>6.62</v>
      </c>
      <c r="J366" s="56"/>
      <c r="K366" s="56"/>
      <c r="L366" s="56"/>
      <c r="M366" s="56"/>
      <c r="N366" s="56"/>
      <c r="O366" s="56"/>
      <c r="P366" s="56"/>
      <c r="Q366" s="56"/>
    </row>
    <row r="367" spans="1:17">
      <c r="A367" s="61"/>
      <c r="B367" s="8"/>
      <c r="C367" s="161"/>
      <c r="D367" s="160"/>
      <c r="E367" s="162"/>
      <c r="F367" s="162"/>
      <c r="G367" s="107"/>
      <c r="H367" s="56">
        <v>5150</v>
      </c>
      <c r="I367" s="111">
        <v>6.64</v>
      </c>
      <c r="J367" s="56"/>
      <c r="K367" s="56"/>
      <c r="L367" s="56"/>
      <c r="M367" s="56"/>
      <c r="N367" s="56"/>
      <c r="O367" s="56"/>
      <c r="P367" s="56"/>
      <c r="Q367" s="56"/>
    </row>
    <row r="368" spans="1:17">
      <c r="A368" s="61"/>
      <c r="B368" s="8"/>
      <c r="C368" s="161"/>
      <c r="D368" s="160"/>
      <c r="E368" s="162"/>
      <c r="F368" s="162"/>
      <c r="G368" s="107"/>
      <c r="H368" s="56">
        <v>5150</v>
      </c>
      <c r="I368" s="111">
        <v>6.64</v>
      </c>
      <c r="J368" s="56"/>
      <c r="K368" s="56"/>
      <c r="L368" s="56"/>
      <c r="M368" s="56"/>
      <c r="N368" s="56"/>
      <c r="O368" s="56"/>
      <c r="P368" s="56"/>
      <c r="Q368" s="56"/>
    </row>
    <row r="369" spans="1:17">
      <c r="A369" s="61"/>
      <c r="B369" s="8"/>
      <c r="C369" s="161"/>
      <c r="D369" s="160"/>
      <c r="E369" s="162"/>
      <c r="F369" s="162"/>
      <c r="G369" s="107"/>
      <c r="H369" s="56">
        <v>5150</v>
      </c>
      <c r="I369" s="111">
        <v>6.64</v>
      </c>
      <c r="J369" s="56"/>
      <c r="K369" s="56"/>
      <c r="L369" s="56"/>
      <c r="M369" s="56"/>
      <c r="N369" s="56"/>
      <c r="O369" s="56"/>
      <c r="P369" s="56"/>
      <c r="Q369" s="56"/>
    </row>
    <row r="370" spans="1:17">
      <c r="A370" s="61"/>
      <c r="B370" s="8"/>
      <c r="C370" s="161"/>
      <c r="D370" s="160"/>
      <c r="E370" s="162"/>
      <c r="F370" s="162"/>
      <c r="G370" s="107"/>
      <c r="H370" s="56">
        <v>5150</v>
      </c>
      <c r="I370" s="111">
        <v>6.64</v>
      </c>
      <c r="J370" s="56"/>
      <c r="K370" s="56"/>
      <c r="L370" s="56"/>
      <c r="M370" s="56"/>
      <c r="N370" s="56"/>
      <c r="O370" s="56"/>
      <c r="P370" s="56"/>
      <c r="Q370" s="56"/>
    </row>
    <row r="371" spans="1:17">
      <c r="A371" s="61"/>
      <c r="B371" s="8"/>
      <c r="C371" s="161"/>
      <c r="D371" s="160"/>
      <c r="E371" s="162"/>
      <c r="F371" s="162"/>
      <c r="G371" s="107"/>
      <c r="H371" s="56">
        <v>5050</v>
      </c>
      <c r="I371" s="111">
        <v>6.77</v>
      </c>
      <c r="J371" s="56"/>
      <c r="K371" s="56"/>
      <c r="L371" s="56"/>
      <c r="M371" s="56"/>
      <c r="N371" s="56"/>
      <c r="O371" s="56"/>
      <c r="P371" s="56"/>
      <c r="Q371" s="56"/>
    </row>
    <row r="372" spans="1:17">
      <c r="A372" s="61"/>
      <c r="B372" s="8"/>
      <c r="C372" s="161"/>
      <c r="D372" s="160"/>
      <c r="E372" s="162"/>
      <c r="F372" s="162"/>
      <c r="G372" s="107"/>
      <c r="H372" s="56">
        <v>4850</v>
      </c>
      <c r="I372" s="111">
        <v>7.05</v>
      </c>
      <c r="J372" s="56"/>
      <c r="K372" s="56"/>
      <c r="L372" s="56"/>
      <c r="M372" s="56"/>
      <c r="N372" s="56"/>
      <c r="O372" s="56"/>
      <c r="P372" s="56"/>
      <c r="Q372" s="56"/>
    </row>
    <row r="373" spans="1:17">
      <c r="A373" s="61"/>
      <c r="B373" s="8"/>
      <c r="C373" s="161"/>
      <c r="D373" s="160"/>
      <c r="E373" s="162"/>
      <c r="F373" s="162"/>
      <c r="G373" s="107"/>
      <c r="H373" s="56">
        <v>4850</v>
      </c>
      <c r="I373" s="111">
        <v>7.05</v>
      </c>
      <c r="J373" s="56"/>
      <c r="K373" s="56"/>
      <c r="L373" s="56"/>
      <c r="M373" s="56"/>
      <c r="N373" s="56"/>
      <c r="O373" s="56"/>
      <c r="P373" s="56"/>
      <c r="Q373" s="56"/>
    </row>
    <row r="374" spans="1:17">
      <c r="A374" s="61"/>
      <c r="B374" s="8"/>
      <c r="C374" s="161"/>
      <c r="D374" s="160"/>
      <c r="E374" s="162"/>
      <c r="F374" s="162"/>
      <c r="G374" s="107"/>
      <c r="H374" s="56">
        <v>4540</v>
      </c>
      <c r="I374" s="111">
        <v>7.53</v>
      </c>
      <c r="J374" s="56"/>
      <c r="K374" s="56"/>
      <c r="L374" s="56"/>
      <c r="M374" s="56"/>
      <c r="N374" s="56"/>
      <c r="O374" s="56"/>
      <c r="P374" s="56"/>
      <c r="Q374" s="56"/>
    </row>
    <row r="375" spans="1:17">
      <c r="A375" s="61"/>
      <c r="B375" s="8"/>
      <c r="C375" s="161"/>
      <c r="D375" s="160"/>
      <c r="E375" s="162"/>
      <c r="F375" s="162"/>
      <c r="G375" s="107"/>
      <c r="H375" s="56">
        <v>4540</v>
      </c>
      <c r="I375" s="111">
        <v>7.53</v>
      </c>
      <c r="J375" s="56"/>
      <c r="K375" s="56"/>
      <c r="L375" s="56"/>
      <c r="M375" s="56"/>
      <c r="N375" s="56"/>
      <c r="O375" s="56"/>
      <c r="P375" s="56"/>
      <c r="Q375" s="56"/>
    </row>
    <row r="376" spans="1:17">
      <c r="A376" s="61"/>
      <c r="B376" s="8"/>
      <c r="C376" s="161"/>
      <c r="D376" s="160"/>
      <c r="E376" s="162"/>
      <c r="F376" s="162"/>
      <c r="G376" s="107"/>
      <c r="H376" s="56">
        <v>4540</v>
      </c>
      <c r="I376" s="111">
        <v>7.53</v>
      </c>
      <c r="J376" s="56"/>
      <c r="K376" s="56"/>
      <c r="L376" s="56"/>
      <c r="M376" s="56"/>
      <c r="N376" s="56"/>
      <c r="O376" s="56"/>
      <c r="P376" s="56"/>
      <c r="Q376" s="56"/>
    </row>
    <row r="377" spans="1:17">
      <c r="A377" s="61"/>
      <c r="B377" s="8"/>
      <c r="C377" s="161"/>
      <c r="D377" s="160"/>
      <c r="E377" s="162"/>
      <c r="F377" s="162"/>
      <c r="G377" s="107"/>
      <c r="H377" s="56">
        <v>4370</v>
      </c>
      <c r="I377" s="111">
        <v>7.83</v>
      </c>
      <c r="J377" s="56"/>
      <c r="K377" s="56"/>
      <c r="L377" s="56"/>
      <c r="M377" s="56"/>
      <c r="N377" s="56"/>
      <c r="O377" s="56"/>
      <c r="P377" s="56"/>
      <c r="Q377" s="56"/>
    </row>
    <row r="378" spans="1:17">
      <c r="A378" s="61"/>
      <c r="B378" s="8"/>
      <c r="C378" s="161"/>
      <c r="D378" s="160"/>
      <c r="E378" s="162"/>
      <c r="F378" s="162"/>
      <c r="G378" s="107"/>
      <c r="H378" s="56">
        <v>4370</v>
      </c>
      <c r="I378" s="111">
        <v>7.83</v>
      </c>
      <c r="J378" s="56"/>
      <c r="K378" s="56"/>
      <c r="L378" s="56"/>
      <c r="M378" s="56"/>
      <c r="N378" s="56"/>
      <c r="O378" s="56"/>
      <c r="P378" s="56"/>
      <c r="Q378" s="56"/>
    </row>
    <row r="379" spans="1:17">
      <c r="A379" s="61"/>
      <c r="B379" s="8"/>
      <c r="C379" s="161"/>
      <c r="D379" s="160"/>
      <c r="E379" s="162"/>
      <c r="F379" s="162"/>
      <c r="G379" s="107"/>
      <c r="H379" s="56">
        <v>4370</v>
      </c>
      <c r="I379" s="111">
        <v>7.83</v>
      </c>
      <c r="J379" s="56"/>
      <c r="K379" s="56"/>
      <c r="L379" s="56"/>
      <c r="M379" s="56"/>
      <c r="N379" s="56"/>
      <c r="O379" s="56"/>
      <c r="P379" s="56"/>
      <c r="Q379" s="56"/>
    </row>
    <row r="380" spans="1:17">
      <c r="A380" s="61" t="s">
        <v>574</v>
      </c>
      <c r="B380" s="209" t="s">
        <v>1454</v>
      </c>
      <c r="C380" s="212" t="s">
        <v>593</v>
      </c>
      <c r="D380" s="160" t="s">
        <v>1455</v>
      </c>
      <c r="E380" s="162">
        <v>5350</v>
      </c>
      <c r="F380" s="162">
        <f>177*2</f>
        <v>354</v>
      </c>
      <c r="G380" s="107">
        <f t="shared" si="81"/>
        <v>5.9551401869158881E-2</v>
      </c>
      <c r="H380" s="56">
        <v>6470</v>
      </c>
      <c r="I380" s="111">
        <v>8.74</v>
      </c>
      <c r="J380" s="56">
        <v>7</v>
      </c>
      <c r="K380" s="56"/>
      <c r="L380" s="56"/>
      <c r="M380" s="56"/>
      <c r="N380" s="56"/>
      <c r="O380" s="56"/>
      <c r="P380" s="56"/>
      <c r="Q380" s="56"/>
    </row>
    <row r="381" spans="1:17">
      <c r="A381" s="61"/>
      <c r="B381" s="8"/>
      <c r="C381" s="161"/>
      <c r="D381" s="160"/>
      <c r="E381" s="162"/>
      <c r="F381" s="162"/>
      <c r="G381" s="107"/>
      <c r="H381" s="56">
        <v>6420</v>
      </c>
      <c r="I381" s="111">
        <v>8.8000000000000007</v>
      </c>
      <c r="J381" s="56"/>
      <c r="K381" s="56"/>
      <c r="L381" s="56"/>
      <c r="M381" s="56"/>
      <c r="N381" s="56"/>
      <c r="O381" s="56"/>
      <c r="P381" s="56"/>
      <c r="Q381" s="56"/>
    </row>
    <row r="382" spans="1:17">
      <c r="A382" s="61"/>
      <c r="B382" s="8"/>
      <c r="C382" s="161"/>
      <c r="D382" s="160"/>
      <c r="E382" s="162"/>
      <c r="F382" s="162"/>
      <c r="G382" s="107"/>
      <c r="H382" s="56">
        <v>6250</v>
      </c>
      <c r="I382" s="111">
        <v>9.0399999999999991</v>
      </c>
      <c r="J382" s="56"/>
      <c r="K382" s="56"/>
      <c r="L382" s="56"/>
      <c r="M382" s="56"/>
      <c r="N382" s="56"/>
      <c r="O382" s="56"/>
      <c r="P382" s="56"/>
      <c r="Q382" s="56"/>
    </row>
    <row r="383" spans="1:17">
      <c r="A383" s="61"/>
      <c r="B383" s="8"/>
      <c r="C383" s="161"/>
      <c r="D383" s="160"/>
      <c r="E383" s="162"/>
      <c r="F383" s="162"/>
      <c r="G383" s="107"/>
      <c r="H383" s="56">
        <v>6250</v>
      </c>
      <c r="I383" s="111">
        <v>9.0399999999999991</v>
      </c>
      <c r="J383" s="56"/>
      <c r="K383" s="56"/>
      <c r="L383" s="56"/>
      <c r="M383" s="56"/>
      <c r="N383" s="56"/>
      <c r="O383" s="56"/>
      <c r="P383" s="56"/>
      <c r="Q383" s="56"/>
    </row>
    <row r="384" spans="1:17">
      <c r="A384" s="61"/>
      <c r="B384" s="8"/>
      <c r="C384" s="161"/>
      <c r="D384" s="160"/>
      <c r="E384" s="162"/>
      <c r="F384" s="162"/>
      <c r="G384" s="107"/>
      <c r="H384" s="56">
        <v>6190</v>
      </c>
      <c r="I384" s="111">
        <v>9.1300000000000008</v>
      </c>
      <c r="J384" s="56"/>
      <c r="K384" s="56"/>
      <c r="L384" s="56"/>
      <c r="M384" s="56"/>
      <c r="N384" s="56"/>
      <c r="O384" s="56"/>
      <c r="P384" s="56"/>
      <c r="Q384" s="56"/>
    </row>
    <row r="385" spans="1:17">
      <c r="A385" s="61"/>
      <c r="B385" s="8"/>
      <c r="C385" s="161"/>
      <c r="D385" s="160"/>
      <c r="E385" s="162"/>
      <c r="F385" s="162"/>
      <c r="G385" s="107"/>
      <c r="H385" s="56">
        <v>6120</v>
      </c>
      <c r="I385" s="111">
        <v>9.24</v>
      </c>
      <c r="J385" s="56"/>
      <c r="K385" s="56"/>
      <c r="L385" s="56"/>
      <c r="M385" s="56"/>
      <c r="N385" s="56"/>
      <c r="O385" s="56"/>
      <c r="P385" s="56"/>
      <c r="Q385" s="56"/>
    </row>
    <row r="386" spans="1:17">
      <c r="A386" s="61"/>
      <c r="B386" s="8"/>
      <c r="C386" s="161"/>
      <c r="D386" s="160"/>
      <c r="E386" s="162"/>
      <c r="F386" s="162"/>
      <c r="G386" s="107"/>
      <c r="H386" s="56">
        <v>5990</v>
      </c>
      <c r="I386" s="111">
        <v>9.44</v>
      </c>
      <c r="J386" s="56"/>
      <c r="K386" s="56"/>
      <c r="L386" s="56"/>
      <c r="M386" s="56"/>
      <c r="N386" s="56"/>
      <c r="O386" s="56"/>
      <c r="P386" s="56"/>
      <c r="Q386" s="56"/>
    </row>
    <row r="387" spans="1:17">
      <c r="A387" s="61"/>
      <c r="B387" s="8"/>
      <c r="C387" s="161"/>
      <c r="D387" s="160"/>
      <c r="E387" s="162"/>
      <c r="F387" s="162"/>
      <c r="G387" s="107"/>
      <c r="H387" s="56">
        <v>5710</v>
      </c>
      <c r="I387" s="111">
        <v>9.9</v>
      </c>
      <c r="J387" s="56"/>
      <c r="K387" s="56"/>
      <c r="L387" s="56"/>
      <c r="M387" s="56"/>
      <c r="N387" s="56"/>
      <c r="O387" s="56"/>
      <c r="P387" s="56"/>
      <c r="Q387" s="56"/>
    </row>
    <row r="388" spans="1:17">
      <c r="A388" s="61"/>
      <c r="B388" s="8"/>
      <c r="C388" s="161"/>
      <c r="D388" s="160"/>
      <c r="E388" s="162"/>
      <c r="F388" s="162"/>
      <c r="G388" s="107"/>
      <c r="H388" s="56">
        <v>5570</v>
      </c>
      <c r="I388" s="111">
        <v>10.15</v>
      </c>
      <c r="J388" s="56"/>
      <c r="K388" s="56"/>
      <c r="L388" s="56"/>
      <c r="M388" s="56"/>
      <c r="N388" s="56"/>
      <c r="O388" s="56"/>
      <c r="P388" s="56"/>
      <c r="Q388" s="56"/>
    </row>
    <row r="389" spans="1:17">
      <c r="A389" s="61"/>
      <c r="B389" s="8"/>
      <c r="C389" s="161"/>
      <c r="D389" s="160"/>
      <c r="E389" s="162"/>
      <c r="F389" s="162"/>
      <c r="G389" s="107"/>
      <c r="H389" s="210">
        <v>5390</v>
      </c>
      <c r="I389" s="211">
        <v>10.49</v>
      </c>
      <c r="J389" s="56"/>
      <c r="K389" s="56"/>
      <c r="L389" s="56"/>
      <c r="M389" s="56"/>
      <c r="N389" s="56"/>
      <c r="O389" s="56"/>
      <c r="P389" s="56"/>
      <c r="Q389" s="56"/>
    </row>
    <row r="390" spans="1:17">
      <c r="A390" s="61"/>
      <c r="B390" s="8"/>
      <c r="C390" s="161"/>
      <c r="D390" s="160"/>
      <c r="E390" s="162"/>
      <c r="F390" s="162"/>
      <c r="G390" s="107"/>
      <c r="H390" s="210">
        <v>5390</v>
      </c>
      <c r="I390" s="211">
        <v>10.49</v>
      </c>
      <c r="J390" s="56"/>
      <c r="K390" s="56"/>
      <c r="L390" s="56"/>
      <c r="M390" s="56"/>
      <c r="N390" s="56"/>
      <c r="O390" s="56"/>
      <c r="P390" s="56"/>
      <c r="Q390" s="56"/>
    </row>
    <row r="391" spans="1:17">
      <c r="A391" s="61"/>
      <c r="B391" s="8"/>
      <c r="C391" s="161"/>
      <c r="D391" s="160"/>
      <c r="E391" s="162"/>
      <c r="F391" s="162"/>
      <c r="G391" s="107"/>
      <c r="H391" s="210">
        <v>5390</v>
      </c>
      <c r="I391" s="211">
        <v>10.49</v>
      </c>
      <c r="J391" s="56"/>
      <c r="K391" s="56"/>
      <c r="L391" s="56"/>
      <c r="M391" s="56"/>
      <c r="N391" s="56"/>
      <c r="O391" s="56"/>
      <c r="P391" s="56"/>
      <c r="Q391" s="56"/>
    </row>
    <row r="392" spans="1:17">
      <c r="A392" s="61" t="s">
        <v>575</v>
      </c>
      <c r="B392" s="209" t="s">
        <v>590</v>
      </c>
      <c r="C392" s="212" t="s">
        <v>587</v>
      </c>
      <c r="D392" s="160" t="s">
        <v>1453</v>
      </c>
      <c r="E392" s="162">
        <v>7760</v>
      </c>
      <c r="F392" s="162">
        <f>192*2</f>
        <v>384</v>
      </c>
      <c r="G392" s="107">
        <f t="shared" si="81"/>
        <v>4.4536082474226801E-2</v>
      </c>
      <c r="H392" s="56"/>
      <c r="I392" s="111"/>
      <c r="J392" s="56"/>
      <c r="K392" s="56"/>
      <c r="L392" s="56"/>
      <c r="M392" s="56"/>
      <c r="N392" s="56"/>
      <c r="O392" s="56"/>
      <c r="P392" s="56"/>
      <c r="Q392" s="56"/>
    </row>
    <row r="393" spans="1:17">
      <c r="A393" s="61" t="s">
        <v>576</v>
      </c>
      <c r="B393" s="209" t="s">
        <v>1452</v>
      </c>
      <c r="C393" s="212" t="s">
        <v>591</v>
      </c>
      <c r="D393" s="160" t="s">
        <v>592</v>
      </c>
      <c r="E393" s="162">
        <v>5420</v>
      </c>
      <c r="F393" s="162">
        <f>204*2</f>
        <v>408</v>
      </c>
      <c r="G393" s="107">
        <f t="shared" si="81"/>
        <v>6.7749077490774898E-2</v>
      </c>
      <c r="H393" s="56">
        <v>6000</v>
      </c>
      <c r="I393" s="111">
        <v>6.12</v>
      </c>
      <c r="J393" s="56"/>
      <c r="K393" s="56"/>
      <c r="L393" s="56"/>
      <c r="M393" s="56"/>
      <c r="N393" s="56"/>
      <c r="O393" s="56"/>
      <c r="P393" s="56"/>
      <c r="Q393" s="56"/>
    </row>
    <row r="394" spans="1:17">
      <c r="A394" s="61"/>
      <c r="B394" s="8"/>
      <c r="C394" s="161"/>
      <c r="D394" s="160"/>
      <c r="E394" s="162"/>
      <c r="F394" s="162"/>
      <c r="G394" s="107"/>
      <c r="H394" s="56">
        <v>5690</v>
      </c>
      <c r="I394" s="111">
        <v>6.45</v>
      </c>
      <c r="J394" s="56"/>
      <c r="K394" s="56"/>
      <c r="L394" s="56"/>
      <c r="M394" s="56"/>
      <c r="N394" s="56"/>
      <c r="O394" s="56"/>
      <c r="P394" s="56"/>
      <c r="Q394" s="56"/>
    </row>
    <row r="395" spans="1:17">
      <c r="A395" s="61"/>
      <c r="B395" s="8"/>
      <c r="C395" s="161"/>
      <c r="D395" s="160"/>
      <c r="E395" s="162"/>
      <c r="F395" s="162"/>
      <c r="G395" s="107"/>
      <c r="H395" s="56">
        <v>5690</v>
      </c>
      <c r="I395" s="111">
        <v>6.45</v>
      </c>
      <c r="J395" s="56"/>
      <c r="K395" s="56"/>
      <c r="L395" s="56"/>
      <c r="M395" s="56"/>
      <c r="N395" s="56"/>
      <c r="O395" s="56"/>
      <c r="P395" s="56"/>
      <c r="Q395" s="56"/>
    </row>
    <row r="396" spans="1:17">
      <c r="A396" s="61"/>
      <c r="B396" s="8"/>
      <c r="C396" s="161"/>
      <c r="D396" s="160"/>
      <c r="E396" s="162"/>
      <c r="F396" s="162"/>
      <c r="G396" s="107"/>
      <c r="H396" s="56">
        <v>5510</v>
      </c>
      <c r="I396" s="111">
        <v>6.66</v>
      </c>
      <c r="J396" s="56"/>
      <c r="K396" s="56"/>
      <c r="L396" s="56"/>
      <c r="M396" s="56"/>
      <c r="N396" s="56"/>
      <c r="O396" s="56"/>
      <c r="P396" s="56"/>
      <c r="Q396" s="56"/>
    </row>
    <row r="397" spans="1:17">
      <c r="A397" s="61"/>
      <c r="B397" s="8"/>
      <c r="C397" s="161"/>
      <c r="D397" s="160"/>
      <c r="E397" s="162"/>
      <c r="F397" s="162"/>
      <c r="G397" s="107"/>
      <c r="H397" s="56">
        <v>5510</v>
      </c>
      <c r="I397" s="111">
        <v>6.66</v>
      </c>
      <c r="J397" s="56"/>
      <c r="K397" s="56"/>
      <c r="L397" s="56"/>
      <c r="M397" s="56"/>
      <c r="N397" s="56"/>
      <c r="O397" s="56"/>
      <c r="P397" s="56"/>
      <c r="Q397" s="56"/>
    </row>
    <row r="398" spans="1:17">
      <c r="A398" s="61"/>
      <c r="B398" s="8"/>
      <c r="C398" s="161"/>
      <c r="D398" s="160"/>
      <c r="E398" s="162"/>
      <c r="F398" s="162"/>
      <c r="G398" s="107"/>
      <c r="H398" s="56">
        <v>5420</v>
      </c>
      <c r="I398" s="111">
        <v>6.77</v>
      </c>
      <c r="J398" s="56"/>
      <c r="K398" s="56"/>
      <c r="L398" s="56"/>
      <c r="M398" s="56"/>
      <c r="N398" s="56"/>
      <c r="O398" s="56"/>
      <c r="P398" s="56"/>
      <c r="Q398" s="56"/>
    </row>
    <row r="399" spans="1:17">
      <c r="A399" s="61" t="s">
        <v>577</v>
      </c>
      <c r="B399" s="209" t="s">
        <v>1452</v>
      </c>
      <c r="C399" s="212" t="s">
        <v>591</v>
      </c>
      <c r="D399" s="160" t="s">
        <v>592</v>
      </c>
      <c r="E399" s="162">
        <v>4800</v>
      </c>
      <c r="F399" s="162">
        <f>89*2</f>
        <v>178</v>
      </c>
      <c r="G399" s="107">
        <f t="shared" si="81"/>
        <v>3.3375000000000002E-2</v>
      </c>
      <c r="H399" s="56"/>
      <c r="I399" s="111"/>
      <c r="J399" s="56"/>
      <c r="K399" s="56"/>
      <c r="L399" s="56"/>
      <c r="M399" s="56"/>
      <c r="N399" s="56"/>
      <c r="O399" s="56"/>
      <c r="P399" s="56"/>
      <c r="Q399" s="56"/>
    </row>
    <row r="400" spans="1:17">
      <c r="A400" s="61" t="s">
        <v>578</v>
      </c>
      <c r="B400" s="209" t="s">
        <v>1452</v>
      </c>
      <c r="C400" s="212" t="s">
        <v>591</v>
      </c>
      <c r="D400" s="160" t="s">
        <v>592</v>
      </c>
      <c r="E400" s="162">
        <v>4475</v>
      </c>
      <c r="F400" s="162">
        <f>106*2</f>
        <v>212</v>
      </c>
      <c r="G400" s="107">
        <f t="shared" si="81"/>
        <v>4.2636871508379894E-2</v>
      </c>
      <c r="H400" s="56"/>
      <c r="I400" s="111"/>
      <c r="J400" s="56"/>
      <c r="K400" s="56"/>
      <c r="L400" s="56"/>
      <c r="M400" s="56"/>
      <c r="N400" s="56"/>
      <c r="O400" s="56"/>
      <c r="P400" s="56"/>
      <c r="Q400" s="56"/>
    </row>
    <row r="401" spans="1:17">
      <c r="A401" s="61" t="s">
        <v>595</v>
      </c>
      <c r="B401" s="209" t="s">
        <v>591</v>
      </c>
      <c r="C401" s="212" t="s">
        <v>587</v>
      </c>
      <c r="D401" s="160" t="s">
        <v>588</v>
      </c>
      <c r="E401" s="162">
        <v>4760</v>
      </c>
      <c r="F401" s="162">
        <f>152*2</f>
        <v>304</v>
      </c>
      <c r="G401" s="107">
        <f t="shared" si="81"/>
        <v>5.7478991596638655E-2</v>
      </c>
      <c r="H401" s="56"/>
      <c r="I401" s="111"/>
      <c r="J401" s="56"/>
      <c r="K401" s="56"/>
      <c r="L401" s="56"/>
      <c r="M401" s="56"/>
      <c r="N401" s="56"/>
      <c r="O401" s="56"/>
      <c r="P401" s="56"/>
      <c r="Q401" s="56"/>
    </row>
    <row r="402" spans="1:17">
      <c r="A402" s="61" t="s">
        <v>579</v>
      </c>
      <c r="B402" s="209" t="s">
        <v>590</v>
      </c>
      <c r="C402" s="212" t="s">
        <v>587</v>
      </c>
      <c r="D402" s="160" t="s">
        <v>588</v>
      </c>
      <c r="E402" s="162">
        <v>4650</v>
      </c>
      <c r="F402" s="162">
        <f>42*2</f>
        <v>84</v>
      </c>
      <c r="G402" s="107">
        <f t="shared" si="81"/>
        <v>1.6258064516129034E-2</v>
      </c>
      <c r="H402" s="56"/>
      <c r="I402" s="111"/>
      <c r="J402" s="56"/>
      <c r="K402" s="56"/>
      <c r="L402" s="56"/>
      <c r="M402" s="56"/>
      <c r="N402" s="56"/>
      <c r="O402" s="56"/>
      <c r="P402" s="56"/>
      <c r="Q402" s="56"/>
    </row>
    <row r="403" spans="1:17">
      <c r="A403" s="61" t="s">
        <v>580</v>
      </c>
      <c r="B403" s="209" t="s">
        <v>1452</v>
      </c>
      <c r="C403" s="212" t="s">
        <v>591</v>
      </c>
      <c r="D403" s="160" t="s">
        <v>592</v>
      </c>
      <c r="E403" s="162">
        <v>4360</v>
      </c>
      <c r="F403" s="162">
        <f>132*2</f>
        <v>264</v>
      </c>
      <c r="G403" s="107">
        <f t="shared" si="81"/>
        <v>5.4495412844036702E-2</v>
      </c>
      <c r="H403" s="56"/>
      <c r="I403" s="111"/>
      <c r="J403" s="56"/>
      <c r="K403" s="56"/>
      <c r="L403" s="56"/>
      <c r="M403" s="56"/>
      <c r="N403" s="56"/>
      <c r="O403" s="56"/>
      <c r="P403" s="56"/>
      <c r="Q403" s="56"/>
    </row>
    <row r="404" spans="1:17">
      <c r="A404" s="61" t="s">
        <v>581</v>
      </c>
      <c r="B404" s="209" t="s">
        <v>1454</v>
      </c>
      <c r="C404" s="212" t="s">
        <v>593</v>
      </c>
      <c r="D404" s="160" t="s">
        <v>590</v>
      </c>
      <c r="E404" s="162">
        <v>4145</v>
      </c>
      <c r="F404" s="162">
        <f>150*2</f>
        <v>300</v>
      </c>
      <c r="G404" s="107">
        <f t="shared" si="81"/>
        <v>6.5138721351025344E-2</v>
      </c>
      <c r="H404" s="56">
        <v>4145</v>
      </c>
      <c r="I404" s="111">
        <v>6.51</v>
      </c>
      <c r="J404" s="56">
        <v>7</v>
      </c>
      <c r="K404" s="56"/>
      <c r="L404" s="56"/>
      <c r="M404" s="56"/>
      <c r="N404" s="56"/>
      <c r="O404" s="56"/>
      <c r="P404" s="56"/>
      <c r="Q404" s="56"/>
    </row>
    <row r="405" spans="1:17">
      <c r="A405" s="61" t="s">
        <v>582</v>
      </c>
      <c r="B405" s="209" t="s">
        <v>1454</v>
      </c>
      <c r="C405" s="212" t="s">
        <v>593</v>
      </c>
      <c r="D405" s="160" t="s">
        <v>590</v>
      </c>
      <c r="E405" s="162">
        <v>4555</v>
      </c>
      <c r="F405" s="162">
        <f>109*2</f>
        <v>218</v>
      </c>
      <c r="G405" s="107">
        <f t="shared" si="81"/>
        <v>4.3073545554335894E-2</v>
      </c>
      <c r="H405" s="56"/>
      <c r="I405" s="111"/>
      <c r="J405" s="56">
        <v>7</v>
      </c>
      <c r="K405" s="56"/>
      <c r="L405" s="56"/>
      <c r="M405" s="56"/>
      <c r="N405" s="56"/>
      <c r="O405" s="56"/>
      <c r="P405" s="56"/>
      <c r="Q405" s="56"/>
    </row>
    <row r="406" spans="1:17" ht="17">
      <c r="A406" s="166" t="s">
        <v>583</v>
      </c>
      <c r="B406" s="209" t="s">
        <v>1456</v>
      </c>
      <c r="C406" s="212" t="s">
        <v>594</v>
      </c>
      <c r="D406" s="160" t="s">
        <v>589</v>
      </c>
      <c r="E406" s="162">
        <v>5170</v>
      </c>
      <c r="F406" s="162">
        <f>84*4</f>
        <v>336</v>
      </c>
      <c r="G406" s="107">
        <f t="shared" si="81"/>
        <v>5.8491295938104454E-2</v>
      </c>
      <c r="H406" s="56"/>
      <c r="I406" s="111"/>
      <c r="J406" s="56">
        <v>7</v>
      </c>
      <c r="K406" s="56"/>
      <c r="L406" s="56"/>
      <c r="M406" s="56"/>
      <c r="N406" s="56"/>
      <c r="O406" s="56"/>
      <c r="P406" s="56"/>
      <c r="Q406" s="56"/>
    </row>
    <row r="407" spans="1:17">
      <c r="B407" s="8"/>
      <c r="C407" s="111"/>
      <c r="D407" s="5"/>
      <c r="E407" s="107"/>
    </row>
  </sheetData>
  <mergeCells count="1">
    <mergeCell ref="G358:K358"/>
  </mergeCells>
  <phoneticPr fontId="27" type="noConversion"/>
  <conditionalFormatting sqref="G1:G68 H359 J359 G71:G1048576">
    <cfRule type="cellIs" dxfId="7" priority="2" operator="greaterThan">
      <formula>0.2</formula>
    </cfRule>
    <cfRule type="cellIs" dxfId="6" priority="7" operator="lessThan">
      <formula>-0.2</formula>
    </cfRule>
  </conditionalFormatting>
  <conditionalFormatting sqref="G69">
    <cfRule type="cellIs" dxfId="5" priority="5" operator="greaterThan">
      <formula>0.3</formula>
    </cfRule>
    <cfRule type="cellIs" dxfId="4" priority="6" operator="lessThan">
      <formula>-0.3</formula>
    </cfRule>
  </conditionalFormatting>
  <conditionalFormatting sqref="G70">
    <cfRule type="cellIs" dxfId="3" priority="3" operator="greaterThan">
      <formula>0.3</formula>
    </cfRule>
    <cfRule type="cellIs" dxfId="2" priority="4" operator="lessThan">
      <formula>-0.3</formula>
    </cfRule>
  </conditionalFormatting>
  <conditionalFormatting sqref="G360:G406">
    <cfRule type="cellIs" dxfId="1" priority="8" operator="greaterThanOrEqual">
      <formula>0.06</formula>
    </cfRule>
  </conditionalFormatting>
  <conditionalFormatting sqref="E239:E266">
    <cfRule type="cellIs" dxfId="0" priority="1" operator="greaterThanOrEqual">
      <formula>0.008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5254-A1F1-364D-A95B-E62331926404}">
  <dimension ref="A1:AT36"/>
  <sheetViews>
    <sheetView topLeftCell="A2" workbookViewId="0">
      <selection activeCell="D28" sqref="D28"/>
    </sheetView>
  </sheetViews>
  <sheetFormatPr baseColWidth="10" defaultRowHeight="15"/>
  <sheetData>
    <row r="1" spans="1:46" ht="20">
      <c r="A1" s="31" t="s">
        <v>599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 t="s">
        <v>600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 t="s">
        <v>601</v>
      </c>
      <c r="AN1" s="61" t="s">
        <v>602</v>
      </c>
      <c r="AO1" s="61" t="s">
        <v>603</v>
      </c>
      <c r="AP1" s="61"/>
      <c r="AQ1" s="61"/>
      <c r="AR1" s="61"/>
      <c r="AS1" s="61"/>
      <c r="AT1" s="61"/>
    </row>
    <row r="2" spans="1:46">
      <c r="A2" s="61"/>
      <c r="B2" s="61"/>
      <c r="C2" s="61"/>
      <c r="D2" s="61"/>
      <c r="E2" s="61"/>
      <c r="F2" s="61"/>
      <c r="G2" s="61"/>
      <c r="H2" s="61" t="s">
        <v>604</v>
      </c>
      <c r="I2" s="61" t="s">
        <v>605</v>
      </c>
      <c r="J2" s="61" t="s">
        <v>606</v>
      </c>
      <c r="K2" s="61" t="s">
        <v>607</v>
      </c>
      <c r="L2" s="61" t="s">
        <v>608</v>
      </c>
      <c r="M2" s="61" t="s">
        <v>609</v>
      </c>
      <c r="N2" s="61" t="s">
        <v>610</v>
      </c>
      <c r="O2" s="61" t="s">
        <v>611</v>
      </c>
      <c r="P2" s="61" t="s">
        <v>612</v>
      </c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 t="s">
        <v>613</v>
      </c>
      <c r="AG2" s="61" t="s">
        <v>614</v>
      </c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</row>
    <row r="3" spans="1:46">
      <c r="A3" s="61" t="s">
        <v>615</v>
      </c>
      <c r="B3" s="61" t="s">
        <v>616</v>
      </c>
      <c r="C3" s="61" t="s">
        <v>617</v>
      </c>
      <c r="D3" s="61" t="s">
        <v>618</v>
      </c>
      <c r="E3" s="61" t="s">
        <v>619</v>
      </c>
      <c r="F3" s="61" t="s">
        <v>620</v>
      </c>
      <c r="G3" s="61" t="s">
        <v>621</v>
      </c>
      <c r="H3" s="61" t="s">
        <v>622</v>
      </c>
      <c r="I3" s="61" t="s">
        <v>623</v>
      </c>
      <c r="J3" s="61" t="s">
        <v>624</v>
      </c>
      <c r="K3" s="61" t="s">
        <v>625</v>
      </c>
      <c r="L3" s="61" t="s">
        <v>626</v>
      </c>
      <c r="M3" s="61" t="s">
        <v>627</v>
      </c>
      <c r="N3" s="61" t="s">
        <v>628</v>
      </c>
      <c r="O3" s="61" t="s">
        <v>629</v>
      </c>
      <c r="P3" s="61" t="s">
        <v>630</v>
      </c>
      <c r="Q3" s="61" t="s">
        <v>631</v>
      </c>
      <c r="R3" s="61" t="s">
        <v>632</v>
      </c>
      <c r="S3" s="61" t="s">
        <v>633</v>
      </c>
      <c r="T3" s="61" t="s">
        <v>634</v>
      </c>
      <c r="U3" s="61"/>
      <c r="V3" s="61"/>
      <c r="W3" s="61"/>
      <c r="X3" s="61"/>
      <c r="Y3" s="61"/>
      <c r="Z3" s="61"/>
      <c r="AA3" s="61"/>
      <c r="AB3" s="61"/>
      <c r="AC3" s="61"/>
      <c r="AD3" s="61" t="s">
        <v>635</v>
      </c>
      <c r="AE3" s="61" t="s">
        <v>636</v>
      </c>
      <c r="AF3" s="61" t="s">
        <v>637</v>
      </c>
      <c r="AG3" s="61" t="s">
        <v>638</v>
      </c>
      <c r="AH3" s="61" t="s">
        <v>639</v>
      </c>
      <c r="AI3" s="61" t="s">
        <v>640</v>
      </c>
      <c r="AJ3" s="61" t="s">
        <v>641</v>
      </c>
      <c r="AK3" s="61"/>
      <c r="AL3" s="61"/>
      <c r="AM3" s="61" t="s">
        <v>642</v>
      </c>
      <c r="AN3" s="61"/>
      <c r="AO3" s="61"/>
      <c r="AP3" s="61"/>
      <c r="AQ3" s="61"/>
      <c r="AR3" s="61"/>
      <c r="AS3" s="61"/>
      <c r="AT3" s="61"/>
    </row>
    <row r="4" spans="1:46">
      <c r="A4" s="61" t="s">
        <v>643</v>
      </c>
      <c r="B4" s="61"/>
      <c r="C4" s="61"/>
      <c r="D4" s="61"/>
      <c r="E4" s="61"/>
      <c r="F4" s="61"/>
      <c r="G4" s="61"/>
      <c r="H4" s="61" t="s">
        <v>644</v>
      </c>
      <c r="I4" s="61" t="s">
        <v>645</v>
      </c>
      <c r="J4" s="61" t="s">
        <v>645</v>
      </c>
      <c r="K4" s="61" t="s">
        <v>645</v>
      </c>
      <c r="L4" s="61" t="s">
        <v>645</v>
      </c>
      <c r="M4" s="61"/>
      <c r="N4" s="61"/>
      <c r="O4" s="61" t="s">
        <v>644</v>
      </c>
      <c r="P4" s="61" t="s">
        <v>644</v>
      </c>
      <c r="Q4" s="61" t="s">
        <v>644</v>
      </c>
      <c r="R4" s="61" t="s">
        <v>644</v>
      </c>
      <c r="S4" s="61" t="s">
        <v>646</v>
      </c>
      <c r="T4" s="61">
        <v>21.1</v>
      </c>
      <c r="U4" s="61">
        <v>21.2</v>
      </c>
      <c r="V4" s="61">
        <v>21.3</v>
      </c>
      <c r="W4" s="61">
        <v>21.4</v>
      </c>
      <c r="X4" s="61">
        <v>21.5</v>
      </c>
      <c r="Y4" s="61">
        <v>21.6</v>
      </c>
      <c r="Z4" s="61">
        <v>21.7</v>
      </c>
      <c r="AA4" s="61">
        <v>21.8</v>
      </c>
      <c r="AB4" s="61">
        <v>21.9</v>
      </c>
      <c r="AC4" s="61">
        <v>21.1</v>
      </c>
      <c r="AD4" s="61" t="s">
        <v>647</v>
      </c>
      <c r="AE4" s="61" t="s">
        <v>648</v>
      </c>
      <c r="AF4" s="61" t="s">
        <v>647</v>
      </c>
      <c r="AG4" s="61" t="s">
        <v>644</v>
      </c>
      <c r="AH4" s="61" t="s">
        <v>644</v>
      </c>
      <c r="AI4" s="61" t="s">
        <v>644</v>
      </c>
      <c r="AJ4" s="61" t="s">
        <v>644</v>
      </c>
      <c r="AK4" s="61"/>
      <c r="AL4" s="61"/>
      <c r="AM4" s="61"/>
      <c r="AN4" s="61"/>
      <c r="AO4" s="61"/>
      <c r="AP4" s="61"/>
      <c r="AQ4" s="61"/>
      <c r="AR4" s="61"/>
      <c r="AS4" s="61"/>
      <c r="AT4" s="61"/>
    </row>
    <row r="5" spans="1:46">
      <c r="A5" s="61">
        <v>1</v>
      </c>
      <c r="B5" s="61" t="s">
        <v>47</v>
      </c>
      <c r="C5" s="61" t="s">
        <v>284</v>
      </c>
      <c r="D5" s="61" t="s">
        <v>214</v>
      </c>
      <c r="E5" s="61" t="s">
        <v>10</v>
      </c>
      <c r="F5" s="61">
        <v>0</v>
      </c>
      <c r="G5" s="61" t="s">
        <v>649</v>
      </c>
      <c r="H5" s="61" t="s">
        <v>62</v>
      </c>
      <c r="I5" s="61" t="s">
        <v>62</v>
      </c>
      <c r="J5" s="61" t="s">
        <v>62</v>
      </c>
      <c r="K5" s="61" t="s">
        <v>650</v>
      </c>
      <c r="L5" s="61" t="s">
        <v>62</v>
      </c>
      <c r="M5" s="61" t="s">
        <v>62</v>
      </c>
      <c r="N5" s="61" t="s">
        <v>62</v>
      </c>
      <c r="O5" s="61" t="s">
        <v>62</v>
      </c>
      <c r="P5" s="61" t="s">
        <v>62</v>
      </c>
      <c r="Q5" s="61" t="s">
        <v>651</v>
      </c>
      <c r="R5" s="61" t="s">
        <v>652</v>
      </c>
      <c r="S5" s="61" t="s">
        <v>653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 t="s">
        <v>653</v>
      </c>
      <c r="AF5" s="61"/>
      <c r="AG5" s="164">
        <v>4.1999999999999997E-3</v>
      </c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</row>
    <row r="6" spans="1:46">
      <c r="A6" s="61">
        <v>2</v>
      </c>
      <c r="B6" s="61" t="s">
        <v>139</v>
      </c>
      <c r="C6" s="61" t="s">
        <v>263</v>
      </c>
      <c r="D6" s="61" t="s">
        <v>214</v>
      </c>
      <c r="E6" s="61" t="s">
        <v>249</v>
      </c>
      <c r="F6" s="61">
        <v>0</v>
      </c>
      <c r="G6" s="61" t="s">
        <v>654</v>
      </c>
      <c r="H6" s="61" t="s">
        <v>62</v>
      </c>
      <c r="I6" s="61" t="s">
        <v>62</v>
      </c>
      <c r="J6" s="61" t="s">
        <v>62</v>
      </c>
      <c r="K6" s="61" t="s">
        <v>650</v>
      </c>
      <c r="L6" s="61" t="s">
        <v>62</v>
      </c>
      <c r="M6" s="61" t="s">
        <v>62</v>
      </c>
      <c r="N6" s="61" t="s">
        <v>655</v>
      </c>
      <c r="O6" s="61" t="s">
        <v>655</v>
      </c>
      <c r="P6" s="61" t="s">
        <v>655</v>
      </c>
      <c r="Q6" s="61" t="s">
        <v>656</v>
      </c>
      <c r="R6" s="61" t="s">
        <v>657</v>
      </c>
      <c r="S6" s="61" t="s">
        <v>658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 t="s">
        <v>658</v>
      </c>
      <c r="AF6" s="61"/>
      <c r="AG6" s="164">
        <v>3.8999999999999998E-3</v>
      </c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</row>
    <row r="7" spans="1:46">
      <c r="A7" s="61">
        <v>3</v>
      </c>
      <c r="B7" s="61" t="s">
        <v>30</v>
      </c>
      <c r="C7" s="61" t="s">
        <v>301</v>
      </c>
      <c r="D7" s="61" t="s">
        <v>224</v>
      </c>
      <c r="E7" s="61" t="s">
        <v>66</v>
      </c>
      <c r="F7" s="61">
        <v>0</v>
      </c>
      <c r="G7" s="61"/>
      <c r="H7" s="61" t="s">
        <v>62</v>
      </c>
      <c r="I7" s="61" t="s">
        <v>62</v>
      </c>
      <c r="J7" s="61" t="s">
        <v>62</v>
      </c>
      <c r="K7" s="61" t="s">
        <v>62</v>
      </c>
      <c r="L7" s="61" t="s">
        <v>62</v>
      </c>
      <c r="M7" s="61" t="s">
        <v>62</v>
      </c>
      <c r="N7" s="61" t="s">
        <v>62</v>
      </c>
      <c r="O7" s="61" t="s">
        <v>655</v>
      </c>
      <c r="P7" s="61" t="s">
        <v>62</v>
      </c>
      <c r="Q7" s="61" t="s">
        <v>659</v>
      </c>
      <c r="R7" s="61" t="s">
        <v>660</v>
      </c>
      <c r="S7" s="61" t="s">
        <v>661</v>
      </c>
      <c r="T7" s="61">
        <v>100</v>
      </c>
      <c r="U7" s="61"/>
      <c r="V7" s="61"/>
      <c r="W7" s="61"/>
      <c r="X7" s="61">
        <v>-100</v>
      </c>
      <c r="Y7" s="61"/>
      <c r="Z7" s="61">
        <v>200</v>
      </c>
      <c r="AA7" s="61">
        <v>70</v>
      </c>
      <c r="AB7" s="61"/>
      <c r="AC7" s="61">
        <v>170</v>
      </c>
      <c r="AD7" s="61" t="s">
        <v>662</v>
      </c>
      <c r="AE7" s="61" t="s">
        <v>663</v>
      </c>
      <c r="AF7" s="164">
        <v>1.4E-3</v>
      </c>
      <c r="AG7" s="164">
        <v>1.55E-2</v>
      </c>
      <c r="AH7" s="164">
        <v>1.55E-2</v>
      </c>
      <c r="AI7" s="61">
        <v>0</v>
      </c>
      <c r="AJ7" s="164">
        <v>1.61E-2</v>
      </c>
      <c r="AK7" s="61"/>
      <c r="AL7" s="165"/>
      <c r="AM7" s="61" t="b">
        <v>0</v>
      </c>
      <c r="AN7" s="61"/>
      <c r="AO7" s="61" t="s">
        <v>664</v>
      </c>
      <c r="AP7" s="61" t="s">
        <v>665</v>
      </c>
      <c r="AQ7" s="61">
        <v>28.47</v>
      </c>
      <c r="AR7" s="61" t="s">
        <v>666</v>
      </c>
      <c r="AS7" s="61">
        <v>29.1</v>
      </c>
      <c r="AT7" s="164">
        <v>1.022</v>
      </c>
    </row>
    <row r="8" spans="1:46">
      <c r="A8" s="61">
        <v>4</v>
      </c>
      <c r="B8" s="61" t="s">
        <v>239</v>
      </c>
      <c r="C8" s="61" t="s">
        <v>242</v>
      </c>
      <c r="D8" s="61" t="s">
        <v>224</v>
      </c>
      <c r="E8" s="61" t="s">
        <v>227</v>
      </c>
      <c r="F8" s="61">
        <v>0</v>
      </c>
      <c r="G8" s="61"/>
      <c r="H8" s="61" t="s">
        <v>62</v>
      </c>
      <c r="I8" s="61" t="s">
        <v>62</v>
      </c>
      <c r="J8" s="61" t="s">
        <v>62</v>
      </c>
      <c r="K8" s="61" t="s">
        <v>650</v>
      </c>
      <c r="L8" s="61" t="s">
        <v>62</v>
      </c>
      <c r="M8" s="61" t="s">
        <v>62</v>
      </c>
      <c r="N8" s="61" t="s">
        <v>62</v>
      </c>
      <c r="O8" s="61" t="s">
        <v>655</v>
      </c>
      <c r="P8" s="61" t="s">
        <v>62</v>
      </c>
      <c r="Q8" s="61" t="s">
        <v>656</v>
      </c>
      <c r="R8" s="61" t="s">
        <v>667</v>
      </c>
      <c r="S8" s="61" t="s">
        <v>668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 t="s">
        <v>668</v>
      </c>
      <c r="AF8" s="61"/>
      <c r="AG8" s="164">
        <v>7.0000000000000001E-3</v>
      </c>
      <c r="AH8" s="61"/>
      <c r="AI8" s="61"/>
      <c r="AJ8" s="61"/>
      <c r="AK8" s="61"/>
      <c r="AL8" s="61"/>
      <c r="AM8" s="61"/>
      <c r="AN8" s="61"/>
      <c r="AO8" s="61" t="s">
        <v>669</v>
      </c>
      <c r="AP8" s="61"/>
      <c r="AQ8" s="61"/>
      <c r="AR8" s="61"/>
      <c r="AS8" s="61"/>
      <c r="AT8" s="61"/>
    </row>
    <row r="9" spans="1:46">
      <c r="A9" s="61">
        <v>5</v>
      </c>
      <c r="B9" s="61" t="s">
        <v>283</v>
      </c>
      <c r="C9" s="61" t="s">
        <v>215</v>
      </c>
      <c r="D9" s="61" t="s">
        <v>214</v>
      </c>
      <c r="E9" s="61" t="s">
        <v>3</v>
      </c>
      <c r="F9" s="61">
        <v>0</v>
      </c>
      <c r="G9" s="61"/>
      <c r="H9" s="61" t="s">
        <v>62</v>
      </c>
      <c r="I9" s="61" t="s">
        <v>62</v>
      </c>
      <c r="J9" s="61" t="s">
        <v>62</v>
      </c>
      <c r="K9" s="61" t="s">
        <v>62</v>
      </c>
      <c r="L9" s="61" t="s">
        <v>62</v>
      </c>
      <c r="M9" s="61" t="s">
        <v>62</v>
      </c>
      <c r="N9" s="61" t="s">
        <v>62</v>
      </c>
      <c r="O9" s="61" t="s">
        <v>655</v>
      </c>
      <c r="P9" s="61" t="s">
        <v>62</v>
      </c>
      <c r="Q9" s="61" t="s">
        <v>651</v>
      </c>
      <c r="R9" s="61" t="s">
        <v>652</v>
      </c>
      <c r="S9" s="61" t="s">
        <v>670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670</v>
      </c>
      <c r="AF9" s="61"/>
      <c r="AG9" s="164">
        <v>5.7000000000000002E-3</v>
      </c>
      <c r="AH9" s="61"/>
      <c r="AI9" s="61"/>
      <c r="AJ9" s="61"/>
      <c r="AK9" s="61"/>
      <c r="AL9" s="61"/>
      <c r="AM9" s="61"/>
      <c r="AN9" s="61"/>
      <c r="AO9" s="61" t="s">
        <v>669</v>
      </c>
      <c r="AP9" s="61"/>
      <c r="AQ9" s="61"/>
      <c r="AR9" s="61"/>
      <c r="AS9" s="61"/>
      <c r="AT9" s="61"/>
    </row>
    <row r="10" spans="1:46">
      <c r="A10" s="61">
        <v>6</v>
      </c>
      <c r="B10" s="61" t="s">
        <v>78</v>
      </c>
      <c r="C10" s="61" t="s">
        <v>252</v>
      </c>
      <c r="D10" s="61" t="s">
        <v>224</v>
      </c>
      <c r="E10" s="61" t="s">
        <v>281</v>
      </c>
      <c r="F10" s="61">
        <v>0</v>
      </c>
      <c r="G10" s="61"/>
      <c r="H10" s="61" t="s">
        <v>62</v>
      </c>
      <c r="I10" s="61" t="s">
        <v>62</v>
      </c>
      <c r="J10" s="61" t="s">
        <v>62</v>
      </c>
      <c r="K10" s="61" t="s">
        <v>650</v>
      </c>
      <c r="L10" s="61" t="s">
        <v>655</v>
      </c>
      <c r="M10" s="61" t="s">
        <v>62</v>
      </c>
      <c r="N10" s="61" t="s">
        <v>62</v>
      </c>
      <c r="O10" s="61" t="s">
        <v>62</v>
      </c>
      <c r="P10" s="61" t="s">
        <v>62</v>
      </c>
      <c r="Q10" s="61" t="s">
        <v>659</v>
      </c>
      <c r="R10" s="61" t="s">
        <v>671</v>
      </c>
      <c r="S10" s="61" t="s">
        <v>672</v>
      </c>
      <c r="T10" s="61">
        <v>20</v>
      </c>
      <c r="U10" s="61"/>
      <c r="V10" s="61"/>
      <c r="W10" s="61"/>
      <c r="X10" s="61"/>
      <c r="Y10" s="61"/>
      <c r="Z10" s="61"/>
      <c r="AA10" s="61"/>
      <c r="AB10" s="61"/>
      <c r="AC10" s="61"/>
      <c r="AD10" s="61" t="s">
        <v>673</v>
      </c>
      <c r="AE10" s="61" t="s">
        <v>674</v>
      </c>
      <c r="AF10" s="164">
        <v>-8.0000000000000004E-4</v>
      </c>
      <c r="AG10" s="164">
        <v>1.04E-2</v>
      </c>
      <c r="AH10" s="164">
        <v>1.04E-2</v>
      </c>
      <c r="AI10" s="164">
        <v>1.04E-2</v>
      </c>
      <c r="AJ10" s="164">
        <v>1.04E-2</v>
      </c>
      <c r="AK10" s="61"/>
      <c r="AL10" s="61"/>
      <c r="AM10" s="61" t="b">
        <v>0</v>
      </c>
      <c r="AN10" s="61"/>
      <c r="AO10" s="61" t="s">
        <v>675</v>
      </c>
      <c r="AP10" s="61"/>
      <c r="AQ10" s="61"/>
      <c r="AR10" s="61"/>
      <c r="AS10" s="61"/>
      <c r="AT10" s="61"/>
    </row>
    <row r="11" spans="1:46">
      <c r="A11" s="61">
        <v>7</v>
      </c>
      <c r="B11" s="61" t="s">
        <v>238</v>
      </c>
      <c r="C11" s="61" t="s">
        <v>98</v>
      </c>
      <c r="D11" s="61" t="s">
        <v>224</v>
      </c>
      <c r="E11" s="61" t="s">
        <v>676</v>
      </c>
      <c r="F11" s="61">
        <v>0</v>
      </c>
      <c r="G11" s="61" t="s">
        <v>677</v>
      </c>
      <c r="H11" s="61" t="s">
        <v>62</v>
      </c>
      <c r="I11" s="61" t="s">
        <v>655</v>
      </c>
      <c r="J11" s="61" t="s">
        <v>62</v>
      </c>
      <c r="K11" s="61" t="s">
        <v>62</v>
      </c>
      <c r="L11" s="61" t="s">
        <v>62</v>
      </c>
      <c r="M11" s="61" t="s">
        <v>62</v>
      </c>
      <c r="N11" s="61" t="s">
        <v>62</v>
      </c>
      <c r="O11" s="61" t="s">
        <v>62</v>
      </c>
      <c r="P11" s="61" t="s">
        <v>62</v>
      </c>
      <c r="Q11" s="61" t="s">
        <v>656</v>
      </c>
      <c r="R11" s="61" t="s">
        <v>678</v>
      </c>
      <c r="S11" s="61" t="s">
        <v>679</v>
      </c>
      <c r="T11" s="61">
        <v>40</v>
      </c>
      <c r="U11" s="61"/>
      <c r="V11" s="61"/>
      <c r="W11" s="61"/>
      <c r="X11" s="61"/>
      <c r="Y11" s="61"/>
      <c r="Z11" s="61"/>
      <c r="AA11" s="61"/>
      <c r="AB11" s="61"/>
      <c r="AC11" s="61"/>
      <c r="AD11" s="61" t="s">
        <v>680</v>
      </c>
      <c r="AE11" s="61" t="s">
        <v>681</v>
      </c>
      <c r="AF11" s="164">
        <v>-4.0000000000000002E-4</v>
      </c>
      <c r="AG11" s="164">
        <v>9.1000000000000004E-3</v>
      </c>
      <c r="AH11" s="164">
        <v>9.1000000000000004E-3</v>
      </c>
      <c r="AI11" s="164">
        <v>9.1000000000000004E-3</v>
      </c>
      <c r="AJ11" s="164">
        <v>9.1000000000000004E-3</v>
      </c>
      <c r="AK11" s="61"/>
      <c r="AL11" s="61"/>
      <c r="AM11" s="61" t="b">
        <v>0</v>
      </c>
      <c r="AN11" s="61"/>
      <c r="AO11" s="61" t="s">
        <v>682</v>
      </c>
      <c r="AP11" s="61"/>
      <c r="AQ11" s="61"/>
      <c r="AR11" s="61"/>
      <c r="AS11" s="61"/>
      <c r="AT11" s="61"/>
    </row>
    <row r="12" spans="1:46">
      <c r="A12" s="61">
        <v>8</v>
      </c>
      <c r="B12" s="61" t="s">
        <v>300</v>
      </c>
      <c r="C12" s="61" t="s">
        <v>302</v>
      </c>
      <c r="D12" s="61" t="s">
        <v>224</v>
      </c>
      <c r="E12" s="61" t="s">
        <v>66</v>
      </c>
      <c r="F12" s="61">
        <v>0</v>
      </c>
      <c r="G12" s="61"/>
      <c r="H12" s="61" t="s">
        <v>62</v>
      </c>
      <c r="I12" s="61" t="s">
        <v>62</v>
      </c>
      <c r="J12" s="61" t="s">
        <v>62</v>
      </c>
      <c r="K12" s="61" t="s">
        <v>62</v>
      </c>
      <c r="L12" s="61" t="s">
        <v>62</v>
      </c>
      <c r="M12" s="61" t="s">
        <v>62</v>
      </c>
      <c r="N12" s="61" t="s">
        <v>62</v>
      </c>
      <c r="O12" s="61" t="s">
        <v>655</v>
      </c>
      <c r="P12" s="61" t="s">
        <v>62</v>
      </c>
      <c r="Q12" s="61" t="s">
        <v>659</v>
      </c>
      <c r="R12" s="61" t="s">
        <v>683</v>
      </c>
      <c r="S12" s="61" t="s">
        <v>684</v>
      </c>
      <c r="T12" s="61">
        <v>50</v>
      </c>
      <c r="U12" s="61">
        <v>25</v>
      </c>
      <c r="V12" s="61"/>
      <c r="W12" s="61"/>
      <c r="X12" s="61">
        <v>25</v>
      </c>
      <c r="Y12" s="61"/>
      <c r="Z12" s="61"/>
      <c r="AA12" s="61"/>
      <c r="AB12" s="61"/>
      <c r="AC12" s="61"/>
      <c r="AD12" s="61" t="s">
        <v>685</v>
      </c>
      <c r="AE12" s="61" t="s">
        <v>686</v>
      </c>
      <c r="AF12" s="164">
        <v>6.9999999999999999E-4</v>
      </c>
      <c r="AG12" s="164">
        <v>9.1000000000000004E-3</v>
      </c>
      <c r="AH12" s="164">
        <v>9.2999999999999992E-3</v>
      </c>
      <c r="AI12" s="164">
        <v>9.2999999999999992E-3</v>
      </c>
      <c r="AJ12" s="164">
        <v>9.2999999999999992E-3</v>
      </c>
      <c r="AK12" s="61"/>
      <c r="AL12" s="61"/>
      <c r="AM12" s="61" t="b">
        <v>0</v>
      </c>
      <c r="AN12" s="61"/>
      <c r="AO12" s="61" t="s">
        <v>687</v>
      </c>
      <c r="AP12" s="61"/>
      <c r="AQ12" s="61"/>
      <c r="AR12" s="61"/>
      <c r="AS12" s="61"/>
      <c r="AT12" s="61"/>
    </row>
    <row r="13" spans="1:46">
      <c r="A13" s="61">
        <v>9</v>
      </c>
      <c r="B13" s="61" t="s">
        <v>103</v>
      </c>
      <c r="C13" s="61" t="s">
        <v>145</v>
      </c>
      <c r="D13" s="61" t="s">
        <v>214</v>
      </c>
      <c r="E13" s="61" t="s">
        <v>155</v>
      </c>
      <c r="F13" s="61">
        <v>0</v>
      </c>
      <c r="G13" s="61"/>
      <c r="H13" s="61" t="s">
        <v>650</v>
      </c>
      <c r="I13" s="61" t="s">
        <v>62</v>
      </c>
      <c r="J13" s="61" t="s">
        <v>62</v>
      </c>
      <c r="K13" s="61" t="s">
        <v>655</v>
      </c>
      <c r="L13" s="61" t="s">
        <v>655</v>
      </c>
      <c r="M13" s="61" t="s">
        <v>62</v>
      </c>
      <c r="N13" s="61" t="s">
        <v>62</v>
      </c>
      <c r="O13" s="61" t="s">
        <v>655</v>
      </c>
      <c r="P13" s="61" t="s">
        <v>62</v>
      </c>
      <c r="Q13" s="61" t="s">
        <v>656</v>
      </c>
      <c r="R13" s="61" t="s">
        <v>688</v>
      </c>
      <c r="S13" s="61" t="s">
        <v>689</v>
      </c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689</v>
      </c>
      <c r="AF13" s="61"/>
      <c r="AG13" s="164">
        <v>1.1999999999999999E-3</v>
      </c>
      <c r="AH13" s="61"/>
      <c r="AI13" s="61"/>
      <c r="AJ13" s="61"/>
      <c r="AK13" s="61"/>
      <c r="AL13" s="61"/>
      <c r="AM13" s="61"/>
      <c r="AN13" s="61"/>
      <c r="AO13" s="61" t="s">
        <v>669</v>
      </c>
      <c r="AP13" s="61"/>
      <c r="AQ13" s="61"/>
      <c r="AR13" s="61"/>
      <c r="AS13" s="61"/>
      <c r="AT13" s="61"/>
    </row>
    <row r="14" spans="1:46">
      <c r="A14" s="61">
        <v>10</v>
      </c>
      <c r="B14" s="61" t="s">
        <v>237</v>
      </c>
      <c r="C14" s="61" t="s">
        <v>57</v>
      </c>
      <c r="D14" s="61" t="s">
        <v>224</v>
      </c>
      <c r="E14" s="61" t="s">
        <v>3</v>
      </c>
      <c r="F14" s="61">
        <v>0</v>
      </c>
      <c r="G14" s="61"/>
      <c r="H14" s="61" t="s">
        <v>62</v>
      </c>
      <c r="I14" s="61" t="s">
        <v>655</v>
      </c>
      <c r="J14" s="61" t="s">
        <v>650</v>
      </c>
      <c r="K14" s="61" t="s">
        <v>62</v>
      </c>
      <c r="L14" s="61" t="s">
        <v>62</v>
      </c>
      <c r="M14" s="61" t="s">
        <v>62</v>
      </c>
      <c r="N14" s="61" t="s">
        <v>62</v>
      </c>
      <c r="O14" s="61" t="s">
        <v>655</v>
      </c>
      <c r="P14" s="61" t="s">
        <v>62</v>
      </c>
      <c r="Q14" s="61" t="s">
        <v>659</v>
      </c>
      <c r="R14" s="61" t="s">
        <v>690</v>
      </c>
      <c r="S14" s="61" t="s">
        <v>691</v>
      </c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691</v>
      </c>
      <c r="AF14" s="61"/>
      <c r="AG14" s="164">
        <v>5.0000000000000001E-3</v>
      </c>
      <c r="AH14" s="61"/>
      <c r="AI14" s="61"/>
      <c r="AJ14" s="61"/>
      <c r="AK14" s="61"/>
      <c r="AL14" s="61"/>
      <c r="AM14" s="61"/>
      <c r="AN14" s="61"/>
      <c r="AO14" s="61" t="s">
        <v>669</v>
      </c>
      <c r="AP14" s="61"/>
      <c r="AQ14" s="61"/>
      <c r="AR14" s="61"/>
      <c r="AS14" s="61"/>
      <c r="AT14" s="61"/>
    </row>
    <row r="15" spans="1:46">
      <c r="A15" s="61">
        <v>11</v>
      </c>
      <c r="B15" s="61" t="s">
        <v>92</v>
      </c>
      <c r="C15" s="61" t="s">
        <v>206</v>
      </c>
      <c r="D15" s="61" t="s">
        <v>214</v>
      </c>
      <c r="E15" s="61" t="s">
        <v>3</v>
      </c>
      <c r="F15" s="61">
        <v>0</v>
      </c>
      <c r="G15" s="61"/>
      <c r="H15" s="61" t="s">
        <v>62</v>
      </c>
      <c r="I15" s="61" t="s">
        <v>62</v>
      </c>
      <c r="J15" s="61" t="s">
        <v>62</v>
      </c>
      <c r="K15" s="61" t="s">
        <v>62</v>
      </c>
      <c r="L15" s="61" t="s">
        <v>655</v>
      </c>
      <c r="M15" s="61" t="s">
        <v>62</v>
      </c>
      <c r="N15" s="61" t="s">
        <v>655</v>
      </c>
      <c r="O15" s="61" t="s">
        <v>655</v>
      </c>
      <c r="P15" s="61" t="s">
        <v>655</v>
      </c>
      <c r="Q15" s="61" t="s">
        <v>659</v>
      </c>
      <c r="R15" s="61" t="s">
        <v>692</v>
      </c>
      <c r="S15" s="61" t="s">
        <v>693</v>
      </c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693</v>
      </c>
      <c r="AF15" s="61"/>
      <c r="AG15" s="164">
        <v>1.4E-3</v>
      </c>
      <c r="AH15" s="61"/>
      <c r="AI15" s="61"/>
      <c r="AJ15" s="61"/>
      <c r="AK15" s="61"/>
      <c r="AL15" s="61"/>
      <c r="AM15" s="61"/>
      <c r="AN15" s="61"/>
      <c r="AO15" s="61" t="s">
        <v>669</v>
      </c>
      <c r="AP15" s="61"/>
      <c r="AQ15" s="61"/>
      <c r="AR15" s="61"/>
      <c r="AS15" s="61"/>
      <c r="AT15" s="61"/>
    </row>
    <row r="16" spans="1:46">
      <c r="A16" s="61">
        <v>12</v>
      </c>
      <c r="B16" s="61" t="s">
        <v>148</v>
      </c>
      <c r="C16" s="61" t="s">
        <v>225</v>
      </c>
      <c r="D16" s="61" t="s">
        <v>224</v>
      </c>
      <c r="E16" s="61" t="s">
        <v>249</v>
      </c>
      <c r="F16" s="61">
        <v>0</v>
      </c>
      <c r="G16" s="61"/>
      <c r="H16" s="61" t="s">
        <v>62</v>
      </c>
      <c r="I16" s="61" t="s">
        <v>62</v>
      </c>
      <c r="J16" s="61" t="s">
        <v>62</v>
      </c>
      <c r="K16" s="61" t="s">
        <v>62</v>
      </c>
      <c r="L16" s="61" t="s">
        <v>62</v>
      </c>
      <c r="M16" s="61" t="s">
        <v>62</v>
      </c>
      <c r="N16" s="61" t="s">
        <v>655</v>
      </c>
      <c r="O16" s="61" t="s">
        <v>650</v>
      </c>
      <c r="P16" s="61" t="s">
        <v>650</v>
      </c>
      <c r="Q16" s="61" t="s">
        <v>651</v>
      </c>
      <c r="R16" s="61" t="s">
        <v>694</v>
      </c>
      <c r="S16" s="61" t="s">
        <v>695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695</v>
      </c>
      <c r="AF16" s="61"/>
      <c r="AG16" s="164">
        <v>3.8E-3</v>
      </c>
      <c r="AH16" s="61"/>
      <c r="AI16" s="61"/>
      <c r="AJ16" s="61"/>
      <c r="AK16" s="61"/>
      <c r="AL16" s="61"/>
      <c r="AM16" s="61"/>
      <c r="AN16" s="61"/>
      <c r="AO16" s="61" t="s">
        <v>669</v>
      </c>
      <c r="AP16" s="61"/>
      <c r="AQ16" s="61"/>
      <c r="AR16" s="61"/>
      <c r="AS16" s="61"/>
      <c r="AT16" s="61"/>
    </row>
    <row r="17" spans="1:46">
      <c r="A17" s="61">
        <v>13</v>
      </c>
      <c r="B17" s="61" t="s">
        <v>261</v>
      </c>
      <c r="C17" s="61" t="s">
        <v>124</v>
      </c>
      <c r="D17" s="61" t="s">
        <v>214</v>
      </c>
      <c r="E17" s="61" t="s">
        <v>155</v>
      </c>
      <c r="F17" s="61">
        <v>0</v>
      </c>
      <c r="G17" s="61"/>
      <c r="H17" s="61" t="s">
        <v>62</v>
      </c>
      <c r="I17" s="61" t="s">
        <v>62</v>
      </c>
      <c r="J17" s="61" t="s">
        <v>62</v>
      </c>
      <c r="K17" s="61" t="s">
        <v>62</v>
      </c>
      <c r="L17" s="61" t="s">
        <v>650</v>
      </c>
      <c r="M17" s="61" t="s">
        <v>62</v>
      </c>
      <c r="N17" s="61" t="s">
        <v>62</v>
      </c>
      <c r="O17" s="61" t="s">
        <v>655</v>
      </c>
      <c r="P17" s="61" t="s">
        <v>62</v>
      </c>
      <c r="Q17" s="61" t="s">
        <v>656</v>
      </c>
      <c r="R17" s="61" t="s">
        <v>696</v>
      </c>
      <c r="S17" s="61" t="s">
        <v>697</v>
      </c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 t="s">
        <v>697</v>
      </c>
      <c r="AF17" s="61"/>
      <c r="AG17" s="164">
        <v>6.0000000000000001E-3</v>
      </c>
      <c r="AH17" s="61"/>
      <c r="AI17" s="61"/>
      <c r="AJ17" s="61"/>
      <c r="AK17" s="61"/>
      <c r="AL17" s="61"/>
      <c r="AM17" s="61"/>
      <c r="AN17" s="61"/>
      <c r="AO17" s="61" t="s">
        <v>669</v>
      </c>
      <c r="AP17" s="61"/>
      <c r="AQ17" s="61"/>
      <c r="AR17" s="61"/>
      <c r="AS17" s="61"/>
      <c r="AT17" s="61"/>
    </row>
    <row r="18" spans="1:46">
      <c r="A18" s="61">
        <v>14</v>
      </c>
      <c r="B18" s="61" t="s">
        <v>31</v>
      </c>
      <c r="C18" s="61" t="s">
        <v>65</v>
      </c>
      <c r="D18" s="61" t="s">
        <v>224</v>
      </c>
      <c r="E18" s="61" t="s">
        <v>281</v>
      </c>
      <c r="F18" s="61">
        <v>0</v>
      </c>
      <c r="G18" s="61"/>
      <c r="H18" s="61" t="s">
        <v>62</v>
      </c>
      <c r="I18" s="61" t="s">
        <v>62</v>
      </c>
      <c r="J18" s="61" t="s">
        <v>62</v>
      </c>
      <c r="K18" s="61" t="s">
        <v>650</v>
      </c>
      <c r="L18" s="61" t="s">
        <v>62</v>
      </c>
      <c r="M18" s="61" t="s">
        <v>62</v>
      </c>
      <c r="N18" s="61" t="s">
        <v>62</v>
      </c>
      <c r="O18" s="61" t="s">
        <v>655</v>
      </c>
      <c r="P18" s="61" t="s">
        <v>62</v>
      </c>
      <c r="Q18" s="61" t="s">
        <v>656</v>
      </c>
      <c r="R18" s="61" t="s">
        <v>698</v>
      </c>
      <c r="S18" s="61" t="s">
        <v>699</v>
      </c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 t="s">
        <v>699</v>
      </c>
      <c r="AF18" s="61"/>
      <c r="AG18" s="164">
        <v>5.4999999999999997E-3</v>
      </c>
      <c r="AH18" s="61"/>
      <c r="AI18" s="61"/>
      <c r="AJ18" s="61"/>
      <c r="AK18" s="61"/>
      <c r="AL18" s="61"/>
      <c r="AM18" s="61"/>
      <c r="AN18" s="61"/>
      <c r="AO18" s="61" t="s">
        <v>669</v>
      </c>
      <c r="AP18" s="61"/>
      <c r="AQ18" s="61"/>
      <c r="AR18" s="61"/>
      <c r="AS18" s="61"/>
      <c r="AT18" s="61"/>
    </row>
    <row r="19" spans="1:46">
      <c r="A19" s="61">
        <v>15</v>
      </c>
      <c r="B19" s="61" t="s">
        <v>157</v>
      </c>
      <c r="C19" s="61" t="s">
        <v>70</v>
      </c>
      <c r="D19" s="61" t="s">
        <v>224</v>
      </c>
      <c r="E19" s="61" t="s">
        <v>3</v>
      </c>
      <c r="F19" s="61">
        <v>0</v>
      </c>
      <c r="G19" s="61"/>
      <c r="H19" s="61" t="s">
        <v>62</v>
      </c>
      <c r="I19" s="61" t="s">
        <v>62</v>
      </c>
      <c r="J19" s="61" t="s">
        <v>62</v>
      </c>
      <c r="K19" s="61" t="s">
        <v>650</v>
      </c>
      <c r="L19" s="61" t="s">
        <v>655</v>
      </c>
      <c r="M19" s="61" t="s">
        <v>62</v>
      </c>
      <c r="N19" s="61" t="s">
        <v>655</v>
      </c>
      <c r="O19" s="61" t="s">
        <v>655</v>
      </c>
      <c r="P19" s="61" t="s">
        <v>62</v>
      </c>
      <c r="Q19" s="61" t="s">
        <v>656</v>
      </c>
      <c r="R19" s="61" t="s">
        <v>700</v>
      </c>
      <c r="S19" s="61" t="s">
        <v>701</v>
      </c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 t="s">
        <v>701</v>
      </c>
      <c r="AF19" s="61"/>
      <c r="AG19" s="164">
        <v>4.4999999999999997E-3</v>
      </c>
      <c r="AH19" s="61"/>
      <c r="AI19" s="61"/>
      <c r="AJ19" s="61"/>
      <c r="AK19" s="61"/>
      <c r="AL19" s="61"/>
      <c r="AM19" s="61"/>
      <c r="AN19" s="61"/>
      <c r="AO19" s="61" t="s">
        <v>669</v>
      </c>
      <c r="AP19" s="61"/>
      <c r="AQ19" s="61"/>
      <c r="AR19" s="61"/>
      <c r="AS19" s="61"/>
      <c r="AT19" s="61"/>
    </row>
    <row r="20" spans="1:46">
      <c r="A20" s="61">
        <v>16</v>
      </c>
      <c r="B20" s="61" t="s">
        <v>165</v>
      </c>
      <c r="C20" s="61" t="s">
        <v>232</v>
      </c>
      <c r="D20" s="61" t="s">
        <v>224</v>
      </c>
      <c r="E20" s="61" t="s">
        <v>182</v>
      </c>
      <c r="F20" s="61">
        <v>0</v>
      </c>
      <c r="G20" s="61"/>
      <c r="H20" s="61" t="s">
        <v>62</v>
      </c>
      <c r="I20" s="61" t="s">
        <v>62</v>
      </c>
      <c r="J20" s="61" t="s">
        <v>62</v>
      </c>
      <c r="K20" s="61" t="s">
        <v>62</v>
      </c>
      <c r="L20" s="61" t="s">
        <v>650</v>
      </c>
      <c r="M20" s="61" t="s">
        <v>62</v>
      </c>
      <c r="N20" s="61" t="s">
        <v>655</v>
      </c>
      <c r="O20" s="61" t="s">
        <v>655</v>
      </c>
      <c r="P20" s="61" t="s">
        <v>62</v>
      </c>
      <c r="Q20" s="61" t="s">
        <v>656</v>
      </c>
      <c r="R20" s="61" t="s">
        <v>702</v>
      </c>
      <c r="S20" s="61" t="s">
        <v>703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 t="s">
        <v>703</v>
      </c>
      <c r="AF20" s="61"/>
      <c r="AG20" s="164">
        <v>7.1999999999999998E-3</v>
      </c>
      <c r="AH20" s="61"/>
      <c r="AI20" s="61"/>
      <c r="AJ20" s="61"/>
      <c r="AK20" s="61"/>
      <c r="AL20" s="61"/>
      <c r="AM20" s="61"/>
      <c r="AN20" s="61"/>
      <c r="AO20" s="61" t="s">
        <v>669</v>
      </c>
      <c r="AP20" s="61"/>
      <c r="AQ20" s="61"/>
      <c r="AR20" s="61"/>
      <c r="AS20" s="61"/>
      <c r="AT20" s="61"/>
    </row>
    <row r="21" spans="1:46">
      <c r="A21" s="61">
        <v>17</v>
      </c>
      <c r="B21" s="61" t="s">
        <v>144</v>
      </c>
      <c r="C21" s="61" t="s">
        <v>97</v>
      </c>
      <c r="D21" s="61" t="s">
        <v>224</v>
      </c>
      <c r="E21" s="61" t="s">
        <v>249</v>
      </c>
      <c r="F21" s="61">
        <v>0</v>
      </c>
      <c r="G21" s="61"/>
      <c r="H21" s="61" t="s">
        <v>62</v>
      </c>
      <c r="I21" s="61" t="s">
        <v>62</v>
      </c>
      <c r="J21" s="61" t="s">
        <v>650</v>
      </c>
      <c r="K21" s="61" t="s">
        <v>62</v>
      </c>
      <c r="L21" s="61" t="s">
        <v>62</v>
      </c>
      <c r="M21" s="61" t="s">
        <v>650</v>
      </c>
      <c r="N21" s="61" t="s">
        <v>62</v>
      </c>
      <c r="O21" s="61" t="s">
        <v>655</v>
      </c>
      <c r="P21" s="61" t="s">
        <v>62</v>
      </c>
      <c r="Q21" s="61" t="s">
        <v>656</v>
      </c>
      <c r="R21" s="61" t="s">
        <v>704</v>
      </c>
      <c r="S21" s="61" t="s">
        <v>705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 t="s">
        <v>705</v>
      </c>
      <c r="AF21" s="61"/>
      <c r="AG21" s="164">
        <v>4.7999999999999996E-3</v>
      </c>
      <c r="AH21" s="61"/>
      <c r="AI21" s="61"/>
      <c r="AJ21" s="61"/>
      <c r="AK21" s="61"/>
      <c r="AL21" s="61"/>
      <c r="AM21" s="61"/>
      <c r="AN21" s="61"/>
      <c r="AO21" s="61" t="s">
        <v>669</v>
      </c>
      <c r="AP21" s="61"/>
      <c r="AQ21" s="61"/>
      <c r="AR21" s="61"/>
      <c r="AS21" s="61"/>
      <c r="AT21" s="61"/>
    </row>
    <row r="22" spans="1:46">
      <c r="A22" s="61">
        <v>18</v>
      </c>
      <c r="B22" s="61" t="s">
        <v>185</v>
      </c>
      <c r="C22" s="61" t="s">
        <v>5</v>
      </c>
      <c r="D22" s="61" t="s">
        <v>214</v>
      </c>
      <c r="E22" s="61" t="s">
        <v>155</v>
      </c>
      <c r="F22" s="61">
        <v>0</v>
      </c>
      <c r="G22" s="61"/>
      <c r="H22" s="61" t="s">
        <v>62</v>
      </c>
      <c r="I22" s="61" t="s">
        <v>62</v>
      </c>
      <c r="J22" s="61" t="s">
        <v>62</v>
      </c>
      <c r="K22" s="61" t="s">
        <v>650</v>
      </c>
      <c r="L22" s="61" t="s">
        <v>62</v>
      </c>
      <c r="M22" s="61" t="s">
        <v>62</v>
      </c>
      <c r="N22" s="61" t="s">
        <v>62</v>
      </c>
      <c r="O22" s="61" t="s">
        <v>655</v>
      </c>
      <c r="P22" s="61" t="s">
        <v>62</v>
      </c>
      <c r="Q22" s="61" t="s">
        <v>656</v>
      </c>
      <c r="R22" s="61" t="s">
        <v>706</v>
      </c>
      <c r="S22" s="61" t="s">
        <v>707</v>
      </c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 t="s">
        <v>707</v>
      </c>
      <c r="AF22" s="61"/>
      <c r="AG22" s="164">
        <v>1.6000000000000001E-3</v>
      </c>
      <c r="AH22" s="61"/>
      <c r="AI22" s="61"/>
      <c r="AJ22" s="61"/>
      <c r="AK22" s="61"/>
      <c r="AL22" s="61"/>
      <c r="AM22" s="61"/>
      <c r="AN22" s="61"/>
      <c r="AO22" s="61" t="s">
        <v>669</v>
      </c>
      <c r="AP22" s="61"/>
      <c r="AQ22" s="61"/>
      <c r="AR22" s="61"/>
      <c r="AS22" s="61"/>
      <c r="AT22" s="61"/>
    </row>
    <row r="23" spans="1:46">
      <c r="A23" s="61">
        <v>19</v>
      </c>
      <c r="B23" s="61" t="s">
        <v>106</v>
      </c>
      <c r="C23" s="61" t="s">
        <v>219</v>
      </c>
      <c r="D23" s="61" t="s">
        <v>224</v>
      </c>
      <c r="E23" s="61" t="s">
        <v>39</v>
      </c>
      <c r="F23" s="61">
        <v>0</v>
      </c>
      <c r="G23" s="61"/>
      <c r="H23" s="61" t="s">
        <v>62</v>
      </c>
      <c r="I23" s="61" t="s">
        <v>62</v>
      </c>
      <c r="J23" s="61" t="s">
        <v>62</v>
      </c>
      <c r="K23" s="61" t="s">
        <v>62</v>
      </c>
      <c r="L23" s="61" t="s">
        <v>62</v>
      </c>
      <c r="M23" s="61" t="s">
        <v>62</v>
      </c>
      <c r="N23" s="61" t="s">
        <v>62</v>
      </c>
      <c r="O23" s="61" t="s">
        <v>62</v>
      </c>
      <c r="P23" s="61" t="s">
        <v>62</v>
      </c>
      <c r="Q23" s="61" t="s">
        <v>656</v>
      </c>
      <c r="R23" s="61" t="s">
        <v>708</v>
      </c>
      <c r="S23" s="61" t="s">
        <v>709</v>
      </c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 t="s">
        <v>709</v>
      </c>
      <c r="AF23" s="61"/>
      <c r="AG23" s="164">
        <v>3.8E-3</v>
      </c>
      <c r="AH23" s="61"/>
      <c r="AI23" s="61"/>
      <c r="AJ23" s="61"/>
      <c r="AK23" s="61"/>
      <c r="AL23" s="61"/>
      <c r="AM23" s="61"/>
      <c r="AN23" s="61"/>
      <c r="AO23" s="61" t="s">
        <v>669</v>
      </c>
      <c r="AP23" s="61"/>
      <c r="AQ23" s="61"/>
      <c r="AR23" s="61"/>
      <c r="AS23" s="61"/>
      <c r="AT23" s="61"/>
    </row>
    <row r="24" spans="1:46">
      <c r="A24" s="61">
        <v>20</v>
      </c>
      <c r="B24" s="61" t="s">
        <v>44</v>
      </c>
      <c r="C24" s="61" t="s">
        <v>287</v>
      </c>
      <c r="D24" s="61" t="s">
        <v>224</v>
      </c>
      <c r="E24" s="61" t="s">
        <v>3</v>
      </c>
      <c r="F24" s="61">
        <v>0</v>
      </c>
      <c r="G24" s="61"/>
      <c r="H24" s="61" t="s">
        <v>62</v>
      </c>
      <c r="I24" s="61" t="s">
        <v>655</v>
      </c>
      <c r="J24" s="61" t="s">
        <v>650</v>
      </c>
      <c r="K24" s="61" t="s">
        <v>62</v>
      </c>
      <c r="L24" s="61" t="s">
        <v>62</v>
      </c>
      <c r="M24" s="61" t="s">
        <v>62</v>
      </c>
      <c r="N24" s="61" t="s">
        <v>62</v>
      </c>
      <c r="O24" s="61" t="s">
        <v>655</v>
      </c>
      <c r="P24" s="61" t="s">
        <v>62</v>
      </c>
      <c r="Q24" s="61" t="s">
        <v>659</v>
      </c>
      <c r="R24" s="61" t="s">
        <v>710</v>
      </c>
      <c r="S24" s="61" t="s">
        <v>711</v>
      </c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 t="s">
        <v>711</v>
      </c>
      <c r="AF24" s="61"/>
      <c r="AG24" s="164">
        <v>5.1999999999999998E-3</v>
      </c>
      <c r="AH24" s="61"/>
      <c r="AI24" s="61"/>
      <c r="AJ24" s="61"/>
      <c r="AK24" s="61"/>
      <c r="AL24" s="61"/>
      <c r="AM24" s="61"/>
      <c r="AN24" s="61"/>
      <c r="AO24" s="61" t="s">
        <v>669</v>
      </c>
      <c r="AP24" s="61"/>
      <c r="AQ24" s="61"/>
      <c r="AR24" s="61"/>
      <c r="AS24" s="61"/>
      <c r="AT24" s="61"/>
    </row>
    <row r="25" spans="1:46">
      <c r="A25" s="61">
        <v>21</v>
      </c>
      <c r="B25" s="61" t="s">
        <v>209</v>
      </c>
      <c r="C25" s="61" t="s">
        <v>231</v>
      </c>
      <c r="D25" s="61" t="s">
        <v>224</v>
      </c>
      <c r="E25" s="61" t="s">
        <v>227</v>
      </c>
      <c r="F25" s="61">
        <v>0</v>
      </c>
      <c r="G25" s="61"/>
      <c r="H25" s="61" t="s">
        <v>62</v>
      </c>
      <c r="I25" s="61" t="s">
        <v>62</v>
      </c>
      <c r="J25" s="61" t="s">
        <v>62</v>
      </c>
      <c r="K25" s="61" t="s">
        <v>62</v>
      </c>
      <c r="L25" s="61" t="s">
        <v>62</v>
      </c>
      <c r="M25" s="61" t="s">
        <v>62</v>
      </c>
      <c r="N25" s="61" t="s">
        <v>62</v>
      </c>
      <c r="O25" s="61" t="s">
        <v>655</v>
      </c>
      <c r="P25" s="61" t="s">
        <v>62</v>
      </c>
      <c r="Q25" s="61" t="s">
        <v>656</v>
      </c>
      <c r="R25" s="61" t="s">
        <v>712</v>
      </c>
      <c r="S25" s="61" t="s">
        <v>713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 t="s">
        <v>713</v>
      </c>
      <c r="AF25" s="61"/>
      <c r="AG25" s="164">
        <v>3.8E-3</v>
      </c>
      <c r="AH25" s="61"/>
      <c r="AI25" s="61"/>
      <c r="AJ25" s="61"/>
      <c r="AK25" s="61"/>
      <c r="AL25" s="61"/>
      <c r="AM25" s="61"/>
      <c r="AN25" s="61"/>
      <c r="AO25" s="61" t="s">
        <v>669</v>
      </c>
      <c r="AP25" s="61"/>
      <c r="AQ25" s="61"/>
      <c r="AR25" s="61"/>
      <c r="AS25" s="61"/>
      <c r="AT25" s="61"/>
    </row>
    <row r="26" spans="1:46">
      <c r="A26" s="61">
        <v>22</v>
      </c>
      <c r="B26" s="61" t="s">
        <v>267</v>
      </c>
      <c r="C26" s="61" t="s">
        <v>135</v>
      </c>
      <c r="D26" s="61" t="s">
        <v>224</v>
      </c>
      <c r="E26" s="61" t="s">
        <v>155</v>
      </c>
      <c r="F26" s="61">
        <v>0</v>
      </c>
      <c r="G26" s="61"/>
      <c r="H26" s="61" t="s">
        <v>62</v>
      </c>
      <c r="I26" s="61" t="s">
        <v>62</v>
      </c>
      <c r="J26" s="61" t="s">
        <v>62</v>
      </c>
      <c r="K26" s="61" t="s">
        <v>62</v>
      </c>
      <c r="L26" s="61" t="s">
        <v>650</v>
      </c>
      <c r="M26" s="61" t="s">
        <v>62</v>
      </c>
      <c r="N26" s="61" t="s">
        <v>62</v>
      </c>
      <c r="O26" s="61" t="s">
        <v>655</v>
      </c>
      <c r="P26" s="61" t="s">
        <v>62</v>
      </c>
      <c r="Q26" s="61" t="s">
        <v>656</v>
      </c>
      <c r="R26" s="61" t="s">
        <v>714</v>
      </c>
      <c r="S26" s="61" t="s">
        <v>715</v>
      </c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 t="s">
        <v>715</v>
      </c>
      <c r="AF26" s="61"/>
      <c r="AG26" s="164">
        <v>1.2999999999999999E-3</v>
      </c>
      <c r="AH26" s="61"/>
      <c r="AI26" s="61"/>
      <c r="AJ26" s="61"/>
      <c r="AK26" s="61"/>
      <c r="AL26" s="61"/>
      <c r="AM26" s="61"/>
      <c r="AN26" s="61"/>
      <c r="AO26" s="61" t="s">
        <v>669</v>
      </c>
      <c r="AP26" s="61"/>
      <c r="AQ26" s="61"/>
      <c r="AR26" s="61"/>
      <c r="AS26" s="61"/>
      <c r="AT26" s="61"/>
    </row>
    <row r="27" spans="1:46">
      <c r="A27" s="61">
        <v>23</v>
      </c>
      <c r="B27" s="61" t="s">
        <v>184</v>
      </c>
      <c r="C27" s="61" t="s">
        <v>116</v>
      </c>
      <c r="D27" s="61" t="s">
        <v>214</v>
      </c>
      <c r="E27" s="61" t="s">
        <v>155</v>
      </c>
      <c r="F27" s="61">
        <v>0</v>
      </c>
      <c r="G27" s="61"/>
      <c r="H27" s="61" t="s">
        <v>62</v>
      </c>
      <c r="I27" s="61" t="s">
        <v>62</v>
      </c>
      <c r="J27" s="61" t="s">
        <v>62</v>
      </c>
      <c r="K27" s="61" t="s">
        <v>62</v>
      </c>
      <c r="L27" s="61" t="s">
        <v>62</v>
      </c>
      <c r="M27" s="61" t="s">
        <v>62</v>
      </c>
      <c r="N27" s="61" t="s">
        <v>62</v>
      </c>
      <c r="O27" s="61" t="s">
        <v>655</v>
      </c>
      <c r="P27" s="61" t="s">
        <v>62</v>
      </c>
      <c r="Q27" s="61" t="s">
        <v>659</v>
      </c>
      <c r="R27" s="61" t="s">
        <v>716</v>
      </c>
      <c r="S27" s="61" t="s">
        <v>717</v>
      </c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 t="s">
        <v>717</v>
      </c>
      <c r="AF27" s="61"/>
      <c r="AG27" s="164">
        <v>5.5999999999999999E-3</v>
      </c>
      <c r="AH27" s="61"/>
      <c r="AI27" s="61"/>
      <c r="AJ27" s="61"/>
      <c r="AK27" s="61"/>
      <c r="AL27" s="61"/>
      <c r="AM27" s="61"/>
      <c r="AN27" s="61"/>
      <c r="AO27" s="61" t="s">
        <v>669</v>
      </c>
      <c r="AP27" s="61"/>
      <c r="AQ27" s="61"/>
      <c r="AR27" s="61"/>
      <c r="AS27" s="61"/>
      <c r="AT27" s="61"/>
    </row>
    <row r="28" spans="1:46">
      <c r="A28" s="61">
        <v>24</v>
      </c>
      <c r="B28" s="61" t="s">
        <v>112</v>
      </c>
      <c r="C28" s="61" t="s">
        <v>62</v>
      </c>
      <c r="D28" s="61" t="s">
        <v>224</v>
      </c>
      <c r="E28" s="61" t="s">
        <v>285</v>
      </c>
      <c r="F28" s="61">
        <v>0</v>
      </c>
      <c r="G28" s="61" t="s">
        <v>158</v>
      </c>
      <c r="H28" s="61" t="s">
        <v>62</v>
      </c>
      <c r="I28" s="61" t="s">
        <v>62</v>
      </c>
      <c r="J28" s="61" t="s">
        <v>62</v>
      </c>
      <c r="K28" s="61" t="s">
        <v>650</v>
      </c>
      <c r="L28" s="61" t="s">
        <v>62</v>
      </c>
      <c r="M28" s="61" t="s">
        <v>62</v>
      </c>
      <c r="N28" s="61" t="s">
        <v>62</v>
      </c>
      <c r="O28" s="61" t="s">
        <v>655</v>
      </c>
      <c r="P28" s="61" t="s">
        <v>62</v>
      </c>
      <c r="Q28" s="61" t="s">
        <v>644</v>
      </c>
      <c r="R28" s="61" t="s">
        <v>718</v>
      </c>
      <c r="S28" s="61" t="s">
        <v>719</v>
      </c>
      <c r="T28" s="61">
        <v>50</v>
      </c>
      <c r="U28" s="61"/>
      <c r="V28" s="61"/>
      <c r="W28" s="61"/>
      <c r="X28" s="61"/>
      <c r="Y28" s="61"/>
      <c r="Z28" s="61"/>
      <c r="AA28" s="61">
        <v>-50</v>
      </c>
      <c r="AB28" s="61"/>
      <c r="AC28" s="61"/>
      <c r="AD28" s="61" t="s">
        <v>669</v>
      </c>
      <c r="AE28" s="61" t="s">
        <v>719</v>
      </c>
      <c r="AF28" s="164">
        <v>0</v>
      </c>
      <c r="AG28" s="164">
        <v>9.9000000000000008E-3</v>
      </c>
      <c r="AH28" s="164">
        <v>0.01</v>
      </c>
      <c r="AI28" s="164">
        <v>0.01</v>
      </c>
      <c r="AJ28" s="164">
        <v>8.3999999999999995E-3</v>
      </c>
      <c r="AK28" s="61"/>
      <c r="AL28" s="61"/>
      <c r="AM28" s="61" t="b">
        <v>0</v>
      </c>
      <c r="AN28" s="61"/>
      <c r="AO28" s="61" t="s">
        <v>669</v>
      </c>
      <c r="AP28" s="61" t="s">
        <v>665</v>
      </c>
      <c r="AQ28" s="61">
        <v>60.18</v>
      </c>
      <c r="AR28" s="61" t="s">
        <v>666</v>
      </c>
      <c r="AS28" s="61">
        <v>72.23</v>
      </c>
      <c r="AT28" s="164">
        <v>1.2</v>
      </c>
    </row>
    <row r="29" spans="1:46">
      <c r="A29" s="61">
        <v>25</v>
      </c>
      <c r="B29" s="61" t="s">
        <v>35</v>
      </c>
      <c r="C29" s="61" t="s">
        <v>125</v>
      </c>
      <c r="D29" s="61" t="s">
        <v>224</v>
      </c>
      <c r="E29" s="61" t="s">
        <v>676</v>
      </c>
      <c r="F29" s="61">
        <v>0</v>
      </c>
      <c r="G29" s="61" t="s">
        <v>720</v>
      </c>
      <c r="H29" s="61" t="s">
        <v>62</v>
      </c>
      <c r="I29" s="61" t="s">
        <v>62</v>
      </c>
      <c r="J29" s="61" t="s">
        <v>62</v>
      </c>
      <c r="K29" s="61" t="s">
        <v>650</v>
      </c>
      <c r="L29" s="61" t="s">
        <v>62</v>
      </c>
      <c r="M29" s="61" t="s">
        <v>62</v>
      </c>
      <c r="N29" s="61" t="s">
        <v>62</v>
      </c>
      <c r="O29" s="61" t="s">
        <v>655</v>
      </c>
      <c r="P29" s="61" t="s">
        <v>62</v>
      </c>
      <c r="Q29" s="61" t="s">
        <v>656</v>
      </c>
      <c r="R29" s="61" t="s">
        <v>721</v>
      </c>
      <c r="S29" s="61" t="s">
        <v>722</v>
      </c>
      <c r="T29" s="61">
        <v>30</v>
      </c>
      <c r="U29" s="61"/>
      <c r="V29" s="61"/>
      <c r="W29" s="61"/>
      <c r="X29" s="61"/>
      <c r="Y29" s="61"/>
      <c r="Z29" s="61"/>
      <c r="AA29" s="61"/>
      <c r="AB29" s="61"/>
      <c r="AC29" s="61"/>
      <c r="AD29" s="61" t="s">
        <v>723</v>
      </c>
      <c r="AE29" s="61" t="s">
        <v>724</v>
      </c>
      <c r="AF29" s="164">
        <v>-2.0000000000000001E-4</v>
      </c>
      <c r="AG29" s="164">
        <v>8.8999999999999999E-3</v>
      </c>
      <c r="AH29" s="164">
        <v>9.1999999999999998E-3</v>
      </c>
      <c r="AI29" s="164">
        <v>9.1999999999999998E-3</v>
      </c>
      <c r="AJ29" s="164">
        <v>9.1999999999999998E-3</v>
      </c>
      <c r="AK29" s="61"/>
      <c r="AL29" s="61"/>
      <c r="AM29" s="61" t="b">
        <v>0</v>
      </c>
      <c r="AN29" s="61"/>
      <c r="AO29" s="61" t="s">
        <v>725</v>
      </c>
      <c r="AP29" s="61"/>
      <c r="AQ29" s="61"/>
      <c r="AR29" s="61"/>
      <c r="AS29" s="61"/>
      <c r="AT29" s="61"/>
    </row>
    <row r="30" spans="1:46">
      <c r="A30" s="61">
        <v>26</v>
      </c>
      <c r="B30" s="61" t="s">
        <v>289</v>
      </c>
      <c r="C30" s="61" t="s">
        <v>37</v>
      </c>
      <c r="D30" s="61" t="s">
        <v>224</v>
      </c>
      <c r="E30" s="61" t="s">
        <v>285</v>
      </c>
      <c r="F30" s="61">
        <v>0</v>
      </c>
      <c r="G30" s="61" t="s">
        <v>158</v>
      </c>
      <c r="H30" s="61" t="s">
        <v>62</v>
      </c>
      <c r="I30" s="61" t="s">
        <v>62</v>
      </c>
      <c r="J30" s="61" t="s">
        <v>62</v>
      </c>
      <c r="K30" s="61" t="s">
        <v>62</v>
      </c>
      <c r="L30" s="61" t="s">
        <v>650</v>
      </c>
      <c r="M30" s="61" t="s">
        <v>62</v>
      </c>
      <c r="N30" s="61" t="s">
        <v>62</v>
      </c>
      <c r="O30" s="61" t="s">
        <v>655</v>
      </c>
      <c r="P30" s="61" t="s">
        <v>62</v>
      </c>
      <c r="Q30" s="61" t="s">
        <v>651</v>
      </c>
      <c r="R30" s="61" t="s">
        <v>726</v>
      </c>
      <c r="S30" s="61" t="s">
        <v>727</v>
      </c>
      <c r="T30" s="61">
        <v>45</v>
      </c>
      <c r="U30" s="61"/>
      <c r="V30" s="61"/>
      <c r="W30" s="61"/>
      <c r="X30" s="61"/>
      <c r="Y30" s="61"/>
      <c r="Z30" s="61"/>
      <c r="AA30" s="61"/>
      <c r="AB30" s="61"/>
      <c r="AC30" s="61">
        <v>-45</v>
      </c>
      <c r="AD30" s="61" t="s">
        <v>669</v>
      </c>
      <c r="AE30" s="61" t="s">
        <v>727</v>
      </c>
      <c r="AF30" s="164">
        <v>0</v>
      </c>
      <c r="AG30" s="164">
        <v>1.34E-2</v>
      </c>
      <c r="AH30" s="164">
        <v>1.34E-2</v>
      </c>
      <c r="AI30" s="164">
        <v>1.34E-2</v>
      </c>
      <c r="AJ30" s="164">
        <v>1.34E-2</v>
      </c>
      <c r="AK30" s="164">
        <v>1.1599999999999999E-2</v>
      </c>
      <c r="AL30" s="61"/>
      <c r="AM30" s="61"/>
      <c r="AN30" s="61"/>
      <c r="AO30" s="61" t="s">
        <v>669</v>
      </c>
      <c r="AP30" s="61" t="s">
        <v>665</v>
      </c>
      <c r="AQ30" s="61">
        <v>66.59</v>
      </c>
      <c r="AR30" s="61" t="s">
        <v>666</v>
      </c>
      <c r="AS30" s="61">
        <v>77.5</v>
      </c>
      <c r="AT30" s="164">
        <v>1.1639999999999999</v>
      </c>
    </row>
    <row r="31" spans="1:46">
      <c r="A31" s="61">
        <v>27</v>
      </c>
      <c r="B31" s="61" t="s">
        <v>196</v>
      </c>
      <c r="C31" s="61" t="s">
        <v>243</v>
      </c>
      <c r="D31" s="61" t="s">
        <v>224</v>
      </c>
      <c r="E31" s="61" t="s">
        <v>200</v>
      </c>
      <c r="F31" s="61">
        <v>0</v>
      </c>
      <c r="G31" s="61" t="s">
        <v>728</v>
      </c>
      <c r="H31" s="61" t="s">
        <v>62</v>
      </c>
      <c r="I31" s="61" t="s">
        <v>62</v>
      </c>
      <c r="J31" s="61" t="s">
        <v>62</v>
      </c>
      <c r="K31" s="61" t="s">
        <v>62</v>
      </c>
      <c r="L31" s="61" t="s">
        <v>62</v>
      </c>
      <c r="M31" s="61" t="s">
        <v>650</v>
      </c>
      <c r="N31" s="61" t="s">
        <v>650</v>
      </c>
      <c r="O31" s="61" t="s">
        <v>655</v>
      </c>
      <c r="P31" s="61" t="s">
        <v>655</v>
      </c>
      <c r="Q31" s="61" t="s">
        <v>656</v>
      </c>
      <c r="R31" s="61" t="s">
        <v>729</v>
      </c>
      <c r="S31" s="61" t="s">
        <v>730</v>
      </c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 t="s">
        <v>730</v>
      </c>
      <c r="AF31" s="61"/>
      <c r="AG31" s="61"/>
      <c r="AH31" s="164">
        <v>7.1999999999999998E-3</v>
      </c>
      <c r="AI31" s="61"/>
      <c r="AJ31" s="61"/>
      <c r="AK31" s="61"/>
      <c r="AL31" s="61"/>
      <c r="AM31" s="61"/>
      <c r="AN31" s="61"/>
      <c r="AO31" s="61" t="s">
        <v>669</v>
      </c>
      <c r="AP31" s="61"/>
      <c r="AQ31" s="61"/>
      <c r="AR31" s="61"/>
      <c r="AS31" s="61"/>
      <c r="AT31" s="61"/>
    </row>
    <row r="32" spans="1:46">
      <c r="A32" s="61">
        <v>28</v>
      </c>
      <c r="B32" s="61" t="s">
        <v>53</v>
      </c>
      <c r="C32" s="61" t="s">
        <v>211</v>
      </c>
      <c r="D32" s="61" t="s">
        <v>224</v>
      </c>
      <c r="E32" s="61" t="s">
        <v>200</v>
      </c>
      <c r="F32" s="61">
        <v>0</v>
      </c>
      <c r="G32" s="61" t="s">
        <v>728</v>
      </c>
      <c r="H32" s="61" t="s">
        <v>62</v>
      </c>
      <c r="I32" s="61" t="s">
        <v>62</v>
      </c>
      <c r="J32" s="61" t="s">
        <v>62</v>
      </c>
      <c r="K32" s="61" t="s">
        <v>62</v>
      </c>
      <c r="L32" s="61" t="s">
        <v>62</v>
      </c>
      <c r="M32" s="61" t="s">
        <v>650</v>
      </c>
      <c r="N32" s="61" t="s">
        <v>650</v>
      </c>
      <c r="O32" s="61" t="s">
        <v>655</v>
      </c>
      <c r="P32" s="61" t="s">
        <v>62</v>
      </c>
      <c r="Q32" s="61" t="s">
        <v>659</v>
      </c>
      <c r="R32" s="61" t="s">
        <v>731</v>
      </c>
      <c r="S32" s="61" t="s">
        <v>732</v>
      </c>
      <c r="T32" s="61">
        <v>110</v>
      </c>
      <c r="U32" s="61"/>
      <c r="V32" s="61"/>
      <c r="W32" s="61"/>
      <c r="X32" s="61"/>
      <c r="Y32" s="61"/>
      <c r="Z32" s="61"/>
      <c r="AA32" s="61"/>
      <c r="AB32" s="61"/>
      <c r="AC32" s="61"/>
      <c r="AD32" s="61" t="s">
        <v>733</v>
      </c>
      <c r="AE32" s="61" t="s">
        <v>734</v>
      </c>
      <c r="AF32" s="164">
        <v>2.0000000000000001E-4</v>
      </c>
      <c r="AG32" s="61"/>
      <c r="AH32" s="164">
        <v>9.2999999999999992E-3</v>
      </c>
      <c r="AI32" s="164">
        <v>9.7999999999999997E-3</v>
      </c>
      <c r="AJ32" s="164">
        <v>9.7999999999999997E-3</v>
      </c>
      <c r="AK32" s="61"/>
      <c r="AL32" s="61"/>
      <c r="AM32" s="61" t="b">
        <v>0</v>
      </c>
      <c r="AN32" s="61"/>
      <c r="AO32" s="61" t="s">
        <v>735</v>
      </c>
      <c r="AP32" s="61"/>
      <c r="AQ32" s="61"/>
      <c r="AR32" s="61"/>
      <c r="AS32" s="61"/>
      <c r="AT32" s="61"/>
    </row>
    <row r="33" spans="1:46">
      <c r="A33" s="61">
        <v>29</v>
      </c>
      <c r="B33" s="61" t="s">
        <v>102</v>
      </c>
      <c r="C33" s="61" t="s">
        <v>115</v>
      </c>
      <c r="D33" s="61" t="s">
        <v>214</v>
      </c>
      <c r="E33" s="61" t="s">
        <v>200</v>
      </c>
      <c r="F33" s="61">
        <v>0</v>
      </c>
      <c r="G33" s="61" t="s">
        <v>728</v>
      </c>
      <c r="H33" s="61" t="s">
        <v>62</v>
      </c>
      <c r="I33" s="61" t="s">
        <v>62</v>
      </c>
      <c r="J33" s="61" t="s">
        <v>62</v>
      </c>
      <c r="K33" s="61" t="s">
        <v>62</v>
      </c>
      <c r="L33" s="61" t="s">
        <v>62</v>
      </c>
      <c r="M33" s="61" t="s">
        <v>62</v>
      </c>
      <c r="N33" s="61" t="s">
        <v>62</v>
      </c>
      <c r="O33" s="61" t="s">
        <v>655</v>
      </c>
      <c r="P33" s="61" t="s">
        <v>62</v>
      </c>
      <c r="Q33" s="61" t="s">
        <v>656</v>
      </c>
      <c r="R33" s="61" t="s">
        <v>683</v>
      </c>
      <c r="S33" s="61" t="s">
        <v>736</v>
      </c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 t="s">
        <v>736</v>
      </c>
      <c r="AF33" s="61"/>
      <c r="AG33" s="61"/>
      <c r="AH33" s="164">
        <v>8.0000000000000002E-3</v>
      </c>
      <c r="AI33" s="61"/>
      <c r="AJ33" s="61"/>
      <c r="AK33" s="61"/>
      <c r="AL33" s="61"/>
      <c r="AM33" s="61"/>
      <c r="AN33" s="61"/>
      <c r="AO33" s="61" t="s">
        <v>669</v>
      </c>
      <c r="AP33" s="61"/>
      <c r="AQ33" s="61"/>
      <c r="AR33" s="61"/>
      <c r="AS33" s="61"/>
      <c r="AT33" s="61"/>
    </row>
    <row r="34" spans="1:46">
      <c r="A34" s="61">
        <v>30</v>
      </c>
      <c r="B34" s="61" t="s">
        <v>143</v>
      </c>
      <c r="C34" s="61" t="s">
        <v>307</v>
      </c>
      <c r="D34" s="61" t="s">
        <v>224</v>
      </c>
      <c r="E34" s="61" t="s">
        <v>200</v>
      </c>
      <c r="F34" s="61">
        <v>0</v>
      </c>
      <c r="G34" s="61" t="s">
        <v>737</v>
      </c>
      <c r="H34" s="61" t="s">
        <v>62</v>
      </c>
      <c r="I34" s="61" t="s">
        <v>62</v>
      </c>
      <c r="J34" s="61" t="s">
        <v>62</v>
      </c>
      <c r="K34" s="61" t="s">
        <v>650</v>
      </c>
      <c r="L34" s="61" t="s">
        <v>62</v>
      </c>
      <c r="M34" s="61" t="s">
        <v>62</v>
      </c>
      <c r="N34" s="61" t="s">
        <v>655</v>
      </c>
      <c r="O34" s="61" t="s">
        <v>655</v>
      </c>
      <c r="P34" s="61" t="s">
        <v>62</v>
      </c>
      <c r="Q34" s="61" t="s">
        <v>656</v>
      </c>
      <c r="R34" s="61" t="s">
        <v>738</v>
      </c>
      <c r="S34" s="61" t="s">
        <v>739</v>
      </c>
      <c r="T34" s="61">
        <v>60</v>
      </c>
      <c r="U34" s="61"/>
      <c r="V34" s="61"/>
      <c r="W34" s="61"/>
      <c r="X34" s="61"/>
      <c r="Y34" s="61"/>
      <c r="Z34" s="61"/>
      <c r="AA34" s="61"/>
      <c r="AB34" s="61"/>
      <c r="AC34" s="61"/>
      <c r="AD34" s="61" t="s">
        <v>740</v>
      </c>
      <c r="AE34" s="61" t="s">
        <v>741</v>
      </c>
      <c r="AF34" s="164">
        <v>-8.9999999999999998E-4</v>
      </c>
      <c r="AG34" s="61"/>
      <c r="AH34" s="164">
        <v>9.1000000000000004E-3</v>
      </c>
      <c r="AI34" s="164">
        <v>9.1000000000000004E-3</v>
      </c>
      <c r="AJ34" s="164">
        <v>9.1000000000000004E-3</v>
      </c>
      <c r="AK34" s="61"/>
      <c r="AL34" s="61"/>
      <c r="AM34" s="61" t="b">
        <v>0</v>
      </c>
      <c r="AN34" s="61"/>
      <c r="AO34" s="61" t="s">
        <v>735</v>
      </c>
      <c r="AP34" s="61"/>
      <c r="AQ34" s="61"/>
      <c r="AR34" s="61"/>
      <c r="AS34" s="61"/>
      <c r="AT34" s="61"/>
    </row>
    <row r="35" spans="1:46">
      <c r="A35" s="61">
        <v>31</v>
      </c>
      <c r="B35" s="61" t="s">
        <v>46</v>
      </c>
      <c r="C35" s="61" t="s">
        <v>174</v>
      </c>
      <c r="D35" s="61" t="s">
        <v>224</v>
      </c>
      <c r="E35" s="61" t="s">
        <v>285</v>
      </c>
      <c r="F35" s="61"/>
      <c r="G35" s="61" t="s">
        <v>742</v>
      </c>
      <c r="H35" s="61" t="s">
        <v>62</v>
      </c>
      <c r="I35" s="61" t="s">
        <v>62</v>
      </c>
      <c r="J35" s="61" t="s">
        <v>62</v>
      </c>
      <c r="K35" s="61" t="s">
        <v>62</v>
      </c>
      <c r="L35" s="61" t="s">
        <v>62</v>
      </c>
      <c r="M35" s="61" t="s">
        <v>62</v>
      </c>
      <c r="N35" s="61" t="s">
        <v>62</v>
      </c>
      <c r="O35" s="61" t="s">
        <v>655</v>
      </c>
      <c r="P35" s="61" t="s">
        <v>655</v>
      </c>
      <c r="Q35" s="61" t="s">
        <v>651</v>
      </c>
      <c r="R35" s="61" t="s">
        <v>706</v>
      </c>
      <c r="S35" s="61" t="s">
        <v>743</v>
      </c>
      <c r="T35" s="61"/>
      <c r="U35" s="61"/>
      <c r="V35" s="61"/>
      <c r="W35" s="61"/>
      <c r="X35" s="61"/>
      <c r="Y35" s="61">
        <v>150</v>
      </c>
      <c r="Z35" s="61">
        <v>90</v>
      </c>
      <c r="AA35" s="61"/>
      <c r="AB35" s="61"/>
      <c r="AC35" s="61"/>
      <c r="AD35" s="61" t="s">
        <v>744</v>
      </c>
      <c r="AE35" s="61" t="s">
        <v>745</v>
      </c>
      <c r="AF35" s="164">
        <v>-5.0000000000000001E-4</v>
      </c>
      <c r="AG35" s="61"/>
      <c r="AH35" s="61"/>
      <c r="AI35" s="164">
        <v>1.2E-2</v>
      </c>
      <c r="AJ35" s="164">
        <v>1.2E-2</v>
      </c>
      <c r="AK35" s="61"/>
      <c r="AL35" s="61"/>
      <c r="AM35" s="61" t="b">
        <v>0</v>
      </c>
      <c r="AN35" s="61"/>
      <c r="AO35" s="61" t="s">
        <v>746</v>
      </c>
      <c r="AP35" s="61"/>
      <c r="AQ35" s="61"/>
      <c r="AR35" s="61"/>
      <c r="AS35" s="61"/>
      <c r="AT35" s="61"/>
    </row>
    <row r="36" spans="1:46">
      <c r="A36" s="61">
        <v>32</v>
      </c>
      <c r="B36" s="61" t="s">
        <v>747</v>
      </c>
      <c r="C36" s="61" t="s">
        <v>748</v>
      </c>
      <c r="D36" s="61" t="s">
        <v>214</v>
      </c>
      <c r="E36" s="61"/>
      <c r="F36" s="61"/>
      <c r="G36" s="61" t="s">
        <v>749</v>
      </c>
      <c r="H36" s="61" t="s">
        <v>62</v>
      </c>
      <c r="I36" s="61" t="s">
        <v>62</v>
      </c>
      <c r="J36" s="61" t="s">
        <v>62</v>
      </c>
      <c r="K36" s="61" t="s">
        <v>62</v>
      </c>
      <c r="L36" s="61" t="s">
        <v>655</v>
      </c>
      <c r="M36" s="61" t="s">
        <v>62</v>
      </c>
      <c r="N36" s="61" t="s">
        <v>62</v>
      </c>
      <c r="O36" s="61" t="s">
        <v>655</v>
      </c>
      <c r="P36" s="61" t="s">
        <v>62</v>
      </c>
      <c r="Q36" s="61" t="s">
        <v>651</v>
      </c>
      <c r="R36" s="61" t="s">
        <v>750</v>
      </c>
      <c r="S36" s="61" t="s">
        <v>751</v>
      </c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 t="s">
        <v>669</v>
      </c>
      <c r="AE36" s="61" t="s">
        <v>751</v>
      </c>
      <c r="AF36" s="61"/>
      <c r="AG36" s="61"/>
      <c r="AH36" s="61"/>
      <c r="AI36" s="164">
        <v>2.3E-3</v>
      </c>
      <c r="AJ36" s="61"/>
      <c r="AK36" s="61"/>
      <c r="AL36" s="61"/>
      <c r="AM36" s="61" t="b">
        <v>0</v>
      </c>
      <c r="AN36" s="61"/>
      <c r="AO36" s="61" t="s">
        <v>669</v>
      </c>
      <c r="AP36" s="61"/>
      <c r="AQ36" s="61"/>
      <c r="AR36" s="61"/>
      <c r="AS36" s="61"/>
      <c r="AT36" s="61"/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90"/>
  <sheetViews>
    <sheetView topLeftCell="A55" zoomScale="85" zoomScaleNormal="85" zoomScaleSheetLayoutView="75" workbookViewId="0">
      <selection activeCell="E25" sqref="E25"/>
    </sheetView>
  </sheetViews>
  <sheetFormatPr baseColWidth="10" defaultColWidth="9.1640625" defaultRowHeight="15"/>
  <cols>
    <col min="1" max="1" width="22" bestFit="1" customWidth="1"/>
    <col min="3" max="3" width="11" bestFit="1" customWidth="1"/>
    <col min="4" max="4" width="5.33203125" bestFit="1" customWidth="1"/>
  </cols>
  <sheetData>
    <row r="1" spans="1:9">
      <c r="A1" s="2" t="s">
        <v>241</v>
      </c>
      <c r="B1" s="2" t="s">
        <v>129</v>
      </c>
      <c r="C1" t="s">
        <v>90</v>
      </c>
      <c r="I1" t="s">
        <v>117</v>
      </c>
    </row>
    <row r="2" spans="1:9">
      <c r="A2" s="2" t="s">
        <v>21</v>
      </c>
      <c r="B2" s="2" t="s">
        <v>38</v>
      </c>
      <c r="C2" t="s">
        <v>90</v>
      </c>
      <c r="I2" t="s">
        <v>293</v>
      </c>
    </row>
    <row r="3" spans="1:9">
      <c r="A3" s="2" t="s">
        <v>103</v>
      </c>
      <c r="B3" s="2" t="s">
        <v>145</v>
      </c>
      <c r="C3" t="s">
        <v>155</v>
      </c>
      <c r="I3" t="s">
        <v>104</v>
      </c>
    </row>
    <row r="4" spans="1:9">
      <c r="A4" s="2" t="s">
        <v>184</v>
      </c>
      <c r="B4" s="2" t="s">
        <v>116</v>
      </c>
      <c r="C4" t="s">
        <v>155</v>
      </c>
      <c r="I4" t="s">
        <v>93</v>
      </c>
    </row>
    <row r="5" spans="1:9">
      <c r="A5" s="2" t="s">
        <v>305</v>
      </c>
      <c r="B5" s="2" t="s">
        <v>0</v>
      </c>
      <c r="C5" t="s">
        <v>155</v>
      </c>
      <c r="I5" s="9"/>
    </row>
    <row r="6" spans="1:9">
      <c r="A6" s="2" t="s">
        <v>261</v>
      </c>
      <c r="B6" s="2" t="s">
        <v>124</v>
      </c>
      <c r="C6" t="s">
        <v>155</v>
      </c>
    </row>
    <row r="7" spans="1:9">
      <c r="A7" s="2" t="s">
        <v>185</v>
      </c>
      <c r="B7" s="2" t="s">
        <v>5</v>
      </c>
      <c r="C7" t="s">
        <v>155</v>
      </c>
    </row>
    <row r="8" spans="1:9">
      <c r="A8" s="2" t="s">
        <v>208</v>
      </c>
      <c r="B8" s="2" t="s">
        <v>109</v>
      </c>
      <c r="C8" t="s">
        <v>155</v>
      </c>
    </row>
    <row r="9" spans="1:9">
      <c r="A9" s="2" t="s">
        <v>68</v>
      </c>
      <c r="B9" s="2" t="s">
        <v>26</v>
      </c>
      <c r="C9" t="s">
        <v>155</v>
      </c>
    </row>
    <row r="10" spans="1:9">
      <c r="A10" s="2" t="s">
        <v>267</v>
      </c>
      <c r="B10" s="2" t="s">
        <v>135</v>
      </c>
      <c r="C10" t="s">
        <v>155</v>
      </c>
    </row>
    <row r="11" spans="1:9">
      <c r="A11" s="2" t="s">
        <v>1</v>
      </c>
      <c r="B11" s="2" t="s">
        <v>220</v>
      </c>
      <c r="C11" t="s">
        <v>10</v>
      </c>
    </row>
    <row r="12" spans="1:9">
      <c r="A12" s="2" t="s">
        <v>86</v>
      </c>
      <c r="B12" s="2" t="s">
        <v>40</v>
      </c>
      <c r="C12" t="s">
        <v>10</v>
      </c>
    </row>
    <row r="13" spans="1:9">
      <c r="A13" s="2" t="s">
        <v>76</v>
      </c>
      <c r="B13" s="2" t="s">
        <v>266</v>
      </c>
      <c r="C13" t="s">
        <v>10</v>
      </c>
    </row>
    <row r="14" spans="1:9">
      <c r="A14" s="2" t="s">
        <v>47</v>
      </c>
      <c r="B14" s="2" t="s">
        <v>284</v>
      </c>
      <c r="C14" t="s">
        <v>10</v>
      </c>
    </row>
    <row r="15" spans="1:9">
      <c r="A15" s="4" t="s">
        <v>13</v>
      </c>
      <c r="B15" s="4" t="s">
        <v>294</v>
      </c>
      <c r="C15" t="s">
        <v>10</v>
      </c>
    </row>
    <row r="16" spans="1:9">
      <c r="A16" s="2" t="s">
        <v>280</v>
      </c>
      <c r="B16" s="2" t="s">
        <v>43</v>
      </c>
      <c r="C16" t="s">
        <v>10</v>
      </c>
    </row>
    <row r="17" spans="1:10">
      <c r="A17" s="4" t="s">
        <v>20</v>
      </c>
      <c r="B17" s="4" t="s">
        <v>95</v>
      </c>
      <c r="C17" t="s">
        <v>10</v>
      </c>
    </row>
    <row r="18" spans="1:10">
      <c r="A18" s="2" t="s">
        <v>73</v>
      </c>
      <c r="B18" s="2" t="s">
        <v>50</v>
      </c>
      <c r="C18" t="s">
        <v>227</v>
      </c>
    </row>
    <row r="19" spans="1:10">
      <c r="A19" s="2" t="s">
        <v>42</v>
      </c>
      <c r="B19" s="2" t="s">
        <v>91</v>
      </c>
      <c r="C19" t="s">
        <v>227</v>
      </c>
    </row>
    <row r="20" spans="1:10">
      <c r="A20" s="2" t="s">
        <v>239</v>
      </c>
      <c r="B20" s="2" t="s">
        <v>242</v>
      </c>
      <c r="C20" t="s">
        <v>227</v>
      </c>
    </row>
    <row r="21" spans="1:10">
      <c r="A21" s="2" t="s">
        <v>152</v>
      </c>
      <c r="B21" s="2" t="s">
        <v>138</v>
      </c>
      <c r="C21" t="s">
        <v>227</v>
      </c>
    </row>
    <row r="22" spans="1:10">
      <c r="A22" s="2" t="s">
        <v>209</v>
      </c>
      <c r="B22" s="2" t="s">
        <v>231</v>
      </c>
      <c r="C22" t="s">
        <v>227</v>
      </c>
    </row>
    <row r="23" spans="1:10">
      <c r="A23" s="4" t="s">
        <v>289</v>
      </c>
      <c r="B23" s="4" t="s">
        <v>37</v>
      </c>
      <c r="C23" t="s">
        <v>285</v>
      </c>
    </row>
    <row r="24" spans="1:10">
      <c r="A24" s="2" t="s">
        <v>112</v>
      </c>
      <c r="B24" s="2" t="s">
        <v>62</v>
      </c>
      <c r="C24" t="s">
        <v>285</v>
      </c>
    </row>
    <row r="25" spans="1:10" ht="409.6">
      <c r="A25" s="2" t="s">
        <v>194</v>
      </c>
      <c r="B25" s="2" t="s">
        <v>108</v>
      </c>
      <c r="C25" t="s">
        <v>249</v>
      </c>
      <c r="J25" s="158" t="s">
        <v>560</v>
      </c>
    </row>
    <row r="26" spans="1:10">
      <c r="A26" s="2" t="s">
        <v>148</v>
      </c>
      <c r="B26" s="2" t="s">
        <v>225</v>
      </c>
      <c r="C26" t="s">
        <v>249</v>
      </c>
    </row>
    <row r="27" spans="1:10">
      <c r="A27" s="2" t="s">
        <v>304</v>
      </c>
      <c r="B27" s="2" t="s">
        <v>141</v>
      </c>
      <c r="C27" t="s">
        <v>249</v>
      </c>
    </row>
    <row r="28" spans="1:10">
      <c r="A28" s="2" t="s">
        <v>144</v>
      </c>
      <c r="B28" s="2" t="s">
        <v>97</v>
      </c>
      <c r="C28" t="s">
        <v>249</v>
      </c>
    </row>
    <row r="29" spans="1:10">
      <c r="A29" s="2" t="s">
        <v>139</v>
      </c>
      <c r="B29" s="2" t="s">
        <v>263</v>
      </c>
      <c r="C29" t="s">
        <v>249</v>
      </c>
    </row>
    <row r="30" spans="1:10">
      <c r="A30" s="2" t="s">
        <v>255</v>
      </c>
      <c r="B30" s="2" t="s">
        <v>72</v>
      </c>
      <c r="C30" t="s">
        <v>249</v>
      </c>
    </row>
    <row r="31" spans="1:10">
      <c r="A31" s="2" t="s">
        <v>169</v>
      </c>
      <c r="B31" s="2" t="s">
        <v>119</v>
      </c>
      <c r="C31" t="s">
        <v>39</v>
      </c>
    </row>
    <row r="32" spans="1:10">
      <c r="A32" s="2" t="s">
        <v>238</v>
      </c>
      <c r="B32" s="2" t="s">
        <v>98</v>
      </c>
      <c r="C32" t="s">
        <v>39</v>
      </c>
    </row>
    <row r="33" spans="1:3">
      <c r="A33" s="2" t="s">
        <v>106</v>
      </c>
      <c r="B33" s="2" t="s">
        <v>219</v>
      </c>
      <c r="C33" t="s">
        <v>39</v>
      </c>
    </row>
    <row r="34" spans="1:3">
      <c r="A34" s="2" t="s">
        <v>35</v>
      </c>
      <c r="B34" s="2" t="s">
        <v>125</v>
      </c>
      <c r="C34" t="s">
        <v>39</v>
      </c>
    </row>
    <row r="35" spans="1:3">
      <c r="A35" s="2" t="s">
        <v>165</v>
      </c>
      <c r="B35" s="2" t="s">
        <v>232</v>
      </c>
      <c r="C35" t="s">
        <v>182</v>
      </c>
    </row>
    <row r="36" spans="1:3">
      <c r="A36" s="2" t="s">
        <v>237</v>
      </c>
      <c r="B36" s="2" t="s">
        <v>57</v>
      </c>
      <c r="C36" t="s">
        <v>3</v>
      </c>
    </row>
    <row r="37" spans="1:3">
      <c r="A37" s="2" t="s">
        <v>92</v>
      </c>
      <c r="B37" s="2" t="s">
        <v>206</v>
      </c>
      <c r="C37" t="s">
        <v>3</v>
      </c>
    </row>
    <row r="38" spans="1:3">
      <c r="A38" s="2" t="s">
        <v>248</v>
      </c>
      <c r="B38" s="2" t="s">
        <v>100</v>
      </c>
      <c r="C38" t="s">
        <v>3</v>
      </c>
    </row>
    <row r="39" spans="1:3">
      <c r="A39" s="2" t="s">
        <v>54</v>
      </c>
      <c r="B39" s="2" t="s">
        <v>29</v>
      </c>
      <c r="C39" t="s">
        <v>3</v>
      </c>
    </row>
    <row r="40" spans="1:3">
      <c r="A40" s="2" t="s">
        <v>157</v>
      </c>
      <c r="B40" s="2" t="s">
        <v>70</v>
      </c>
      <c r="C40" t="s">
        <v>3</v>
      </c>
    </row>
    <row r="41" spans="1:3">
      <c r="A41" s="2" t="s">
        <v>189</v>
      </c>
      <c r="B41" s="2" t="s">
        <v>277</v>
      </c>
      <c r="C41" t="s">
        <v>3</v>
      </c>
    </row>
    <row r="42" spans="1:3">
      <c r="A42" s="2" t="s">
        <v>283</v>
      </c>
      <c r="B42" s="2" t="s">
        <v>215</v>
      </c>
      <c r="C42" t="s">
        <v>3</v>
      </c>
    </row>
    <row r="43" spans="1:3">
      <c r="A43" s="2" t="s">
        <v>44</v>
      </c>
      <c r="B43" s="2" t="s">
        <v>287</v>
      </c>
      <c r="C43" t="s">
        <v>3</v>
      </c>
    </row>
    <row r="44" spans="1:3">
      <c r="A44" s="2" t="s">
        <v>198</v>
      </c>
      <c r="B44" s="2" t="s">
        <v>228</v>
      </c>
      <c r="C44" t="s">
        <v>3</v>
      </c>
    </row>
    <row r="45" spans="1:3">
      <c r="A45" s="2" t="s">
        <v>257</v>
      </c>
      <c r="B45" s="2" t="s">
        <v>156</v>
      </c>
      <c r="C45" t="s">
        <v>3</v>
      </c>
    </row>
    <row r="46" spans="1:3">
      <c r="A46" s="2" t="s">
        <v>30</v>
      </c>
      <c r="B46" s="2" t="s">
        <v>301</v>
      </c>
      <c r="C46" t="s">
        <v>66</v>
      </c>
    </row>
    <row r="47" spans="1:3">
      <c r="A47" s="2" t="s">
        <v>300</v>
      </c>
      <c r="B47" s="4" t="s">
        <v>302</v>
      </c>
      <c r="C47" t="s">
        <v>66</v>
      </c>
    </row>
    <row r="48" spans="1:3">
      <c r="A48" s="2" t="s">
        <v>78</v>
      </c>
      <c r="B48" s="2" t="s">
        <v>252</v>
      </c>
      <c r="C48" t="s">
        <v>281</v>
      </c>
    </row>
    <row r="49" spans="1:5">
      <c r="A49" s="2" t="s">
        <v>216</v>
      </c>
      <c r="B49" s="2" t="s">
        <v>134</v>
      </c>
      <c r="C49" t="s">
        <v>281</v>
      </c>
    </row>
    <row r="50" spans="1:5">
      <c r="A50" s="2" t="s">
        <v>191</v>
      </c>
      <c r="B50" s="2" t="s">
        <v>131</v>
      </c>
      <c r="C50" t="s">
        <v>281</v>
      </c>
    </row>
    <row r="51" spans="1:5">
      <c r="A51" s="2" t="s">
        <v>58</v>
      </c>
      <c r="B51" s="2" t="s">
        <v>175</v>
      </c>
      <c r="C51" t="s">
        <v>281</v>
      </c>
    </row>
    <row r="52" spans="1:5">
      <c r="A52" s="2" t="s">
        <v>31</v>
      </c>
      <c r="B52" s="2" t="s">
        <v>65</v>
      </c>
      <c r="C52" t="s">
        <v>281</v>
      </c>
    </row>
    <row r="53" spans="1:5">
      <c r="A53" s="2" t="s">
        <v>123</v>
      </c>
      <c r="B53" s="2" t="s">
        <v>6</v>
      </c>
      <c r="C53" t="s">
        <v>281</v>
      </c>
    </row>
    <row r="54" spans="1:5">
      <c r="A54" s="2" t="s">
        <v>177</v>
      </c>
      <c r="B54" s="2" t="s">
        <v>159</v>
      </c>
      <c r="C54" t="s">
        <v>281</v>
      </c>
    </row>
    <row r="55" spans="1:5">
      <c r="A55" s="2" t="s">
        <v>196</v>
      </c>
      <c r="B55" s="2" t="s">
        <v>243</v>
      </c>
      <c r="C55" t="s">
        <v>200</v>
      </c>
    </row>
    <row r="56" spans="1:5">
      <c r="A56" s="2" t="s">
        <v>53</v>
      </c>
      <c r="B56" s="2" t="s">
        <v>211</v>
      </c>
      <c r="C56" t="s">
        <v>200</v>
      </c>
    </row>
    <row r="57" spans="1:5">
      <c r="A57" s="2" t="s">
        <v>102</v>
      </c>
      <c r="B57" s="2" t="s">
        <v>115</v>
      </c>
      <c r="C57" t="s">
        <v>200</v>
      </c>
    </row>
    <row r="58" spans="1:5">
      <c r="A58" t="s">
        <v>143</v>
      </c>
      <c r="B58" s="2" t="s">
        <v>307</v>
      </c>
      <c r="C58" t="s">
        <v>200</v>
      </c>
    </row>
    <row r="59" spans="1:5" s="26" customFormat="1">
      <c r="A59" s="7" t="s">
        <v>163</v>
      </c>
      <c r="B59" s="7" t="s">
        <v>2</v>
      </c>
      <c r="D59" s="26" t="s">
        <v>224</v>
      </c>
    </row>
    <row r="60" spans="1:5">
      <c r="A60" s="2" t="s">
        <v>187</v>
      </c>
      <c r="B60" s="2" t="s">
        <v>84</v>
      </c>
      <c r="C60" t="s">
        <v>66</v>
      </c>
      <c r="D60" t="s">
        <v>214</v>
      </c>
    </row>
    <row r="61" spans="1:5" s="26" customFormat="1">
      <c r="A61" s="7" t="s">
        <v>202</v>
      </c>
      <c r="B61" s="7" t="s">
        <v>41</v>
      </c>
      <c r="D61" s="26" t="s">
        <v>224</v>
      </c>
    </row>
    <row r="62" spans="1:5">
      <c r="A62" s="2" t="s">
        <v>274</v>
      </c>
      <c r="B62" s="2" t="s">
        <v>274</v>
      </c>
      <c r="C62" t="s">
        <v>292</v>
      </c>
      <c r="D62" t="s">
        <v>224</v>
      </c>
      <c r="E62" t="s">
        <v>140</v>
      </c>
    </row>
    <row r="63" spans="1:5">
      <c r="A63" s="2" t="s">
        <v>236</v>
      </c>
      <c r="B63" s="2" t="s">
        <v>48</v>
      </c>
      <c r="C63" t="s">
        <v>10</v>
      </c>
      <c r="D63" t="s">
        <v>224</v>
      </c>
    </row>
    <row r="64" spans="1:5">
      <c r="A64" s="2" t="s">
        <v>197</v>
      </c>
      <c r="B64" s="2" t="s">
        <v>71</v>
      </c>
      <c r="C64" t="s">
        <v>272</v>
      </c>
      <c r="D64" t="s">
        <v>214</v>
      </c>
      <c r="E64" t="s">
        <v>270</v>
      </c>
    </row>
    <row r="65" spans="1:5" s="26" customFormat="1">
      <c r="A65" s="7" t="s">
        <v>306</v>
      </c>
      <c r="B65" s="7" t="s">
        <v>118</v>
      </c>
      <c r="D65" s="26" t="s">
        <v>224</v>
      </c>
    </row>
    <row r="66" spans="1:5">
      <c r="A66" s="2" t="s">
        <v>85</v>
      </c>
      <c r="B66" s="2" t="s">
        <v>121</v>
      </c>
      <c r="C66" t="s">
        <v>292</v>
      </c>
      <c r="D66" t="s">
        <v>224</v>
      </c>
      <c r="E66" t="s">
        <v>140</v>
      </c>
    </row>
    <row r="67" spans="1:5" s="26" customFormat="1">
      <c r="A67" s="7" t="s">
        <v>260</v>
      </c>
      <c r="B67" s="7" t="s">
        <v>83</v>
      </c>
      <c r="D67" s="26" t="s">
        <v>224</v>
      </c>
    </row>
    <row r="68" spans="1:5">
      <c r="A68" s="2" t="s">
        <v>23</v>
      </c>
      <c r="B68" s="2" t="s">
        <v>188</v>
      </c>
      <c r="C68" t="s">
        <v>178</v>
      </c>
      <c r="D68" t="s">
        <v>224</v>
      </c>
      <c r="E68" t="s">
        <v>4</v>
      </c>
    </row>
    <row r="69" spans="1:5" s="26" customFormat="1">
      <c r="A69" s="7" t="s">
        <v>15</v>
      </c>
      <c r="B69" s="7" t="s">
        <v>75</v>
      </c>
      <c r="D69" s="26" t="s">
        <v>224</v>
      </c>
    </row>
    <row r="70" spans="1:5">
      <c r="A70" s="2" t="s">
        <v>46</v>
      </c>
      <c r="B70" s="2" t="s">
        <v>174</v>
      </c>
      <c r="C70" t="s">
        <v>158</v>
      </c>
      <c r="D70" t="s">
        <v>224</v>
      </c>
      <c r="E70" t="s">
        <v>295</v>
      </c>
    </row>
    <row r="71" spans="1:5">
      <c r="A71" s="2" t="s">
        <v>179</v>
      </c>
      <c r="B71" s="2" t="s">
        <v>245</v>
      </c>
      <c r="C71" t="s">
        <v>272</v>
      </c>
      <c r="D71" t="s">
        <v>224</v>
      </c>
      <c r="E71" t="s">
        <v>114</v>
      </c>
    </row>
    <row r="72" spans="1:5">
      <c r="A72" s="2" t="s">
        <v>299</v>
      </c>
      <c r="B72" s="2" t="s">
        <v>291</v>
      </c>
      <c r="C72" t="s">
        <v>281</v>
      </c>
      <c r="D72" t="s">
        <v>214</v>
      </c>
      <c r="E72" t="s">
        <v>166</v>
      </c>
    </row>
    <row r="73" spans="1:5" s="26" customFormat="1">
      <c r="A73" s="7" t="s">
        <v>130</v>
      </c>
      <c r="B73" s="7" t="s">
        <v>8</v>
      </c>
      <c r="D73" s="26" t="s">
        <v>224</v>
      </c>
    </row>
    <row r="74" spans="1:5">
      <c r="A74" s="2" t="s">
        <v>22</v>
      </c>
      <c r="B74" s="2" t="s">
        <v>167</v>
      </c>
      <c r="C74" t="s">
        <v>272</v>
      </c>
      <c r="D74" t="s">
        <v>224</v>
      </c>
      <c r="E74" t="s">
        <v>171</v>
      </c>
    </row>
    <row r="75" spans="1:5">
      <c r="A75" s="2" t="s">
        <v>7</v>
      </c>
      <c r="B75" s="2" t="s">
        <v>137</v>
      </c>
      <c r="C75" t="s">
        <v>272</v>
      </c>
      <c r="D75" t="s">
        <v>224</v>
      </c>
      <c r="E75" t="s">
        <v>171</v>
      </c>
    </row>
    <row r="76" spans="1:5">
      <c r="A76" s="2" t="s">
        <v>235</v>
      </c>
    </row>
    <row r="77" spans="1:5">
      <c r="A77" s="2" t="s">
        <v>94</v>
      </c>
    </row>
    <row r="78" spans="1:5">
      <c r="A78" s="2" t="s">
        <v>195</v>
      </c>
    </row>
    <row r="79" spans="1:5">
      <c r="A79" s="2" t="s">
        <v>11</v>
      </c>
    </row>
    <row r="80" spans="1:5">
      <c r="A80" s="2" t="s">
        <v>234</v>
      </c>
    </row>
    <row r="81" spans="1:1">
      <c r="A81" s="2" t="s">
        <v>303</v>
      </c>
    </row>
    <row r="82" spans="1:1">
      <c r="A82" s="2" t="s">
        <v>298</v>
      </c>
    </row>
    <row r="83" spans="1:1">
      <c r="A83" s="2" t="s">
        <v>101</v>
      </c>
    </row>
    <row r="84" spans="1:1">
      <c r="A84" s="2" t="s">
        <v>120</v>
      </c>
    </row>
    <row r="85" spans="1:1">
      <c r="A85" s="2" t="s">
        <v>251</v>
      </c>
    </row>
    <row r="86" spans="1:1">
      <c r="A86" s="2" t="s">
        <v>254</v>
      </c>
    </row>
    <row r="87" spans="1:1">
      <c r="A87" s="2" t="s">
        <v>146</v>
      </c>
    </row>
    <row r="88" spans="1:1">
      <c r="A88" s="2" t="s">
        <v>205</v>
      </c>
    </row>
    <row r="89" spans="1:1">
      <c r="A89" s="2" t="s">
        <v>111</v>
      </c>
    </row>
    <row r="90" spans="1:1">
      <c r="A90" s="2" t="s">
        <v>246</v>
      </c>
    </row>
  </sheetData>
  <phoneticPr fontId="22" type="noConversion"/>
  <pageMargins left="0.69972223043441772" right="0.69972223043441772" top="0.75" bottom="0.75" header="0.30000001192092896" footer="0.30000001192092896"/>
  <pageSetup paperSize="9" orientation="portrait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40"/>
  <sheetViews>
    <sheetView zoomScale="55" zoomScaleNormal="55" zoomScaleSheetLayoutView="75" workbookViewId="0">
      <selection activeCell="G24" sqref="G24"/>
    </sheetView>
  </sheetViews>
  <sheetFormatPr baseColWidth="10" defaultColWidth="9.1640625" defaultRowHeight="15"/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66.42</v>
      </c>
      <c r="C2" s="10">
        <v>0.31</v>
      </c>
      <c r="D2" s="10">
        <v>682</v>
      </c>
      <c r="E2" s="10">
        <v>339</v>
      </c>
      <c r="F2" s="10">
        <v>195</v>
      </c>
      <c r="G2" s="10">
        <v>49.71</v>
      </c>
      <c r="H2" s="10">
        <v>28.52</v>
      </c>
      <c r="I2" s="10">
        <v>41.79</v>
      </c>
    </row>
    <row r="3" spans="1:9">
      <c r="A3" s="10" t="s">
        <v>79</v>
      </c>
      <c r="B3" s="10">
        <v>60.34</v>
      </c>
      <c r="C3" s="10">
        <v>0.31</v>
      </c>
      <c r="D3" s="10">
        <v>714</v>
      </c>
      <c r="E3" s="10">
        <v>356</v>
      </c>
      <c r="F3" s="10">
        <v>205</v>
      </c>
      <c r="G3" s="10">
        <v>49.81</v>
      </c>
      <c r="H3" s="10">
        <v>28.68</v>
      </c>
      <c r="I3" s="10">
        <v>40.700000000000003</v>
      </c>
    </row>
    <row r="4" spans="1:9">
      <c r="A4" s="10" t="s">
        <v>181</v>
      </c>
      <c r="B4" s="10">
        <v>47.77</v>
      </c>
      <c r="C4" s="10">
        <v>0.31</v>
      </c>
      <c r="D4" s="10">
        <v>679</v>
      </c>
      <c r="E4" s="10">
        <v>295</v>
      </c>
      <c r="F4" s="10">
        <v>186</v>
      </c>
      <c r="G4" s="10">
        <v>43.45</v>
      </c>
      <c r="H4" s="10">
        <v>27.3</v>
      </c>
      <c r="I4" s="10">
        <v>41.1</v>
      </c>
    </row>
    <row r="5" spans="1:9">
      <c r="A5" s="10" t="s">
        <v>217</v>
      </c>
      <c r="B5" s="10">
        <v>56.95</v>
      </c>
      <c r="C5" s="10">
        <v>0.31</v>
      </c>
      <c r="D5" s="10">
        <v>672</v>
      </c>
      <c r="E5" s="10">
        <v>294</v>
      </c>
      <c r="F5" s="10">
        <v>188</v>
      </c>
      <c r="G5" s="10">
        <v>43.72</v>
      </c>
      <c r="H5" s="10">
        <v>27.53</v>
      </c>
      <c r="I5" s="10">
        <v>41.1</v>
      </c>
    </row>
    <row r="6" spans="1:9">
      <c r="A6" s="10" t="s">
        <v>162</v>
      </c>
      <c r="B6" s="10">
        <v>65.3</v>
      </c>
      <c r="C6" s="10">
        <v>0.34</v>
      </c>
      <c r="D6" s="10">
        <v>729</v>
      </c>
      <c r="E6" s="10">
        <v>316</v>
      </c>
      <c r="F6" s="10">
        <v>198</v>
      </c>
      <c r="G6" s="10">
        <v>43.39</v>
      </c>
      <c r="H6" s="10">
        <v>27.1</v>
      </c>
      <c r="I6" s="10">
        <v>42.47</v>
      </c>
    </row>
    <row r="7" spans="1:9">
      <c r="A7" s="10" t="s">
        <v>64</v>
      </c>
      <c r="B7" s="10">
        <v>62.96</v>
      </c>
      <c r="C7" s="10">
        <v>0.34</v>
      </c>
      <c r="D7" s="10">
        <v>737</v>
      </c>
      <c r="E7" s="10">
        <v>328</v>
      </c>
      <c r="F7" s="10">
        <v>207</v>
      </c>
      <c r="G7" s="10">
        <v>44.52</v>
      </c>
      <c r="H7" s="10">
        <v>27.9</v>
      </c>
      <c r="I7" s="10">
        <v>43.05</v>
      </c>
    </row>
    <row r="8" spans="1:9">
      <c r="A8" s="10" t="s">
        <v>226</v>
      </c>
      <c r="B8" s="10">
        <v>63.3</v>
      </c>
      <c r="C8" s="10">
        <v>0.34</v>
      </c>
      <c r="D8" s="10">
        <v>770</v>
      </c>
      <c r="E8" s="10">
        <v>359</v>
      </c>
      <c r="F8" s="10">
        <v>247</v>
      </c>
      <c r="G8" s="10">
        <v>46.63</v>
      </c>
      <c r="H8" s="10">
        <v>32.130000000000003</v>
      </c>
      <c r="I8" s="10">
        <v>43.77</v>
      </c>
    </row>
    <row r="9" spans="1:9">
      <c r="A9" s="10" t="s">
        <v>247</v>
      </c>
      <c r="B9" s="10">
        <v>65.117099999999994</v>
      </c>
      <c r="C9" s="10">
        <v>0.34</v>
      </c>
      <c r="D9" s="10">
        <v>787</v>
      </c>
      <c r="E9" s="10">
        <v>361</v>
      </c>
      <c r="F9" s="10">
        <v>232</v>
      </c>
      <c r="G9" s="10">
        <v>45.88</v>
      </c>
      <c r="H9" s="10">
        <v>29.47</v>
      </c>
      <c r="I9" s="10">
        <v>40.479999999999997</v>
      </c>
    </row>
    <row r="10" spans="1:9">
      <c r="A10" s="10" t="s">
        <v>19</v>
      </c>
      <c r="B10" s="10">
        <v>74.87</v>
      </c>
      <c r="C10" s="10">
        <v>0.38</v>
      </c>
      <c r="D10" s="10">
        <v>816</v>
      </c>
      <c r="E10" s="10">
        <v>373</v>
      </c>
      <c r="F10" s="10">
        <v>242</v>
      </c>
      <c r="G10" s="10">
        <v>45.68</v>
      </c>
      <c r="H10" s="10">
        <v>29.66</v>
      </c>
      <c r="I10" s="10">
        <v>40.479999999999997</v>
      </c>
    </row>
    <row r="11" spans="1:9">
      <c r="A11" s="10" t="s">
        <v>192</v>
      </c>
      <c r="B11" s="10">
        <v>73.2</v>
      </c>
      <c r="C11" s="10">
        <v>0.38</v>
      </c>
      <c r="D11" s="10">
        <v>854</v>
      </c>
      <c r="E11" s="10">
        <v>399</v>
      </c>
      <c r="F11" s="10">
        <v>248</v>
      </c>
      <c r="G11" s="10">
        <v>46.68</v>
      </c>
      <c r="H11" s="10">
        <v>29.01</v>
      </c>
      <c r="I11" s="10">
        <v>39.770000000000003</v>
      </c>
    </row>
    <row r="12" spans="1:9">
      <c r="A12" s="10" t="s">
        <v>160</v>
      </c>
      <c r="B12" s="10">
        <v>71.930000000000007</v>
      </c>
      <c r="C12" s="10">
        <v>0.38</v>
      </c>
      <c r="D12" s="10">
        <v>884</v>
      </c>
      <c r="E12" s="10">
        <v>426</v>
      </c>
      <c r="F12" s="10">
        <v>270</v>
      </c>
      <c r="G12" s="10">
        <v>48.16</v>
      </c>
      <c r="H12" s="10">
        <v>30.56</v>
      </c>
      <c r="I12" s="10">
        <v>39.450000000000003</v>
      </c>
    </row>
    <row r="13" spans="1:9">
      <c r="A13" s="10" t="s">
        <v>168</v>
      </c>
      <c r="B13" s="10">
        <v>83.77</v>
      </c>
      <c r="C13" s="10">
        <v>0.38</v>
      </c>
      <c r="D13" s="10">
        <v>930</v>
      </c>
      <c r="E13" s="10">
        <v>440</v>
      </c>
      <c r="F13" s="10">
        <v>288</v>
      </c>
      <c r="G13" s="10">
        <v>47.33</v>
      </c>
      <c r="H13" s="10">
        <v>30.94</v>
      </c>
      <c r="I13" s="10">
        <v>39.89</v>
      </c>
    </row>
    <row r="14" spans="1:9">
      <c r="A14" s="10" t="s">
        <v>63</v>
      </c>
      <c r="B14" s="10">
        <v>82.35</v>
      </c>
      <c r="C14" s="10">
        <v>0.44</v>
      </c>
      <c r="D14" s="10">
        <v>955</v>
      </c>
      <c r="E14" s="10">
        <v>449</v>
      </c>
      <c r="F14" s="10">
        <v>304</v>
      </c>
      <c r="G14" s="10">
        <v>47.05</v>
      </c>
      <c r="H14" s="10">
        <v>31.88</v>
      </c>
      <c r="I14" s="10">
        <v>38.97</v>
      </c>
    </row>
    <row r="15" spans="1:9">
      <c r="A15" s="10" t="s">
        <v>14</v>
      </c>
      <c r="B15" s="10">
        <v>84.41</v>
      </c>
      <c r="C15" s="10">
        <v>0.44</v>
      </c>
      <c r="D15" s="10">
        <v>984</v>
      </c>
      <c r="E15" s="10">
        <v>473</v>
      </c>
      <c r="F15" s="10">
        <v>306</v>
      </c>
      <c r="G15" s="10">
        <v>48.06</v>
      </c>
      <c r="H15" s="10">
        <v>31.07</v>
      </c>
      <c r="I15" s="10">
        <v>38.44</v>
      </c>
    </row>
    <row r="16" spans="1:9">
      <c r="A16" s="10" t="s">
        <v>288</v>
      </c>
      <c r="B16" s="10">
        <v>78.400000000000006</v>
      </c>
      <c r="C16" s="10">
        <v>0.44</v>
      </c>
      <c r="D16" s="10">
        <v>1021</v>
      </c>
      <c r="E16" s="10">
        <v>489</v>
      </c>
      <c r="F16" s="10">
        <v>304</v>
      </c>
      <c r="G16" s="10">
        <v>47.87</v>
      </c>
      <c r="H16" s="10">
        <v>29.74</v>
      </c>
      <c r="I16" s="10">
        <v>37.96</v>
      </c>
    </row>
    <row r="17" spans="1:9">
      <c r="A17" s="10" t="s">
        <v>133</v>
      </c>
      <c r="B17" s="10">
        <v>85.86</v>
      </c>
      <c r="C17" s="10">
        <v>0.44</v>
      </c>
      <c r="D17" s="10">
        <v>1022</v>
      </c>
      <c r="E17" s="10">
        <v>480</v>
      </c>
      <c r="F17" s="10">
        <v>316</v>
      </c>
      <c r="G17" s="10">
        <v>46.95</v>
      </c>
      <c r="H17" s="10">
        <v>30.9</v>
      </c>
      <c r="I17" s="10">
        <v>38.29</v>
      </c>
    </row>
    <row r="18" spans="1:9">
      <c r="A18" s="10" t="s">
        <v>36</v>
      </c>
      <c r="B18" s="10">
        <v>80.98</v>
      </c>
      <c r="C18" s="10">
        <v>0.52</v>
      </c>
      <c r="D18" s="10">
        <v>1027</v>
      </c>
      <c r="E18" s="10">
        <v>478</v>
      </c>
      <c r="F18" s="10">
        <v>310</v>
      </c>
      <c r="G18" s="10">
        <v>46.52</v>
      </c>
      <c r="H18" s="10">
        <v>30.14</v>
      </c>
      <c r="I18" s="10">
        <v>38.68</v>
      </c>
    </row>
    <row r="19" spans="1:9">
      <c r="A19" s="10" t="s">
        <v>190</v>
      </c>
      <c r="B19" s="10">
        <v>77.73</v>
      </c>
      <c r="C19" s="10">
        <v>0.52</v>
      </c>
      <c r="D19" s="10">
        <v>1072</v>
      </c>
      <c r="E19" s="10">
        <v>508</v>
      </c>
      <c r="F19" s="10">
        <v>333</v>
      </c>
      <c r="G19" s="10">
        <v>47.35</v>
      </c>
      <c r="H19" s="10">
        <v>31.07</v>
      </c>
      <c r="I19" s="10">
        <v>40.35</v>
      </c>
    </row>
    <row r="20" spans="1:9">
      <c r="A20" s="10" t="s">
        <v>256</v>
      </c>
      <c r="B20" s="10">
        <v>69.5</v>
      </c>
      <c r="C20" s="10">
        <v>0.52</v>
      </c>
      <c r="D20" s="10">
        <v>1049</v>
      </c>
      <c r="E20" s="10">
        <v>458</v>
      </c>
      <c r="F20" s="10">
        <v>277</v>
      </c>
      <c r="G20" s="10">
        <v>43.69</v>
      </c>
      <c r="H20" s="10">
        <v>26.42</v>
      </c>
      <c r="I20" s="10">
        <v>40.94</v>
      </c>
    </row>
    <row r="21" spans="1:9">
      <c r="A21" s="10" t="s">
        <v>203</v>
      </c>
      <c r="B21" s="10">
        <v>71.489999999999995</v>
      </c>
      <c r="C21" s="10">
        <v>0.52</v>
      </c>
      <c r="D21" s="10">
        <v>1052</v>
      </c>
      <c r="E21" s="10">
        <v>455</v>
      </c>
      <c r="F21" s="10">
        <v>303</v>
      </c>
      <c r="G21" s="10">
        <v>43.24</v>
      </c>
      <c r="H21" s="10">
        <v>28.82</v>
      </c>
      <c r="I21" s="10">
        <v>43.2</v>
      </c>
    </row>
    <row r="22" spans="1:9">
      <c r="A22" s="10" t="s">
        <v>89</v>
      </c>
      <c r="B22" s="10">
        <v>73.459999999999994</v>
      </c>
      <c r="C22" s="10">
        <v>0.54</v>
      </c>
      <c r="D22" s="10">
        <v>994</v>
      </c>
      <c r="E22" s="10">
        <v>411</v>
      </c>
      <c r="F22" s="10">
        <v>295</v>
      </c>
      <c r="G22" s="10">
        <v>41.33</v>
      </c>
      <c r="H22" s="10">
        <v>29.7</v>
      </c>
      <c r="I22" s="10">
        <v>44.92</v>
      </c>
    </row>
    <row r="23" spans="1:9">
      <c r="A23" s="10" t="s">
        <v>127</v>
      </c>
      <c r="B23" s="10">
        <v>72.97</v>
      </c>
      <c r="C23" s="10">
        <v>0.54</v>
      </c>
      <c r="D23" s="10">
        <v>1045</v>
      </c>
      <c r="E23" s="10">
        <v>450</v>
      </c>
      <c r="F23" s="10">
        <v>195</v>
      </c>
      <c r="G23" s="10">
        <v>43.05</v>
      </c>
      <c r="H23" s="10">
        <v>18.690000000000001</v>
      </c>
      <c r="I23" s="10">
        <v>45.16</v>
      </c>
    </row>
    <row r="24" spans="1:9">
      <c r="A24" s="10" t="s">
        <v>88</v>
      </c>
      <c r="B24" s="10">
        <v>66.5</v>
      </c>
      <c r="C24" s="10">
        <v>0.54</v>
      </c>
      <c r="D24" s="10">
        <v>1093</v>
      </c>
      <c r="E24" s="10">
        <v>476</v>
      </c>
      <c r="F24" s="10">
        <v>328</v>
      </c>
      <c r="G24" s="10">
        <v>43.53</v>
      </c>
      <c r="H24" s="10">
        <v>29.99</v>
      </c>
      <c r="I24" s="10">
        <v>51.08</v>
      </c>
    </row>
    <row r="25" spans="1:9">
      <c r="A25" s="10" t="s">
        <v>24</v>
      </c>
      <c r="B25" s="10">
        <v>75.260000000000005</v>
      </c>
      <c r="C25" s="10">
        <v>0.54</v>
      </c>
      <c r="D25" s="10">
        <v>1091</v>
      </c>
      <c r="E25" s="10">
        <v>463</v>
      </c>
      <c r="F25" s="10">
        <v>380</v>
      </c>
      <c r="G25" s="10">
        <v>42.46</v>
      </c>
      <c r="H25" s="10">
        <v>34.81</v>
      </c>
      <c r="I25" s="10">
        <v>48.31</v>
      </c>
    </row>
    <row r="26" spans="1:9">
      <c r="A26" s="10" t="s">
        <v>55</v>
      </c>
      <c r="B26" s="10">
        <v>68.150000000000006</v>
      </c>
      <c r="C26" s="10">
        <v>0.56999999999999995</v>
      </c>
      <c r="D26" s="10">
        <v>1114</v>
      </c>
      <c r="E26" s="10">
        <v>472</v>
      </c>
      <c r="F26" s="10">
        <v>386</v>
      </c>
      <c r="G26" s="10">
        <v>42.36</v>
      </c>
      <c r="H26" s="10">
        <v>34.65</v>
      </c>
      <c r="I26" s="10">
        <v>45.47</v>
      </c>
    </row>
    <row r="27" spans="1:9">
      <c r="A27" s="10" t="s">
        <v>183</v>
      </c>
      <c r="B27" s="10">
        <v>74.209999999999994</v>
      </c>
      <c r="C27" s="10">
        <v>0.56999999999999995</v>
      </c>
      <c r="D27" s="10">
        <v>1172</v>
      </c>
      <c r="E27" s="10">
        <v>508</v>
      </c>
      <c r="F27" s="10">
        <v>374</v>
      </c>
      <c r="G27" s="10">
        <v>43.33</v>
      </c>
      <c r="H27" s="10">
        <v>31.91</v>
      </c>
      <c r="I27" s="10">
        <v>42.86</v>
      </c>
    </row>
    <row r="28" spans="1:9">
      <c r="A28" s="10" t="s">
        <v>34</v>
      </c>
      <c r="B28" s="10">
        <v>90.65</v>
      </c>
      <c r="C28" s="10">
        <v>0.56999999999999995</v>
      </c>
      <c r="D28" s="10">
        <v>1222</v>
      </c>
      <c r="E28" s="10">
        <v>549</v>
      </c>
      <c r="F28" s="10">
        <v>391</v>
      </c>
      <c r="G28" s="10">
        <v>44.9</v>
      </c>
      <c r="H28" s="10">
        <v>32</v>
      </c>
      <c r="I28" s="10">
        <v>38.14</v>
      </c>
    </row>
    <row r="29" spans="1:9">
      <c r="A29" s="10" t="s">
        <v>173</v>
      </c>
      <c r="B29" s="10">
        <v>104.93</v>
      </c>
      <c r="C29" s="10">
        <v>0.56999999999999995</v>
      </c>
      <c r="D29" s="10">
        <v>1286</v>
      </c>
      <c r="E29" s="10">
        <v>531</v>
      </c>
      <c r="F29" s="10">
        <v>347</v>
      </c>
      <c r="G29" s="10">
        <v>41.29</v>
      </c>
      <c r="H29" s="10">
        <v>26.99</v>
      </c>
      <c r="I29" s="10">
        <v>36.89</v>
      </c>
    </row>
    <row r="30" spans="1:9">
      <c r="A30" s="10" t="s">
        <v>282</v>
      </c>
      <c r="B30" s="10">
        <v>107.97</v>
      </c>
      <c r="C30" s="10">
        <v>0.7</v>
      </c>
      <c r="D30" s="10">
        <v>1328</v>
      </c>
      <c r="E30" s="10">
        <v>584</v>
      </c>
      <c r="F30" s="10">
        <v>454</v>
      </c>
      <c r="G30" s="10">
        <v>43.96</v>
      </c>
      <c r="H30" s="10">
        <v>33.369999999999997</v>
      </c>
      <c r="I30" s="10">
        <v>38.19</v>
      </c>
    </row>
    <row r="31" spans="1:9">
      <c r="A31" s="10" t="s">
        <v>110</v>
      </c>
      <c r="B31" s="10">
        <v>116.09</v>
      </c>
      <c r="C31" s="10">
        <v>0.7</v>
      </c>
      <c r="D31" s="10">
        <v>1345</v>
      </c>
      <c r="E31" s="10">
        <v>595</v>
      </c>
      <c r="F31" s="10">
        <v>449</v>
      </c>
      <c r="G31" s="10">
        <v>44.22</v>
      </c>
      <c r="H31" s="10">
        <v>32.590000000000003</v>
      </c>
      <c r="I31" s="10">
        <v>38.869999999999997</v>
      </c>
    </row>
    <row r="32" spans="1:9">
      <c r="A32" s="10" t="s">
        <v>52</v>
      </c>
      <c r="B32" s="10">
        <v>109.18</v>
      </c>
      <c r="C32" s="10">
        <v>0.7</v>
      </c>
      <c r="D32" s="10">
        <v>1395</v>
      </c>
      <c r="E32" s="10">
        <v>641</v>
      </c>
      <c r="F32" s="10">
        <v>583</v>
      </c>
      <c r="G32" s="10">
        <v>45.93</v>
      </c>
      <c r="H32" s="10">
        <v>40.82</v>
      </c>
      <c r="I32" s="10">
        <v>39.200000000000003</v>
      </c>
    </row>
    <row r="33" spans="1:9">
      <c r="A33" s="10" t="s">
        <v>107</v>
      </c>
      <c r="B33" s="10">
        <v>92.32</v>
      </c>
      <c r="C33" s="10">
        <v>0.7</v>
      </c>
      <c r="D33" s="10">
        <v>1305</v>
      </c>
      <c r="E33" s="10">
        <v>527</v>
      </c>
      <c r="F33" s="10">
        <v>352</v>
      </c>
      <c r="G33" s="10">
        <v>40.39</v>
      </c>
      <c r="H33" s="10">
        <v>29.63</v>
      </c>
      <c r="I33" s="10">
        <v>36.979999999999997</v>
      </c>
    </row>
    <row r="34" spans="1:9">
      <c r="A34" s="10" t="s">
        <v>18</v>
      </c>
      <c r="B34" s="10">
        <v>100.12</v>
      </c>
      <c r="C34" s="10">
        <v>0.76</v>
      </c>
      <c r="D34" s="10">
        <v>1327</v>
      </c>
      <c r="E34" s="10">
        <v>533</v>
      </c>
      <c r="F34" s="10">
        <v>513</v>
      </c>
      <c r="G34" s="10">
        <v>40.119999999999997</v>
      </c>
      <c r="H34" s="10">
        <v>37.64</v>
      </c>
      <c r="I34" s="10">
        <v>38.51</v>
      </c>
    </row>
    <row r="35" spans="1:9">
      <c r="A35" s="10" t="s">
        <v>222</v>
      </c>
      <c r="B35" s="10">
        <v>109.71</v>
      </c>
      <c r="C35" s="10">
        <v>0.76</v>
      </c>
      <c r="D35" s="10">
        <v>1395</v>
      </c>
      <c r="E35" s="10">
        <v>615</v>
      </c>
      <c r="F35" s="10">
        <v>528</v>
      </c>
      <c r="G35" s="10">
        <v>44.09</v>
      </c>
      <c r="H35" s="10">
        <v>36.82</v>
      </c>
      <c r="I35" s="10">
        <v>37.68</v>
      </c>
    </row>
    <row r="36" spans="1:9">
      <c r="A36" s="10" t="s">
        <v>170</v>
      </c>
      <c r="B36" s="10">
        <v>114.25</v>
      </c>
      <c r="C36" s="10">
        <v>0.76</v>
      </c>
      <c r="D36" s="10">
        <v>1427</v>
      </c>
      <c r="E36" s="10">
        <v>659</v>
      </c>
      <c r="F36" s="10">
        <v>546</v>
      </c>
      <c r="G36" s="10">
        <v>46.2</v>
      </c>
      <c r="H36" s="10">
        <v>37.29</v>
      </c>
      <c r="I36" s="10">
        <v>36.729999999999997</v>
      </c>
    </row>
    <row r="37" spans="1:9">
      <c r="A37" s="10" t="s">
        <v>250</v>
      </c>
      <c r="B37" s="10">
        <v>121.84</v>
      </c>
      <c r="C37" s="10">
        <v>0.76</v>
      </c>
      <c r="D37" s="10">
        <v>1469</v>
      </c>
      <c r="E37" s="10">
        <v>580</v>
      </c>
      <c r="F37" s="10">
        <v>545</v>
      </c>
      <c r="G37" s="10">
        <v>39.51</v>
      </c>
      <c r="H37" s="10">
        <v>36.130000000000003</v>
      </c>
      <c r="I37" s="10">
        <v>37.770000000000003</v>
      </c>
    </row>
    <row r="38" spans="1:9">
      <c r="A38" s="10" t="s">
        <v>126</v>
      </c>
      <c r="B38" s="10">
        <v>97.65</v>
      </c>
      <c r="C38" s="10">
        <v>0.9</v>
      </c>
      <c r="D38" s="10">
        <v>1463</v>
      </c>
      <c r="E38" s="10">
        <v>707</v>
      </c>
      <c r="F38" s="10">
        <v>343</v>
      </c>
      <c r="G38" s="10">
        <v>48.35</v>
      </c>
      <c r="H38" s="10">
        <v>22.82</v>
      </c>
      <c r="I38" s="10">
        <v>34.94</v>
      </c>
    </row>
    <row r="39" spans="1:9">
      <c r="A39" s="10" t="s">
        <v>161</v>
      </c>
      <c r="B39" s="10">
        <v>123.5</v>
      </c>
      <c r="C39" s="10">
        <v>0.9</v>
      </c>
      <c r="D39" s="10">
        <v>1415</v>
      </c>
      <c r="E39" s="10">
        <v>554</v>
      </c>
      <c r="F39" s="10">
        <v>603</v>
      </c>
      <c r="G39" s="10">
        <v>39.119999999999997</v>
      </c>
      <c r="H39" s="10">
        <v>41.42</v>
      </c>
      <c r="I39" s="10">
        <v>39.65</v>
      </c>
    </row>
    <row r="40" spans="1:9">
      <c r="A40" s="10" t="s">
        <v>28</v>
      </c>
      <c r="B40" s="10">
        <v>128.22</v>
      </c>
      <c r="C40" s="10">
        <v>0.9</v>
      </c>
      <c r="D40" s="10">
        <v>1596</v>
      </c>
      <c r="E40" s="10">
        <v>729</v>
      </c>
      <c r="F40" s="10">
        <v>643</v>
      </c>
      <c r="G40" s="10">
        <v>45.68</v>
      </c>
      <c r="H40" s="10">
        <v>39.18</v>
      </c>
      <c r="I40" s="10">
        <v>39.43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40"/>
  <sheetViews>
    <sheetView zoomScale="70" zoomScaleNormal="70" zoomScaleSheetLayoutView="75" workbookViewId="0">
      <selection activeCell="AE14" sqref="AE14"/>
    </sheetView>
  </sheetViews>
  <sheetFormatPr baseColWidth="10" defaultColWidth="9.1640625" defaultRowHeight="15"/>
  <cols>
    <col min="1" max="1" width="12.33203125" bestFit="1" customWidth="1"/>
    <col min="2" max="2" width="8.5" bestFit="1" customWidth="1"/>
    <col min="3" max="3" width="11" bestFit="1" customWidth="1"/>
    <col min="4" max="4" width="14.5" bestFit="1" customWidth="1"/>
    <col min="5" max="5" width="9.33203125" bestFit="1" customWidth="1"/>
    <col min="6" max="6" width="7.5" bestFit="1" customWidth="1"/>
    <col min="7" max="7" width="11" bestFit="1" customWidth="1"/>
    <col min="8" max="9" width="9.33203125" bestFit="1" customWidth="1"/>
  </cols>
  <sheetData>
    <row r="1" spans="1:9">
      <c r="A1" s="10" t="s">
        <v>273</v>
      </c>
      <c r="B1" s="10" t="s">
        <v>262</v>
      </c>
      <c r="C1" s="10" t="s">
        <v>223</v>
      </c>
      <c r="D1" s="10" t="s">
        <v>259</v>
      </c>
      <c r="E1" s="10" t="s">
        <v>258</v>
      </c>
      <c r="F1" s="10" t="s">
        <v>27</v>
      </c>
      <c r="G1" s="10" t="s">
        <v>77</v>
      </c>
      <c r="H1" s="10" t="s">
        <v>278</v>
      </c>
      <c r="I1" s="10" t="s">
        <v>128</v>
      </c>
    </row>
    <row r="2" spans="1:9">
      <c r="A2" s="10" t="s">
        <v>32</v>
      </c>
      <c r="B2" s="10">
        <v>18.475000000000001</v>
      </c>
      <c r="C2" s="10">
        <v>7.0000000000000007E-2</v>
      </c>
      <c r="D2" s="10">
        <v>2786</v>
      </c>
      <c r="E2" s="10">
        <v>338</v>
      </c>
      <c r="F2" s="10">
        <v>262</v>
      </c>
      <c r="G2" s="10">
        <v>12.13</v>
      </c>
      <c r="H2" s="10">
        <v>9.39</v>
      </c>
      <c r="I2" s="10">
        <v>27.27</v>
      </c>
    </row>
    <row r="3" spans="1:9">
      <c r="A3" s="10" t="s">
        <v>79</v>
      </c>
      <c r="B3" s="10">
        <v>19.745000000000001</v>
      </c>
      <c r="C3" s="10">
        <v>7.0000000000000007E-2</v>
      </c>
      <c r="D3" s="10">
        <v>2932</v>
      </c>
      <c r="E3" s="10">
        <v>460</v>
      </c>
      <c r="F3" s="10">
        <v>279</v>
      </c>
      <c r="G3" s="10">
        <v>15.7</v>
      </c>
      <c r="H3" s="10">
        <v>9.52</v>
      </c>
      <c r="I3" s="10">
        <v>34.21</v>
      </c>
    </row>
    <row r="4" spans="1:9">
      <c r="A4" s="10" t="s">
        <v>181</v>
      </c>
      <c r="B4" s="10">
        <v>18.645</v>
      </c>
      <c r="C4" s="10">
        <v>7.0000000000000007E-2</v>
      </c>
      <c r="D4" s="10">
        <v>3032</v>
      </c>
      <c r="E4" s="10">
        <v>65</v>
      </c>
      <c r="F4" s="10">
        <v>358</v>
      </c>
      <c r="G4" s="10">
        <v>2.14</v>
      </c>
      <c r="H4" s="10">
        <v>11.82</v>
      </c>
      <c r="I4" s="10">
        <v>32.1</v>
      </c>
    </row>
    <row r="5" spans="1:9">
      <c r="A5" s="10" t="s">
        <v>217</v>
      </c>
      <c r="B5" s="10">
        <v>23.004999999999999</v>
      </c>
      <c r="C5" s="10">
        <v>0.09</v>
      </c>
      <c r="D5" s="10">
        <v>3436</v>
      </c>
      <c r="E5" s="10">
        <v>511</v>
      </c>
      <c r="F5" s="10">
        <v>382</v>
      </c>
      <c r="G5" s="10">
        <v>14.88</v>
      </c>
      <c r="H5" s="10">
        <v>11.12</v>
      </c>
      <c r="I5" s="10">
        <v>32.1</v>
      </c>
    </row>
    <row r="6" spans="1:9">
      <c r="A6" s="10" t="s">
        <v>162</v>
      </c>
      <c r="B6" s="10">
        <v>27.945</v>
      </c>
      <c r="C6" s="10">
        <v>0.09</v>
      </c>
      <c r="D6" s="10">
        <v>3196</v>
      </c>
      <c r="E6" s="10">
        <v>378</v>
      </c>
      <c r="F6" s="10">
        <v>310</v>
      </c>
      <c r="G6" s="10">
        <v>11.83</v>
      </c>
      <c r="H6" s="10">
        <v>9.6999999999999993</v>
      </c>
      <c r="I6" s="10">
        <v>33.53</v>
      </c>
    </row>
    <row r="7" spans="1:9">
      <c r="A7" s="10" t="s">
        <v>64</v>
      </c>
      <c r="B7" s="10">
        <v>26.66</v>
      </c>
      <c r="C7" s="10">
        <v>0.09</v>
      </c>
      <c r="D7" s="10">
        <v>3304</v>
      </c>
      <c r="E7" s="10">
        <v>546</v>
      </c>
      <c r="F7" s="10">
        <v>333</v>
      </c>
      <c r="G7" s="10">
        <v>16.52</v>
      </c>
      <c r="H7" s="10">
        <v>10.08</v>
      </c>
      <c r="I7" s="10">
        <v>34.68</v>
      </c>
    </row>
    <row r="8" spans="1:9">
      <c r="A8" s="10" t="s">
        <v>226</v>
      </c>
      <c r="B8" s="10">
        <v>25.355</v>
      </c>
      <c r="C8" s="10">
        <v>0.09</v>
      </c>
      <c r="D8" s="10">
        <v>3364</v>
      </c>
      <c r="E8" s="10">
        <v>140</v>
      </c>
      <c r="F8" s="10">
        <v>359</v>
      </c>
      <c r="G8" s="10">
        <v>4.1500000000000004</v>
      </c>
      <c r="H8" s="10">
        <v>10.66</v>
      </c>
      <c r="I8" s="10">
        <v>35.56</v>
      </c>
    </row>
    <row r="9" spans="1:9">
      <c r="A9" s="10" t="s">
        <v>247</v>
      </c>
      <c r="B9" s="10">
        <v>26.815000000000001</v>
      </c>
      <c r="C9" s="10">
        <v>0.11</v>
      </c>
      <c r="D9" s="10">
        <v>3800</v>
      </c>
      <c r="E9" s="10">
        <v>576</v>
      </c>
      <c r="F9" s="10">
        <v>432</v>
      </c>
      <c r="G9" s="10">
        <v>15.16</v>
      </c>
      <c r="H9" s="10">
        <v>11.37</v>
      </c>
      <c r="I9" s="10">
        <v>38.71</v>
      </c>
    </row>
    <row r="10" spans="1:9">
      <c r="A10" s="10" t="s">
        <v>19</v>
      </c>
      <c r="B10" s="10">
        <v>28.475000000000001</v>
      </c>
      <c r="C10" s="10">
        <v>0.11</v>
      </c>
      <c r="D10" s="10">
        <v>3556</v>
      </c>
      <c r="E10" s="10">
        <v>492</v>
      </c>
      <c r="F10" s="10">
        <v>390</v>
      </c>
      <c r="G10" s="10">
        <v>13.82</v>
      </c>
      <c r="H10" s="10">
        <v>10.98</v>
      </c>
      <c r="I10" s="10">
        <v>38.71</v>
      </c>
    </row>
    <row r="11" spans="1:9">
      <c r="A11" s="10" t="s">
        <v>192</v>
      </c>
      <c r="B11" s="10">
        <v>32.755000000000003</v>
      </c>
      <c r="C11" s="10">
        <v>0.11</v>
      </c>
      <c r="D11" s="10">
        <v>3742</v>
      </c>
      <c r="E11" s="10">
        <v>552</v>
      </c>
      <c r="F11" s="10">
        <v>418</v>
      </c>
      <c r="G11" s="10">
        <v>14.75</v>
      </c>
      <c r="H11" s="10">
        <v>11.17</v>
      </c>
      <c r="I11" s="10">
        <v>38.58</v>
      </c>
    </row>
    <row r="12" spans="1:9">
      <c r="A12" s="10" t="s">
        <v>160</v>
      </c>
      <c r="B12" s="10">
        <v>38.484999999999999</v>
      </c>
      <c r="C12" s="10">
        <v>0.11</v>
      </c>
      <c r="D12" s="10">
        <v>3795</v>
      </c>
      <c r="E12" s="10">
        <v>588</v>
      </c>
      <c r="F12" s="10">
        <v>-1232</v>
      </c>
      <c r="G12" s="10">
        <v>15.49</v>
      </c>
      <c r="H12" s="10">
        <v>-32.46</v>
      </c>
      <c r="I12" s="10">
        <v>38.28</v>
      </c>
    </row>
    <row r="13" spans="1:9">
      <c r="A13" s="10" t="s">
        <v>168</v>
      </c>
      <c r="B13" s="10">
        <v>39.195</v>
      </c>
      <c r="C13" s="10">
        <v>0.13</v>
      </c>
      <c r="D13" s="10">
        <v>4240</v>
      </c>
      <c r="E13" s="10">
        <v>742</v>
      </c>
      <c r="F13" s="10">
        <v>541</v>
      </c>
      <c r="G13" s="10">
        <v>17.510000000000002</v>
      </c>
      <c r="H13" s="10">
        <v>12.75</v>
      </c>
      <c r="I13" s="10">
        <v>8400</v>
      </c>
    </row>
    <row r="14" spans="1:9">
      <c r="A14" s="10" t="s">
        <v>63</v>
      </c>
      <c r="B14" s="10">
        <v>36.69</v>
      </c>
      <c r="C14" s="10">
        <v>0.13</v>
      </c>
      <c r="D14" s="10">
        <v>3874</v>
      </c>
      <c r="E14" s="10">
        <v>584</v>
      </c>
      <c r="F14" s="10">
        <v>427</v>
      </c>
      <c r="G14" s="10">
        <v>15.08</v>
      </c>
      <c r="H14" s="10">
        <v>11.02</v>
      </c>
      <c r="I14" s="10">
        <v>593.33000000000004</v>
      </c>
    </row>
    <row r="15" spans="1:9">
      <c r="A15" s="10" t="s">
        <v>14</v>
      </c>
      <c r="B15" s="10">
        <v>38.69</v>
      </c>
      <c r="C15" s="10">
        <v>0.13</v>
      </c>
      <c r="D15" s="10">
        <v>4154</v>
      </c>
      <c r="E15" s="10">
        <v>696</v>
      </c>
      <c r="F15" s="10">
        <v>513</v>
      </c>
      <c r="G15" s="10">
        <v>16.75</v>
      </c>
      <c r="H15" s="10">
        <v>12.34</v>
      </c>
      <c r="I15" s="10">
        <v>494.74</v>
      </c>
    </row>
    <row r="16" spans="1:9">
      <c r="A16" s="10" t="s">
        <v>288</v>
      </c>
      <c r="B16" s="10">
        <v>37.729999999999997</v>
      </c>
      <c r="C16" s="10">
        <v>0.13</v>
      </c>
      <c r="D16" s="10">
        <v>4181</v>
      </c>
      <c r="E16" s="10">
        <v>770</v>
      </c>
      <c r="F16" s="10">
        <v>588</v>
      </c>
      <c r="G16" s="10">
        <v>18.43</v>
      </c>
      <c r="H16" s="10">
        <v>14.06</v>
      </c>
      <c r="I16" s="10">
        <v>319.35000000000002</v>
      </c>
    </row>
    <row r="17" spans="1:9">
      <c r="A17" s="10" t="s">
        <v>133</v>
      </c>
      <c r="B17" s="10">
        <v>41.024999999999999</v>
      </c>
      <c r="C17" s="10">
        <v>0.16</v>
      </c>
      <c r="D17" s="10">
        <v>4803</v>
      </c>
      <c r="E17" s="10">
        <v>863</v>
      </c>
      <c r="F17" s="10">
        <v>983</v>
      </c>
      <c r="G17" s="10">
        <v>17.96</v>
      </c>
      <c r="H17" s="10">
        <v>20.47</v>
      </c>
      <c r="I17" s="10">
        <v>38.380000000000003</v>
      </c>
    </row>
    <row r="18" spans="1:9">
      <c r="A18" s="10" t="s">
        <v>36</v>
      </c>
      <c r="B18" s="10">
        <v>47.35</v>
      </c>
      <c r="C18" s="10">
        <v>0.16</v>
      </c>
      <c r="D18" s="10">
        <v>4564</v>
      </c>
      <c r="E18" s="10">
        <v>723</v>
      </c>
      <c r="F18" s="10">
        <v>495</v>
      </c>
      <c r="G18" s="10">
        <v>15.83</v>
      </c>
      <c r="H18" s="10">
        <v>10.84</v>
      </c>
      <c r="I18" s="10">
        <v>33.33</v>
      </c>
    </row>
    <row r="19" spans="1:9">
      <c r="A19" s="10" t="s">
        <v>190</v>
      </c>
      <c r="B19" s="10">
        <v>53.615000000000002</v>
      </c>
      <c r="C19" s="10">
        <v>0.16</v>
      </c>
      <c r="D19" s="10">
        <v>4881</v>
      </c>
      <c r="E19" s="10">
        <v>878</v>
      </c>
      <c r="F19" s="10">
        <v>627</v>
      </c>
      <c r="G19" s="10">
        <v>17.989999999999998</v>
      </c>
      <c r="H19" s="10">
        <v>12.84</v>
      </c>
      <c r="I19" s="10">
        <v>34.22</v>
      </c>
    </row>
    <row r="20" spans="1:9">
      <c r="A20" s="10" t="s">
        <v>256</v>
      </c>
      <c r="B20" s="10">
        <v>56.84</v>
      </c>
      <c r="C20" s="10">
        <v>0.16</v>
      </c>
      <c r="D20" s="10">
        <v>4915</v>
      </c>
      <c r="E20" s="10">
        <v>888</v>
      </c>
      <c r="F20" s="10">
        <v>653</v>
      </c>
      <c r="G20" s="10">
        <v>18.059999999999999</v>
      </c>
      <c r="H20" s="10">
        <v>13.28</v>
      </c>
      <c r="I20" s="10">
        <v>34.369999999999997</v>
      </c>
    </row>
    <row r="21" spans="1:9">
      <c r="A21" s="10" t="s">
        <v>203</v>
      </c>
      <c r="B21" s="10">
        <v>60.03</v>
      </c>
      <c r="C21" s="10">
        <v>0.2</v>
      </c>
      <c r="D21" s="10">
        <v>5374</v>
      </c>
      <c r="E21" s="10">
        <v>994</v>
      </c>
      <c r="F21" s="10">
        <v>688</v>
      </c>
      <c r="G21" s="10">
        <v>18.5</v>
      </c>
      <c r="H21" s="10">
        <v>12.8</v>
      </c>
      <c r="I21" s="10">
        <v>35.159999999999997</v>
      </c>
    </row>
    <row r="22" spans="1:9">
      <c r="A22" s="10" t="s">
        <v>89</v>
      </c>
      <c r="B22" s="10">
        <v>59.7</v>
      </c>
      <c r="C22" s="10">
        <v>0.2</v>
      </c>
      <c r="D22" s="10">
        <v>4993</v>
      </c>
      <c r="E22" s="10">
        <v>799</v>
      </c>
      <c r="F22" s="10">
        <v>575</v>
      </c>
      <c r="G22" s="10">
        <v>15.99</v>
      </c>
      <c r="H22" s="10">
        <v>11.52</v>
      </c>
      <c r="I22" s="10">
        <v>41.72</v>
      </c>
    </row>
    <row r="23" spans="1:9">
      <c r="A23" s="10" t="s">
        <v>127</v>
      </c>
      <c r="B23" s="10">
        <v>57.12</v>
      </c>
      <c r="C23" s="10">
        <v>0.2</v>
      </c>
      <c r="D23" s="10">
        <v>5238</v>
      </c>
      <c r="E23" s="10">
        <v>940</v>
      </c>
      <c r="F23" s="10">
        <v>754</v>
      </c>
      <c r="G23" s="10">
        <v>17.940000000000001</v>
      </c>
      <c r="H23" s="10">
        <v>14.4</v>
      </c>
      <c r="I23" s="10">
        <v>42.6</v>
      </c>
    </row>
    <row r="24" spans="1:9">
      <c r="A24" s="10" t="s">
        <v>88</v>
      </c>
      <c r="B24" s="10">
        <v>54.14</v>
      </c>
      <c r="C24" s="10">
        <v>0.2</v>
      </c>
      <c r="D24" s="10">
        <v>5711</v>
      </c>
      <c r="E24" s="10">
        <v>1122</v>
      </c>
      <c r="F24" s="10">
        <v>801</v>
      </c>
      <c r="G24" s="10">
        <v>19.64</v>
      </c>
      <c r="H24" s="10">
        <v>14.02</v>
      </c>
      <c r="I24" s="10">
        <v>42.7</v>
      </c>
    </row>
    <row r="25" spans="1:9">
      <c r="A25" s="10" t="s">
        <v>24</v>
      </c>
      <c r="B25" s="10">
        <v>55.52</v>
      </c>
      <c r="C25" s="10">
        <v>0.25</v>
      </c>
      <c r="D25" s="10">
        <v>5733</v>
      </c>
      <c r="E25" s="10">
        <v>1048</v>
      </c>
      <c r="F25" s="10">
        <v>752</v>
      </c>
      <c r="G25" s="10">
        <v>18.28</v>
      </c>
      <c r="H25" s="10">
        <v>13.11</v>
      </c>
      <c r="I25" s="10">
        <v>42.11</v>
      </c>
    </row>
    <row r="26" spans="1:9">
      <c r="A26" s="10" t="s">
        <v>55</v>
      </c>
      <c r="B26" s="10">
        <v>58.39</v>
      </c>
      <c r="C26" s="10">
        <v>0.25</v>
      </c>
      <c r="D26" s="10">
        <v>5294</v>
      </c>
      <c r="E26" s="10">
        <v>851</v>
      </c>
      <c r="F26" s="10">
        <v>653</v>
      </c>
      <c r="G26" s="10">
        <v>16.079999999999998</v>
      </c>
      <c r="H26" s="10">
        <v>12.33</v>
      </c>
      <c r="I26" s="10">
        <v>43.59</v>
      </c>
    </row>
    <row r="27" spans="1:9">
      <c r="A27" s="10" t="s">
        <v>183</v>
      </c>
      <c r="B27" s="10">
        <v>58.31</v>
      </c>
      <c r="C27" s="10">
        <v>0.25</v>
      </c>
      <c r="D27" s="10">
        <v>5662</v>
      </c>
      <c r="E27" s="10">
        <v>1063</v>
      </c>
      <c r="F27" s="10">
        <v>692</v>
      </c>
      <c r="G27" s="10">
        <v>18.78</v>
      </c>
      <c r="H27" s="10">
        <v>12.22</v>
      </c>
      <c r="I27" s="10">
        <v>44.55</v>
      </c>
    </row>
    <row r="28" spans="1:9">
      <c r="A28" s="10" t="s">
        <v>34</v>
      </c>
      <c r="B28" s="10">
        <v>53.71</v>
      </c>
      <c r="C28" s="10">
        <v>0.25</v>
      </c>
      <c r="D28" s="10">
        <v>5698</v>
      </c>
      <c r="E28" s="10">
        <v>934</v>
      </c>
      <c r="F28" s="10">
        <v>789</v>
      </c>
      <c r="G28" s="10">
        <v>16.39</v>
      </c>
      <c r="H28" s="10">
        <v>13.84</v>
      </c>
      <c r="I28" s="10">
        <v>47.98</v>
      </c>
    </row>
    <row r="29" spans="1:9">
      <c r="A29" s="10" t="s">
        <v>173</v>
      </c>
      <c r="B29" s="10">
        <v>57.43</v>
      </c>
      <c r="C29" s="10">
        <v>0.3</v>
      </c>
      <c r="D29" s="10">
        <v>6074</v>
      </c>
      <c r="E29" s="10">
        <v>1054</v>
      </c>
      <c r="F29" s="10">
        <v>2250</v>
      </c>
      <c r="G29" s="10">
        <v>17.36</v>
      </c>
      <c r="H29" s="10">
        <v>37.049999999999997</v>
      </c>
      <c r="I29" s="10">
        <v>50.76</v>
      </c>
    </row>
    <row r="30" spans="1:9">
      <c r="A30" s="10" t="s">
        <v>282</v>
      </c>
      <c r="B30" s="10">
        <v>57.89</v>
      </c>
      <c r="C30" s="10">
        <v>0.3</v>
      </c>
      <c r="D30" s="10">
        <v>6032</v>
      </c>
      <c r="E30" s="10">
        <v>855</v>
      </c>
      <c r="F30" s="10">
        <v>660</v>
      </c>
      <c r="G30" s="10">
        <v>14.17</v>
      </c>
      <c r="H30" s="10">
        <v>10.94</v>
      </c>
      <c r="I30" s="10">
        <v>34.65</v>
      </c>
    </row>
    <row r="31" spans="1:9">
      <c r="A31" s="10" t="s">
        <v>110</v>
      </c>
      <c r="B31" s="10">
        <v>48.85</v>
      </c>
      <c r="C31" s="10">
        <v>0.3</v>
      </c>
      <c r="D31" s="10">
        <v>6310</v>
      </c>
      <c r="E31" s="10">
        <v>984</v>
      </c>
      <c r="F31" s="10">
        <v>853</v>
      </c>
      <c r="G31" s="10">
        <v>15.59</v>
      </c>
      <c r="H31" s="10">
        <v>13.51</v>
      </c>
      <c r="I31" s="10">
        <v>35.950000000000003</v>
      </c>
    </row>
    <row r="32" spans="1:9">
      <c r="A32" s="10" t="s">
        <v>52</v>
      </c>
      <c r="B32" s="10">
        <v>56.84</v>
      </c>
      <c r="C32" s="10">
        <v>0.36</v>
      </c>
      <c r="D32" s="10">
        <v>6304</v>
      </c>
      <c r="E32" s="10">
        <v>914</v>
      </c>
      <c r="F32" s="10">
        <v>756</v>
      </c>
      <c r="G32" s="10">
        <v>14.5</v>
      </c>
      <c r="H32" s="10">
        <v>11.99</v>
      </c>
      <c r="I32" s="10">
        <v>35.83</v>
      </c>
    </row>
    <row r="33" spans="1:9">
      <c r="A33" s="10" t="s">
        <v>107</v>
      </c>
      <c r="B33" s="10">
        <v>64.400000000000006</v>
      </c>
      <c r="C33" s="10">
        <v>0.36</v>
      </c>
      <c r="D33" s="10">
        <v>6633</v>
      </c>
      <c r="E33" s="10">
        <v>991</v>
      </c>
      <c r="F33" s="10">
        <v>761</v>
      </c>
      <c r="G33" s="10">
        <v>14.94</v>
      </c>
      <c r="H33" s="10">
        <v>11.47</v>
      </c>
      <c r="I33" s="10">
        <v>38.89</v>
      </c>
    </row>
    <row r="34" spans="1:9">
      <c r="A34" s="10" t="s">
        <v>18</v>
      </c>
      <c r="B34" s="10">
        <v>74.34</v>
      </c>
      <c r="C34" s="10">
        <v>0.36</v>
      </c>
      <c r="D34" s="10">
        <v>6306</v>
      </c>
      <c r="E34" s="10">
        <v>838</v>
      </c>
      <c r="F34" s="10">
        <v>663</v>
      </c>
      <c r="G34" s="10">
        <v>13.3</v>
      </c>
      <c r="H34" s="10">
        <v>10.52</v>
      </c>
      <c r="I34" s="10">
        <v>57.89</v>
      </c>
    </row>
    <row r="35" spans="1:9">
      <c r="A35" s="10" t="s">
        <v>222</v>
      </c>
      <c r="B35" s="10">
        <v>83.83</v>
      </c>
      <c r="C35" s="10">
        <v>0.36</v>
      </c>
      <c r="D35" s="10">
        <v>6823</v>
      </c>
      <c r="E35" s="10">
        <v>1083</v>
      </c>
      <c r="F35" s="10">
        <v>1373</v>
      </c>
      <c r="G35" s="10">
        <v>15.87</v>
      </c>
      <c r="H35" s="10">
        <v>20.12</v>
      </c>
      <c r="I35" s="10">
        <v>59.23</v>
      </c>
    </row>
    <row r="36" spans="1:9">
      <c r="A36" s="10" t="s">
        <v>170</v>
      </c>
      <c r="B36" s="10">
        <v>88.42</v>
      </c>
      <c r="C36" s="10">
        <v>0.36</v>
      </c>
      <c r="D36" s="10">
        <v>6747</v>
      </c>
      <c r="E36" s="10">
        <v>1003</v>
      </c>
      <c r="F36" s="10">
        <v>803</v>
      </c>
      <c r="G36" s="10">
        <v>14.87</v>
      </c>
      <c r="H36" s="10">
        <v>11.9</v>
      </c>
      <c r="I36" s="10">
        <v>51.06</v>
      </c>
    </row>
    <row r="37" spans="1:9">
      <c r="A37" s="10" t="s">
        <v>250</v>
      </c>
      <c r="B37" s="10">
        <v>87.92</v>
      </c>
      <c r="C37" s="10">
        <v>0.41</v>
      </c>
      <c r="D37" s="10">
        <v>7097</v>
      </c>
      <c r="E37" s="10">
        <v>1152</v>
      </c>
      <c r="F37" s="10">
        <v>886</v>
      </c>
      <c r="G37" s="10">
        <v>16.23</v>
      </c>
      <c r="H37" s="10">
        <v>12.48</v>
      </c>
      <c r="I37" s="10">
        <v>49.32</v>
      </c>
    </row>
    <row r="38" spans="1:9">
      <c r="A38" s="10" t="s">
        <v>126</v>
      </c>
      <c r="B38" s="10">
        <v>65.739999999999995</v>
      </c>
      <c r="C38" s="10">
        <v>0.41</v>
      </c>
      <c r="D38" s="10">
        <v>5996</v>
      </c>
      <c r="E38" s="10">
        <v>419</v>
      </c>
      <c r="F38" s="10">
        <v>328</v>
      </c>
      <c r="G38" s="10">
        <v>6.99</v>
      </c>
      <c r="H38" s="10">
        <v>5.48</v>
      </c>
      <c r="I38" s="10">
        <v>48.85</v>
      </c>
    </row>
    <row r="39" spans="1:9">
      <c r="A39" s="10" t="s">
        <v>161</v>
      </c>
      <c r="B39" s="10">
        <v>73.59</v>
      </c>
      <c r="C39" s="10">
        <v>0.41</v>
      </c>
      <c r="D39" s="10">
        <v>4222</v>
      </c>
      <c r="E39" s="10">
        <v>-694</v>
      </c>
      <c r="F39" s="10">
        <v>-678</v>
      </c>
      <c r="G39" s="10">
        <v>-16.440000000000001</v>
      </c>
      <c r="H39" s="10">
        <v>-16.07</v>
      </c>
      <c r="I39" s="10">
        <v>55</v>
      </c>
    </row>
    <row r="40" spans="1:9">
      <c r="A40" s="10" t="s">
        <v>28</v>
      </c>
      <c r="B40" s="10">
        <v>85.92</v>
      </c>
      <c r="C40" s="10">
        <v>0.41</v>
      </c>
      <c r="D40" s="10">
        <v>6203</v>
      </c>
      <c r="E40" s="10">
        <v>641</v>
      </c>
      <c r="F40" s="10">
        <v>393</v>
      </c>
      <c r="G40" s="10">
        <v>10.34</v>
      </c>
      <c r="H40" s="10">
        <v>6.33</v>
      </c>
      <c r="I40" s="10">
        <v>141.96</v>
      </c>
    </row>
  </sheetData>
  <phoneticPr fontId="22" type="noConversion"/>
  <pageMargins left="0.75" right="0.75" top="1" bottom="1" header="0.5" footer="0.5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39</vt:i4>
      </vt:variant>
    </vt:vector>
  </HeadingPairs>
  <TitlesOfParts>
    <vt:vector size="39" baseType="lpstr">
      <vt:lpstr>TSLA,AAPL</vt:lpstr>
      <vt:lpstr>4 fear plan</vt:lpstr>
      <vt:lpstr>실현손익</vt:lpstr>
      <vt:lpstr>투자기준</vt:lpstr>
      <vt:lpstr>투자</vt:lpstr>
      <vt:lpstr>배당주 요약</vt:lpstr>
      <vt:lpstr>list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cp:revision>8</cp:revision>
  <dcterms:created xsi:type="dcterms:W3CDTF">2021-06-09T01:02:01Z</dcterms:created>
  <dcterms:modified xsi:type="dcterms:W3CDTF">2022-08-15T08:27:53Z</dcterms:modified>
  <cp:version>1100.0100.06</cp:version>
</cp:coreProperties>
</file>