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MMC_\Documents\ITA\EST-25\2BIM\"/>
    </mc:Choice>
  </mc:AlternateContent>
  <bookViews>
    <workbookView xWindow="0" yWindow="0" windowWidth="20490" windowHeight="8235" firstSheet="2" activeTab="2"/>
  </bookViews>
  <sheets>
    <sheet name="Flambagem" sheetId="1" r:id="rId1"/>
    <sheet name="Falha de placas" sheetId="2" r:id="rId2"/>
    <sheet name="Falha de colunas" sheetId="5" r:id="rId3"/>
    <sheet name="Falha Local Painel - Gerard" sheetId="9" r:id="rId4"/>
    <sheet name="Falha Local Painel - Boeing" sheetId="6" r:id="rId5"/>
    <sheet name="Propriedades painel" sheetId="7" r:id="rId6"/>
    <sheet name="Falha Painel - Carga de Falha" sheetId="11" r:id="rId7"/>
    <sheet name="Tabelas e Fórmulas" sheetId="8" r:id="rId8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5" l="1"/>
  <c r="I27" i="11" l="1"/>
  <c r="O4" i="7"/>
  <c r="N13" i="7"/>
  <c r="N11" i="7"/>
  <c r="M13" i="7"/>
  <c r="M11" i="7"/>
  <c r="M14" i="7"/>
  <c r="M12" i="7"/>
  <c r="M10" i="7"/>
  <c r="G13" i="7"/>
  <c r="D14" i="7"/>
  <c r="D13" i="7"/>
  <c r="D12" i="7"/>
  <c r="D11" i="7"/>
  <c r="D10" i="7"/>
  <c r="M7" i="5"/>
  <c r="N4" i="5"/>
  <c r="N5" i="5"/>
  <c r="Q4" i="5"/>
  <c r="Q3" i="5"/>
  <c r="K3" i="5"/>
  <c r="Q5" i="5"/>
  <c r="J5" i="5"/>
  <c r="F5" i="5"/>
  <c r="G5" i="5"/>
  <c r="L26" i="6"/>
  <c r="F31" i="6"/>
  <c r="K26" i="6"/>
  <c r="F32" i="6"/>
  <c r="I32" i="6"/>
  <c r="I31" i="6"/>
  <c r="F33" i="6"/>
  <c r="I3" i="6"/>
  <c r="I14" i="5"/>
  <c r="I13" i="5"/>
  <c r="I12" i="5"/>
  <c r="K12" i="5" s="1"/>
  <c r="N25" i="5"/>
  <c r="J23" i="5"/>
  <c r="J24" i="5"/>
  <c r="J22" i="5"/>
  <c r="E29" i="5"/>
  <c r="Y40" i="8"/>
  <c r="N68" i="8"/>
  <c r="O2" i="7" l="1"/>
  <c r="L14" i="11"/>
  <c r="I4" i="6"/>
  <c r="C20" i="6"/>
  <c r="F4" i="6"/>
  <c r="F5" i="6"/>
  <c r="F6" i="6"/>
  <c r="F3" i="6"/>
  <c r="C4" i="6"/>
  <c r="C5" i="6"/>
  <c r="C6" i="6"/>
  <c r="C3" i="6"/>
  <c r="C16" i="11"/>
  <c r="I15" i="11"/>
  <c r="I16" i="11" s="1"/>
  <c r="C15" i="11"/>
  <c r="C17" i="11" s="1"/>
  <c r="N14" i="9"/>
  <c r="N11" i="9"/>
  <c r="J4" i="9"/>
  <c r="J15" i="9"/>
  <c r="N10" i="9"/>
  <c r="B6" i="9"/>
  <c r="N24" i="5"/>
  <c r="B8" i="5"/>
  <c r="K22" i="5"/>
  <c r="E27" i="5"/>
  <c r="B6" i="1"/>
  <c r="F5" i="1" s="1"/>
  <c r="F7" i="1" s="1"/>
  <c r="J18" i="1"/>
  <c r="J11" i="1"/>
  <c r="B5" i="1"/>
  <c r="B7" i="1"/>
  <c r="E9" i="2"/>
  <c r="E10" i="2"/>
  <c r="E12" i="2"/>
  <c r="E4" i="2"/>
  <c r="B16" i="1"/>
  <c r="F2" i="1"/>
  <c r="D19" i="11" l="1"/>
  <c r="C21" i="11" s="1"/>
  <c r="I19" i="11"/>
  <c r="J10" i="9"/>
  <c r="J11" i="9" s="1"/>
  <c r="J12" i="9" s="1"/>
  <c r="J13" i="9" s="1"/>
  <c r="J14" i="9" s="1"/>
  <c r="J17" i="9" s="1"/>
  <c r="I14" i="6"/>
  <c r="I15" i="6" s="1"/>
  <c r="N12" i="9"/>
  <c r="N13" i="9" s="1"/>
  <c r="N16" i="9" s="1"/>
  <c r="C10" i="6" s="1"/>
  <c r="C14" i="6" s="1"/>
  <c r="C16" i="6" s="1"/>
  <c r="E16" i="2"/>
  <c r="C15" i="6" l="1"/>
  <c r="I18" i="6"/>
  <c r="D18" i="6"/>
  <c r="C21" i="6" s="1"/>
  <c r="C23" i="6" s="1"/>
  <c r="N18" i="9"/>
  <c r="N19" i="9" s="1"/>
  <c r="N20" i="9"/>
  <c r="C27" i="6" l="1"/>
  <c r="C35" i="6"/>
  <c r="C23" i="11"/>
  <c r="P24" i="7"/>
  <c r="G24" i="7"/>
  <c r="H24" i="7" s="1"/>
  <c r="F24" i="7"/>
  <c r="P23" i="7"/>
  <c r="G23" i="7"/>
  <c r="H23" i="7" s="1"/>
  <c r="F23" i="7"/>
  <c r="P22" i="7"/>
  <c r="G22" i="7"/>
  <c r="H22" i="7" s="1"/>
  <c r="F22" i="7"/>
  <c r="P21" i="7"/>
  <c r="G21" i="7"/>
  <c r="H21" i="7" s="1"/>
  <c r="F21" i="7"/>
  <c r="P20" i="7"/>
  <c r="G20" i="7"/>
  <c r="H20" i="7" s="1"/>
  <c r="F20" i="7"/>
  <c r="P19" i="7"/>
  <c r="H19" i="7"/>
  <c r="G19" i="7"/>
  <c r="F19" i="7"/>
  <c r="P18" i="7"/>
  <c r="H18" i="7"/>
  <c r="G18" i="7"/>
  <c r="F18" i="7"/>
  <c r="P17" i="7"/>
  <c r="G17" i="7"/>
  <c r="H17" i="7" s="1"/>
  <c r="F17" i="7"/>
  <c r="P16" i="7"/>
  <c r="G16" i="7"/>
  <c r="H16" i="7" s="1"/>
  <c r="F16" i="7"/>
  <c r="P15" i="7"/>
  <c r="G15" i="7"/>
  <c r="H15" i="7" s="1"/>
  <c r="F15" i="7"/>
  <c r="P14" i="7"/>
  <c r="G14" i="7"/>
  <c r="H14" i="7" s="1"/>
  <c r="F14" i="7"/>
  <c r="P13" i="7"/>
  <c r="H13" i="7"/>
  <c r="F13" i="7"/>
  <c r="P12" i="7"/>
  <c r="G12" i="7"/>
  <c r="H12" i="7" s="1"/>
  <c r="F12" i="7"/>
  <c r="P11" i="7"/>
  <c r="G11" i="7"/>
  <c r="H11" i="7" s="1"/>
  <c r="F11" i="7"/>
  <c r="P10" i="7"/>
  <c r="G10" i="7"/>
  <c r="H10" i="7" s="1"/>
  <c r="L4" i="7" l="1"/>
  <c r="L2" i="7"/>
  <c r="F10" i="7"/>
  <c r="I4" i="7" s="1"/>
  <c r="L12" i="11" s="1"/>
  <c r="F27" i="11" s="1"/>
  <c r="Q11" i="7" l="1"/>
  <c r="Q10" i="7"/>
  <c r="I2" i="7"/>
  <c r="Q19" i="7"/>
  <c r="Q24" i="7"/>
  <c r="Q16" i="7"/>
  <c r="Q12" i="7"/>
  <c r="Q13" i="7"/>
  <c r="Q21" i="7"/>
  <c r="Q17" i="7"/>
  <c r="Q18" i="7"/>
  <c r="Q15" i="7"/>
  <c r="Q23" i="7"/>
  <c r="Q20" i="7"/>
  <c r="Q14" i="7"/>
  <c r="Q22" i="7"/>
  <c r="L15" i="11" l="1"/>
  <c r="L13" i="11"/>
  <c r="L6" i="7"/>
  <c r="L11" i="11" s="1"/>
  <c r="C27" i="11" s="1"/>
  <c r="C29" i="11" s="1"/>
  <c r="F29" i="11" s="1"/>
  <c r="K24" i="5"/>
  <c r="K23" i="5"/>
  <c r="J25" i="5"/>
  <c r="K25" i="5" s="1"/>
  <c r="K14" i="5"/>
  <c r="L14" i="5" s="1"/>
  <c r="K13" i="5"/>
  <c r="L13" i="5" s="1"/>
  <c r="Q16" i="5"/>
  <c r="R16" i="5" s="1"/>
  <c r="Q17" i="5"/>
  <c r="R17" i="5" s="1"/>
  <c r="B21" i="2"/>
  <c r="Q18" i="5"/>
  <c r="R18" i="5" s="1"/>
  <c r="L12" i="5"/>
  <c r="K29" i="5" l="1"/>
  <c r="N22" i="5" s="1"/>
  <c r="C33" i="11"/>
  <c r="C35" i="11" s="1"/>
  <c r="F37" i="11" s="1"/>
  <c r="F39" i="11" s="1"/>
  <c r="J14" i="5"/>
  <c r="J12" i="5"/>
  <c r="L19" i="5"/>
  <c r="J13" i="5"/>
  <c r="Q21" i="5"/>
  <c r="J3" i="5"/>
  <c r="J4" i="5"/>
  <c r="K4" i="5"/>
  <c r="K5" i="5"/>
  <c r="L3" i="5" l="1"/>
  <c r="M3" i="5" s="1"/>
  <c r="B12" i="5"/>
  <c r="B10" i="5"/>
  <c r="B9" i="5"/>
  <c r="M14" i="5" l="1"/>
  <c r="N13" i="5"/>
  <c r="N14" i="5"/>
  <c r="O14" i="5" s="1"/>
  <c r="P14" i="5" s="1"/>
  <c r="Q14" i="5" s="1"/>
  <c r="R14" i="5" s="1"/>
  <c r="E28" i="5"/>
  <c r="G3" i="5"/>
  <c r="F3" i="5"/>
  <c r="F4" i="5"/>
  <c r="G4" i="5"/>
  <c r="N12" i="5"/>
  <c r="L4" i="5"/>
  <c r="M12" i="5"/>
  <c r="M13" i="5"/>
  <c r="O12" i="5" l="1"/>
  <c r="P12" i="5" s="1"/>
  <c r="Q12" i="5" s="1"/>
  <c r="R12" i="5" s="1"/>
  <c r="O13" i="5"/>
  <c r="P13" i="5" s="1"/>
  <c r="Q13" i="5" s="1"/>
  <c r="R13" i="5" s="1"/>
  <c r="M4" i="5"/>
  <c r="L5" i="5"/>
  <c r="M5" i="5" s="1"/>
  <c r="O19" i="5" l="1"/>
  <c r="B4" i="2" l="1"/>
  <c r="B6" i="2" l="1"/>
  <c r="I21" i="2" s="1"/>
  <c r="B14" i="2"/>
  <c r="B15" i="2"/>
  <c r="E8" i="2"/>
  <c r="B5" i="2"/>
  <c r="J12" i="1"/>
  <c r="B20" i="2"/>
  <c r="B8" i="2" l="1"/>
  <c r="J5" i="1"/>
  <c r="J14" i="1"/>
  <c r="J7" i="1"/>
  <c r="J13" i="1"/>
  <c r="J9" i="1" s="1"/>
  <c r="J4" i="1"/>
  <c r="J6" i="1"/>
  <c r="I19" i="2"/>
  <c r="I6" i="2"/>
  <c r="E11" i="2"/>
  <c r="B11" i="5"/>
  <c r="B9" i="2"/>
  <c r="F9" i="1"/>
  <c r="K4" i="1" l="1"/>
  <c r="K5" i="1"/>
  <c r="K6" i="1"/>
  <c r="K7" i="1"/>
  <c r="N3" i="1" s="1"/>
  <c r="N7" i="1" s="1"/>
  <c r="N9" i="1" s="1"/>
  <c r="E13" i="2" l="1"/>
  <c r="E6" i="2" s="1"/>
  <c r="B13" i="5"/>
  <c r="E15" i="2"/>
  <c r="J4" i="2"/>
  <c r="E5" i="2"/>
  <c r="M21" i="2"/>
  <c r="I14" i="2"/>
  <c r="M14" i="2"/>
  <c r="M16" i="2" s="1"/>
  <c r="M17" i="2" s="1"/>
  <c r="I10" i="2"/>
  <c r="I8" i="2"/>
  <c r="I15" i="2"/>
  <c r="M10" i="2" s="1"/>
  <c r="M11" i="2" s="1"/>
  <c r="M5" i="2"/>
  <c r="M7" i="2" s="1"/>
  <c r="M8" i="2" s="1"/>
  <c r="B22" i="2"/>
  <c r="N5" i="1"/>
  <c r="M22" i="2" l="1"/>
  <c r="M25" i="2"/>
  <c r="I23" i="2"/>
  <c r="I17" i="2"/>
  <c r="I26" i="2" l="1"/>
  <c r="D19" i="2"/>
  <c r="D20" i="2" s="1"/>
  <c r="N23" i="5" l="1"/>
  <c r="N26" i="5" s="1"/>
</calcChain>
</file>

<file path=xl/comments1.xml><?xml version="1.0" encoding="utf-8"?>
<comments xmlns="http://schemas.openxmlformats.org/spreadsheetml/2006/main">
  <authors>
    <author>Francisco Castro</author>
  </authors>
  <commentList>
    <comment ref="H5" authorId="0" shapeId="0">
      <text>
        <r>
          <rPr>
            <b/>
            <sz val="9"/>
            <color indexed="81"/>
            <rFont val="Segoe UI"/>
            <charset val="1"/>
          </rPr>
          <t>Francisco Castro:</t>
        </r>
        <r>
          <rPr>
            <sz val="9"/>
            <color indexed="81"/>
            <rFont val="Segoe UI"/>
            <charset val="1"/>
          </rPr>
          <t xml:space="preserve">
Fig. 1-4 Donadon 2015b</t>
        </r>
      </text>
    </comment>
    <comment ref="A7" authorId="0" shapeId="0">
      <text>
        <r>
          <rPr>
            <b/>
            <sz val="9"/>
            <color indexed="81"/>
            <rFont val="Segoe UI"/>
            <charset val="1"/>
          </rPr>
          <t>Francisco Castro:</t>
        </r>
        <r>
          <rPr>
            <sz val="9"/>
            <color indexed="81"/>
            <rFont val="Segoe UI"/>
            <charset val="1"/>
          </rPr>
          <t xml:space="preserve">
Área do reforçador</t>
        </r>
      </text>
    </comment>
    <comment ref="L7" authorId="0" shapeId="0">
      <text>
        <r>
          <rPr>
            <b/>
            <sz val="9"/>
            <color indexed="81"/>
            <rFont val="Segoe UI"/>
            <charset val="1"/>
          </rPr>
          <t>Francisco Castro:</t>
        </r>
        <r>
          <rPr>
            <sz val="9"/>
            <color indexed="81"/>
            <rFont val="Segoe UI"/>
            <charset val="1"/>
          </rPr>
          <t xml:space="preserve">
Na falha a tensão é sigma_cy</t>
        </r>
      </text>
    </comment>
    <comment ref="H15" authorId="0" shapeId="0">
      <text>
        <r>
          <rPr>
            <b/>
            <sz val="9"/>
            <color indexed="81"/>
            <rFont val="Segoe UI"/>
            <charset val="1"/>
          </rPr>
          <t>Francisco Castro:</t>
        </r>
        <r>
          <rPr>
            <sz val="9"/>
            <color indexed="81"/>
            <rFont val="Segoe UI"/>
            <charset val="1"/>
          </rPr>
          <t xml:space="preserve">
Desconhecido</t>
        </r>
      </text>
    </comment>
  </commentList>
</comments>
</file>

<file path=xl/comments2.xml><?xml version="1.0" encoding="utf-8"?>
<comments xmlns="http://schemas.openxmlformats.org/spreadsheetml/2006/main">
  <authors>
    <author>Francisco Castro</author>
  </authors>
  <commentList>
    <comment ref="D1" authorId="0" shapeId="0">
      <text>
        <r>
          <rPr>
            <b/>
            <sz val="9"/>
            <color indexed="81"/>
            <rFont val="Segoe UI"/>
            <charset val="1"/>
          </rPr>
          <t>Francisco Castro:</t>
        </r>
        <r>
          <rPr>
            <sz val="9"/>
            <color indexed="81"/>
            <rFont val="Segoe UI"/>
            <charset val="1"/>
          </rPr>
          <t xml:space="preserve">
Não vale para extrusão</t>
        </r>
      </text>
    </comment>
    <comment ref="R3" authorId="0" shapeId="0">
      <text>
        <r>
          <rPr>
            <b/>
            <sz val="9"/>
            <color indexed="81"/>
            <rFont val="Segoe UI"/>
            <family val="2"/>
          </rPr>
          <t>Francisco Castro:</t>
        </r>
        <r>
          <rPr>
            <sz val="9"/>
            <color indexed="81"/>
            <rFont val="Segoe UI"/>
            <family val="2"/>
          </rPr>
          <t xml:space="preserve">
duas bordas livres</t>
        </r>
      </text>
    </comment>
    <comment ref="R4" authorId="0" shapeId="0">
      <text>
        <r>
          <rPr>
            <b/>
            <sz val="9"/>
            <color indexed="81"/>
            <rFont val="Segoe UI"/>
            <family val="2"/>
          </rPr>
          <t>Francisco Castro:</t>
        </r>
        <r>
          <rPr>
            <sz val="9"/>
            <color indexed="81"/>
            <rFont val="Segoe UI"/>
            <family val="2"/>
          </rPr>
          <t xml:space="preserve">
uma borda livre</t>
        </r>
      </text>
    </comment>
    <comment ref="R5" authorId="0" shapeId="0">
      <text>
        <r>
          <rPr>
            <b/>
            <sz val="9"/>
            <color indexed="81"/>
            <rFont val="Segoe UI"/>
            <family val="2"/>
          </rPr>
          <t>Francisco Castro:</t>
        </r>
        <r>
          <rPr>
            <sz val="9"/>
            <color indexed="81"/>
            <rFont val="Segoe UI"/>
            <family val="2"/>
          </rPr>
          <t xml:space="preserve">
nenhuma borda livre</t>
        </r>
      </text>
    </comment>
    <comment ref="F11" authorId="0" shapeId="0">
      <text>
        <r>
          <rPr>
            <b/>
            <sz val="9"/>
            <color indexed="81"/>
            <rFont val="Segoe UI"/>
            <charset val="1"/>
          </rPr>
          <t>Francisco Castro:</t>
        </r>
        <r>
          <rPr>
            <sz val="9"/>
            <color indexed="81"/>
            <rFont val="Segoe UI"/>
            <charset val="1"/>
          </rPr>
          <t xml:space="preserve">
Se tiver algum canto livre, g_f = 1</t>
        </r>
      </text>
    </comment>
  </commentList>
</comments>
</file>

<file path=xl/comments3.xml><?xml version="1.0" encoding="utf-8"?>
<comments xmlns="http://schemas.openxmlformats.org/spreadsheetml/2006/main">
  <authors>
    <author>Francisco Castro</author>
  </authors>
  <commentList>
    <comment ref="B8" authorId="0" shapeId="0">
      <text>
        <r>
          <rPr>
            <b/>
            <sz val="9"/>
            <color indexed="81"/>
            <rFont val="Segoe UI"/>
            <family val="2"/>
          </rPr>
          <t>Francisco Castro:</t>
        </r>
        <r>
          <rPr>
            <sz val="9"/>
            <color indexed="81"/>
            <rFont val="Segoe UI"/>
            <family val="2"/>
          </rPr>
          <t xml:space="preserve">
Feito na aba Falha Local Painel - Gerard</t>
        </r>
      </text>
    </comment>
    <comment ref="B32" authorId="0" shapeId="0">
      <text>
        <r>
          <rPr>
            <b/>
            <sz val="9"/>
            <color indexed="81"/>
            <rFont val="Segoe UI"/>
            <family val="2"/>
          </rPr>
          <t>Francisco Castro:</t>
        </r>
        <r>
          <rPr>
            <sz val="9"/>
            <color indexed="81"/>
            <rFont val="Segoe UI"/>
            <family val="2"/>
          </rPr>
          <t xml:space="preserve">
Tabela 6-6</t>
        </r>
      </text>
    </comment>
  </commentList>
</comments>
</file>

<file path=xl/comments4.xml><?xml version="1.0" encoding="utf-8"?>
<comments xmlns="http://schemas.openxmlformats.org/spreadsheetml/2006/main">
  <authors>
    <author>Francisco Castro</author>
  </authors>
  <commentList>
    <comment ref="B33" authorId="0" shapeId="0">
      <text>
        <r>
          <rPr>
            <b/>
            <sz val="9"/>
            <color indexed="81"/>
            <rFont val="Segoe UI"/>
            <family val="2"/>
          </rPr>
          <t>Francisco Castro:</t>
        </r>
        <r>
          <rPr>
            <sz val="9"/>
            <color indexed="81"/>
            <rFont val="Segoe UI"/>
            <family val="2"/>
          </rPr>
          <t xml:space="preserve">
Falta comparar com falha por outros critérios, aqui assume-se falha por flexão (?)</t>
        </r>
      </text>
    </comment>
  </commentList>
</comments>
</file>

<file path=xl/comments5.xml><?xml version="1.0" encoding="utf-8"?>
<comments xmlns="http://schemas.openxmlformats.org/spreadsheetml/2006/main">
  <authors>
    <author>Francisco Castro</author>
  </authors>
  <commentList>
    <comment ref="Q73" authorId="0" shapeId="0">
      <text>
        <r>
          <rPr>
            <b/>
            <sz val="9"/>
            <color indexed="81"/>
            <rFont val="Segoe UI"/>
            <family val="2"/>
          </rPr>
          <t>Francisco Castro:</t>
        </r>
        <r>
          <rPr>
            <sz val="9"/>
            <color indexed="81"/>
            <rFont val="Segoe UI"/>
            <family val="2"/>
          </rPr>
          <t xml:space="preserve">
Pag 2.10 Donadon EST25</t>
        </r>
      </text>
    </comment>
  </commentList>
</comments>
</file>

<file path=xl/sharedStrings.xml><?xml version="1.0" encoding="utf-8"?>
<sst xmlns="http://schemas.openxmlformats.org/spreadsheetml/2006/main" count="581" uniqueCount="316">
  <si>
    <t>Propriedades do problema</t>
  </si>
  <si>
    <t>Tensão Crítica Elástica</t>
  </si>
  <si>
    <t>Correção de plasticidade</t>
  </si>
  <si>
    <t>Tensão Critica</t>
  </si>
  <si>
    <t>Geométricas</t>
  </si>
  <si>
    <t>k=</t>
  </si>
  <si>
    <t>Tabela</t>
  </si>
  <si>
    <t>n =</t>
  </si>
  <si>
    <t>Fcr =</t>
  </si>
  <si>
    <t>ksi</t>
  </si>
  <si>
    <t>a=</t>
  </si>
  <si>
    <t>in</t>
  </si>
  <si>
    <t>Fint=</t>
  </si>
  <si>
    <t>R =</t>
  </si>
  <si>
    <t>b=</t>
  </si>
  <si>
    <t>t=</t>
  </si>
  <si>
    <t>Fcr elast=</t>
  </si>
  <si>
    <t>kips/in</t>
  </si>
  <si>
    <t xml:space="preserve">Et = </t>
  </si>
  <si>
    <t>Material</t>
  </si>
  <si>
    <t xml:space="preserve">Es = </t>
  </si>
  <si>
    <t>vp =</t>
  </si>
  <si>
    <t>E=</t>
  </si>
  <si>
    <t>Gs =</t>
  </si>
  <si>
    <t>v=</t>
  </si>
  <si>
    <t>F07=</t>
  </si>
  <si>
    <t>n=</t>
  </si>
  <si>
    <t xml:space="preserve">F = </t>
  </si>
  <si>
    <t xml:space="preserve">G= </t>
  </si>
  <si>
    <t>Pcr elast=</t>
  </si>
  <si>
    <t>lb</t>
  </si>
  <si>
    <t>Ar=</t>
  </si>
  <si>
    <t>in^2</t>
  </si>
  <si>
    <t>Largura efetiva</t>
  </si>
  <si>
    <t>Argyris &amp; Dunne</t>
  </si>
  <si>
    <t>Fig 1.4</t>
  </si>
  <si>
    <t>b_e=</t>
  </si>
  <si>
    <t>Koiter</t>
  </si>
  <si>
    <t>Ar/at=0</t>
  </si>
  <si>
    <t>Marguerre</t>
  </si>
  <si>
    <t>ve=</t>
  </si>
  <si>
    <t>Von Karman</t>
  </si>
  <si>
    <t>sigma_cy=</t>
  </si>
  <si>
    <t>sigma_cr=</t>
  </si>
  <si>
    <t>Winter</t>
  </si>
  <si>
    <t>Gerard</t>
  </si>
  <si>
    <t xml:space="preserve">Tabela </t>
  </si>
  <si>
    <t>1.1:</t>
  </si>
  <si>
    <t>alpha=</t>
  </si>
  <si>
    <t>Correção com reforçador</t>
  </si>
  <si>
    <t>ksi (aplicado)</t>
  </si>
  <si>
    <t>Dados do problema</t>
  </si>
  <si>
    <t>Geométricos</t>
  </si>
  <si>
    <t>Material Placa</t>
  </si>
  <si>
    <t>Material Reforçador</t>
  </si>
  <si>
    <t xml:space="preserve">a carga de falha de placas </t>
  </si>
  <si>
    <t>simplesmente apoiadas</t>
  </si>
  <si>
    <t>Es=</t>
  </si>
  <si>
    <t>Et=</t>
  </si>
  <si>
    <t>Tensão de falha</t>
  </si>
  <si>
    <t>Ar/at=</t>
  </si>
  <si>
    <t>P_u=</t>
  </si>
  <si>
    <t>sigma_u=</t>
  </si>
  <si>
    <t>sigma_07=</t>
  </si>
  <si>
    <t>kpis</t>
  </si>
  <si>
    <t>N=</t>
  </si>
  <si>
    <t>b_e'=</t>
  </si>
  <si>
    <t>\eta=</t>
  </si>
  <si>
    <t>P_u'=</t>
  </si>
  <si>
    <t>sigma_u'=</t>
  </si>
  <si>
    <t>sigma_b=</t>
  </si>
  <si>
    <t>Pcr=</t>
  </si>
  <si>
    <t>Ncr=</t>
  </si>
  <si>
    <t>kips</t>
  </si>
  <si>
    <t>Força carregada total</t>
  </si>
  <si>
    <t>Carga de falha da placa</t>
  </si>
  <si>
    <t>Legenda</t>
  </si>
  <si>
    <t>Calculado</t>
  </si>
  <si>
    <t>razao(sigma)=</t>
  </si>
  <si>
    <t>razao (b_e/b)=</t>
  </si>
  <si>
    <t>Niu</t>
  </si>
  <si>
    <t>b/t=</t>
  </si>
  <si>
    <t>Extrudado</t>
  </si>
  <si>
    <t>b-t</t>
  </si>
  <si>
    <t>b-t/2</t>
  </si>
  <si>
    <t>Conformado</t>
  </si>
  <si>
    <t>até a linha média</t>
  </si>
  <si>
    <t>Needham</t>
  </si>
  <si>
    <t>Ângulo</t>
  </si>
  <si>
    <t>Qtd</t>
  </si>
  <si>
    <t>E (ksi)</t>
  </si>
  <si>
    <t>sigma_cy (ksi)</t>
  </si>
  <si>
    <t>C_E</t>
  </si>
  <si>
    <t>t (in)</t>
  </si>
  <si>
    <t>a (in)</t>
  </si>
  <si>
    <t>b (in)</t>
  </si>
  <si>
    <t>b'/t</t>
  </si>
  <si>
    <t>sigma_cc</t>
  </si>
  <si>
    <t>S (in2)</t>
  </si>
  <si>
    <t>sigma_cc_TOTAL</t>
  </si>
  <si>
    <t>Boeing</t>
  </si>
  <si>
    <t>B_10=</t>
  </si>
  <si>
    <t>m=</t>
  </si>
  <si>
    <t>Seção</t>
  </si>
  <si>
    <t>g_f</t>
  </si>
  <si>
    <r>
      <rPr>
        <sz val="11"/>
        <color rgb="FF000000"/>
        <rFont val="Calibri"/>
        <family val="2"/>
      </rPr>
      <t>Σ</t>
    </r>
    <r>
      <rPr>
        <sz val="11"/>
        <color rgb="FF000000"/>
        <rFont val="Calibri"/>
        <family val="2"/>
      </rPr>
      <t>sigma_cc*S</t>
    </r>
  </si>
  <si>
    <t>sigma_cc_final</t>
  </si>
  <si>
    <t>beta</t>
  </si>
  <si>
    <t>Fator CLAD</t>
  </si>
  <si>
    <t>F</t>
  </si>
  <si>
    <t>pag. 2.13</t>
  </si>
  <si>
    <t>b (in) sem corrigir</t>
  </si>
  <si>
    <t>TABELA 2-1 -&gt; Propriedades</t>
  </si>
  <si>
    <t>sigma_cy</t>
  </si>
  <si>
    <t>b/t</t>
  </si>
  <si>
    <t>TABELA 2-2 -&gt; Propriedades</t>
  </si>
  <si>
    <t>Medidas sem corrigir</t>
  </si>
  <si>
    <t>g=</t>
  </si>
  <si>
    <t>beta=</t>
  </si>
  <si>
    <t>cut=</t>
  </si>
  <si>
    <t>Fcy=</t>
  </si>
  <si>
    <t>Fcc1/Fcy=</t>
  </si>
  <si>
    <t>Fcc 1=</t>
  </si>
  <si>
    <t>Fcut=</t>
  </si>
  <si>
    <t>Fcr=</t>
  </si>
  <si>
    <t>Fcc=</t>
  </si>
  <si>
    <t>Propriedades</t>
  </si>
  <si>
    <t>S (in^2)</t>
  </si>
  <si>
    <t>tmedio=</t>
  </si>
  <si>
    <t>Atotal=</t>
  </si>
  <si>
    <t>Obtidos anteriormente</t>
  </si>
  <si>
    <t>Precisa escrever o número</t>
  </si>
  <si>
    <t>até a linha divisória</t>
  </si>
  <si>
    <t>Quando encontrar a tensão</t>
  </si>
  <si>
    <t>críticia, clica em R, depois em</t>
  </si>
  <si>
    <t xml:space="preserve">"atingir meta", coloque R=0 </t>
  </si>
  <si>
    <t>alterando J17-&gt; achou tensão crítica</t>
  </si>
  <si>
    <t>MACACO</t>
  </si>
  <si>
    <t>Utilizado para atingir meta</t>
  </si>
  <si>
    <t>Bulbo</t>
  </si>
  <si>
    <t>Verificar se o bulbo fornece apoio completo</t>
  </si>
  <si>
    <t>verificar bf=(b-D)/t e ver fig 2-11</t>
  </si>
  <si>
    <t>Se da figura, Dmin/t&lt;D/t, OK</t>
  </si>
  <si>
    <t>e se bf se comporta como alma</t>
  </si>
  <si>
    <t>Adaptar b dependendo do exercício</t>
  </si>
  <si>
    <t>b (in) sem correção</t>
  </si>
  <si>
    <t>Adaptar b dependendo da questão</t>
  </si>
  <si>
    <t>7 (bulbo)</t>
  </si>
  <si>
    <t>sigma_cc_f</t>
  </si>
  <si>
    <t>com qtd</t>
  </si>
  <si>
    <t>qtd</t>
  </si>
  <si>
    <t>Material - Ref</t>
  </si>
  <si>
    <t>Material - Placa</t>
  </si>
  <si>
    <t>Geometria -Placa</t>
  </si>
  <si>
    <t>Ref (Quantidade)</t>
  </si>
  <si>
    <t>E =</t>
  </si>
  <si>
    <t>ts =</t>
  </si>
  <si>
    <t>F07 =</t>
  </si>
  <si>
    <t>bs =</t>
  </si>
  <si>
    <t xml:space="preserve">L = </t>
  </si>
  <si>
    <t>Fcy =</t>
  </si>
  <si>
    <t xml:space="preserve">c = </t>
  </si>
  <si>
    <t>Passo 1: Chutar o valor de F_c</t>
  </si>
  <si>
    <t>Fc =</t>
  </si>
  <si>
    <t>Passo 2: Encontrar b_e</t>
  </si>
  <si>
    <t xml:space="preserve">Es_st = </t>
  </si>
  <si>
    <t>F_placa =</t>
  </si>
  <si>
    <t xml:space="preserve">Es_sk = </t>
  </si>
  <si>
    <t>Et_st =</t>
  </si>
  <si>
    <t>ε_sk =</t>
  </si>
  <si>
    <t>ε_st =</t>
  </si>
  <si>
    <t xml:space="preserve">Es_sk/Es_st = </t>
  </si>
  <si>
    <t xml:space="preserve">R = </t>
  </si>
  <si>
    <t>be =</t>
  </si>
  <si>
    <t>Ae =</t>
  </si>
  <si>
    <r>
      <t xml:space="preserve">Passo 3: Encontrar </t>
    </r>
    <r>
      <rPr>
        <sz val="11"/>
        <color theme="1"/>
        <rFont val="Calibri"/>
        <family val="2"/>
      </rPr>
      <t>ρ</t>
    </r>
  </si>
  <si>
    <t>ρ_st =</t>
  </si>
  <si>
    <t>ξ =</t>
  </si>
  <si>
    <t>e =</t>
  </si>
  <si>
    <t>ρ =</t>
  </si>
  <si>
    <t>L'/ρ =</t>
  </si>
  <si>
    <t>Passo 4: Encontrar Fc</t>
  </si>
  <si>
    <t>tol =</t>
  </si>
  <si>
    <t>Pc_i =</t>
  </si>
  <si>
    <t>Pc=</t>
  </si>
  <si>
    <t>Constantes de Boeing</t>
  </si>
  <si>
    <t xml:space="preserve">Fcc = </t>
  </si>
  <si>
    <t>y_cg_t =</t>
  </si>
  <si>
    <t>φ =</t>
  </si>
  <si>
    <t>B10</t>
  </si>
  <si>
    <t>gf</t>
  </si>
  <si>
    <t>At (Fcc) =</t>
  </si>
  <si>
    <t>At (Ist) =</t>
  </si>
  <si>
    <t>Fco =</t>
  </si>
  <si>
    <t>m</t>
  </si>
  <si>
    <t>I_st =</t>
  </si>
  <si>
    <t>Cálculo de Fcc</t>
  </si>
  <si>
    <t>Cálculo de Inércia</t>
  </si>
  <si>
    <t>t =</t>
  </si>
  <si>
    <t xml:space="preserve">b = </t>
  </si>
  <si>
    <t>B - L?</t>
  </si>
  <si>
    <t>At_i</t>
  </si>
  <si>
    <t>Factor_i</t>
  </si>
  <si>
    <t>Fcc_i =</t>
  </si>
  <si>
    <t>y_cg</t>
  </si>
  <si>
    <t>V ou H ?</t>
  </si>
  <si>
    <t>I_st_i =</t>
  </si>
  <si>
    <t>Componente 1</t>
  </si>
  <si>
    <t>S</t>
  </si>
  <si>
    <t>H</t>
  </si>
  <si>
    <t>Componente 2</t>
  </si>
  <si>
    <t>N</t>
  </si>
  <si>
    <t>V</t>
  </si>
  <si>
    <t>Componente 3</t>
  </si>
  <si>
    <t>Componente 4</t>
  </si>
  <si>
    <t>Componente 5</t>
  </si>
  <si>
    <t>Componente 6</t>
  </si>
  <si>
    <t>Componente 7</t>
  </si>
  <si>
    <t>Componente 8</t>
  </si>
  <si>
    <t>Componente 9</t>
  </si>
  <si>
    <t>Componente 10</t>
  </si>
  <si>
    <t>Componente 11</t>
  </si>
  <si>
    <t>Componente 12</t>
  </si>
  <si>
    <t>Componente 13</t>
  </si>
  <si>
    <t>Componente 14</t>
  </si>
  <si>
    <t>Componente 15</t>
  </si>
  <si>
    <t>a/b=</t>
  </si>
  <si>
    <t>Tabelas</t>
  </si>
  <si>
    <t>Fórmulas</t>
  </si>
  <si>
    <t>j=</t>
  </si>
  <si>
    <t>np =</t>
  </si>
  <si>
    <t>n/j (caso D)=</t>
  </si>
  <si>
    <t>n/j (caso C)=</t>
  </si>
  <si>
    <t>n/j (caso B)=</t>
  </si>
  <si>
    <t>n/j (caso A)=</t>
  </si>
  <si>
    <t>Tensão de flambagem elástica</t>
  </si>
  <si>
    <t>Tensão de flambagem plástica</t>
  </si>
  <si>
    <t>Argyris</t>
  </si>
  <si>
    <t>von Karman</t>
  </si>
  <si>
    <t>Kc=</t>
  </si>
  <si>
    <t>Tabela 1-5</t>
  </si>
  <si>
    <t>Espessura média</t>
  </si>
  <si>
    <t>b_med=</t>
  </si>
  <si>
    <t>Largura efetiva na falha</t>
  </si>
  <si>
    <t>(unused)</t>
  </si>
  <si>
    <t>Tensão média de falha</t>
  </si>
  <si>
    <t>Tensão de falha média</t>
  </si>
  <si>
    <t>Coeficiente de flambagem para um flange simplesmente apoiado</t>
  </si>
  <si>
    <t>Largura de flange com bulbo</t>
  </si>
  <si>
    <t>Área de flange com bulbo</t>
  </si>
  <si>
    <t>Verificar de D &gt; D_min -&gt; bulbo = apoio simples -&gt; flange = alma</t>
  </si>
  <si>
    <t>As curvas também podem ser utilizadas para determinar cr = {k 2 /[12(1- 2 )]}(t/bf) 2 do flange quando as proporções do lábio/bulbo não são suficientes para prover ação de alma.</t>
  </si>
  <si>
    <t>Logo:</t>
  </si>
  <si>
    <t>Flambagem</t>
  </si>
  <si>
    <t>Possíveis C_e</t>
  </si>
  <si>
    <t>Atenção em como contabilizar b e t</t>
  </si>
  <si>
    <t>Seção extrudada de espessura não constante</t>
  </si>
  <si>
    <t>Geometria - Placa</t>
  </si>
  <si>
    <t>Geometria - Ref</t>
  </si>
  <si>
    <t>t_barra</t>
  </si>
  <si>
    <t>A_total</t>
  </si>
  <si>
    <t>Fcy_barra</t>
  </si>
  <si>
    <t>tw =</t>
  </si>
  <si>
    <t>bw =</t>
  </si>
  <si>
    <t>As=</t>
  </si>
  <si>
    <t>(Fcc/Fcy)_barra</t>
  </si>
  <si>
    <t>Metódo Gerard</t>
  </si>
  <si>
    <t>beta_g</t>
  </si>
  <si>
    <t>g</t>
  </si>
  <si>
    <t>Fcc_barra</t>
  </si>
  <si>
    <t>Revestimento</t>
  </si>
  <si>
    <t>Reforçadores</t>
  </si>
  <si>
    <t>tw_barra/ts</t>
  </si>
  <si>
    <t>cutoff</t>
  </si>
  <si>
    <t>Fcut</t>
  </si>
  <si>
    <t>Metódo Boeing</t>
  </si>
  <si>
    <t>fator</t>
  </si>
  <si>
    <t>Aw</t>
  </si>
  <si>
    <t>tw_barra</t>
  </si>
  <si>
    <t>Fcc/Fcy</t>
  </si>
  <si>
    <t>Fcc</t>
  </si>
  <si>
    <t>Falha local reforçador</t>
  </si>
  <si>
    <t>Fcr</t>
  </si>
  <si>
    <t>Tensão de falha local do painel</t>
  </si>
  <si>
    <t>Est</t>
  </si>
  <si>
    <t>εst*E/F07</t>
  </si>
  <si>
    <t>εst</t>
  </si>
  <si>
    <t>Passo 1: Achar o valor de tensão de falha local de reforçador (isolado)</t>
  </si>
  <si>
    <t>Ir para próxima aba</t>
  </si>
  <si>
    <t>Passo 3: Calcular tensão média de falha local do painel</t>
  </si>
  <si>
    <t>Ist</t>
  </si>
  <si>
    <t>Ast</t>
  </si>
  <si>
    <t>Fco</t>
  </si>
  <si>
    <t>phi</t>
  </si>
  <si>
    <t>NÃO PRECISA</t>
  </si>
  <si>
    <t>Macaco</t>
  </si>
  <si>
    <t>Preencha a aba Propriedades Painel</t>
  </si>
  <si>
    <t>Preencha as propriedades do material e geométrica do painel (lá em cima)</t>
  </si>
  <si>
    <t>Chute Fc no passo 1</t>
  </si>
  <si>
    <t>Atingir meta em R para R = 0 mudando F_placa</t>
  </si>
  <si>
    <t>Preenche o que falta no passo 3 (as descrições das variáveis estão no passo a passo aqui em cima)</t>
  </si>
  <si>
    <t>Vê quando deu Fc no passo 4 e bota esse valor no Fc do passo 1</t>
  </si>
  <si>
    <t>Repete até aparecer "Não é necessário mais iteração" na linha 35</t>
  </si>
  <si>
    <t>Vê a carga de falha para cada reforçador i e a carga de falha total (para a quantidade de reforçadores que você botou lá em cima)</t>
  </si>
  <si>
    <t>Exemplo</t>
  </si>
  <si>
    <t>Página 9, Slide 4 (EST25_4)</t>
  </si>
  <si>
    <t>Propriedades Painel</t>
  </si>
  <si>
    <t>Fir</t>
  </si>
  <si>
    <t>c</t>
  </si>
  <si>
    <t>Et</t>
  </si>
  <si>
    <t>p</t>
  </si>
  <si>
    <t>ve</t>
  </si>
  <si>
    <t>R</t>
  </si>
  <si>
    <t>Fu_media</t>
  </si>
  <si>
    <t>B</t>
  </si>
  <si>
    <t>Flambagem entre rebites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</si>
</sst>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rgb="FFD9EAD3"/>
      </patternFill>
    </fill>
    <fill>
      <patternFill patternType="solid">
        <fgColor theme="4" tint="0.79998168889431442"/>
        <bgColor rgb="FFFCE5CD"/>
      </patternFill>
    </fill>
    <fill>
      <patternFill patternType="solid">
        <fgColor theme="5" tint="0.79998168889431442"/>
        <bgColor rgb="FFFCE5CD"/>
      </patternFill>
    </fill>
    <fill>
      <patternFill patternType="solid">
        <fgColor theme="4" tint="0.59999389629810485"/>
        <bgColor rgb="FFFCE5CD"/>
      </patternFill>
    </fill>
    <fill>
      <patternFill patternType="solid">
        <fgColor theme="4" tint="0.79998168889431442"/>
        <bgColor rgb="FFD9EAD3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rgb="FFD9EAD3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E06666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/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0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0" borderId="0" xfId="0" applyFill="1"/>
    <xf numFmtId="0" fontId="0" fillId="7" borderId="0" xfId="0" applyFont="1" applyFill="1"/>
    <xf numFmtId="0" fontId="0" fillId="11" borderId="5" xfId="0" applyFill="1" applyBorder="1"/>
    <xf numFmtId="0" fontId="0" fillId="11" borderId="6" xfId="0" applyFill="1" applyBorder="1"/>
    <xf numFmtId="0" fontId="0" fillId="7" borderId="0" xfId="0" applyFill="1" applyAlignment="1"/>
    <xf numFmtId="0" fontId="0" fillId="13" borderId="0" xfId="0" applyFill="1"/>
    <xf numFmtId="0" fontId="0" fillId="0" borderId="0" xfId="0" quotePrefix="1"/>
    <xf numFmtId="0" fontId="0" fillId="13" borderId="2" xfId="0" applyFill="1" applyBorder="1"/>
    <xf numFmtId="0" fontId="0" fillId="0" borderId="2" xfId="0" applyBorder="1"/>
    <xf numFmtId="0" fontId="0" fillId="5" borderId="2" xfId="0" applyFill="1" applyBorder="1"/>
    <xf numFmtId="0" fontId="0" fillId="9" borderId="2" xfId="0" applyFill="1" applyBorder="1"/>
    <xf numFmtId="0" fontId="1" fillId="12" borderId="2" xfId="0" applyFont="1" applyFill="1" applyBorder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2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0" xfId="0" applyFont="1" applyAlignment="1"/>
    <xf numFmtId="0" fontId="2" fillId="0" borderId="11" xfId="0" applyFont="1" applyBorder="1" applyAlignment="1"/>
    <xf numFmtId="0" fontId="0" fillId="0" borderId="14" xfId="0" applyFont="1" applyBorder="1" applyAlignment="1"/>
    <xf numFmtId="0" fontId="2" fillId="0" borderId="0" xfId="0" applyFont="1" applyAlignment="1"/>
    <xf numFmtId="0" fontId="0" fillId="0" borderId="0" xfId="0" applyBorder="1"/>
    <xf numFmtId="0" fontId="2" fillId="17" borderId="0" xfId="0" applyFont="1" applyFill="1" applyBorder="1"/>
    <xf numFmtId="0" fontId="2" fillId="17" borderId="0" xfId="0" applyFont="1" applyFill="1" applyBorder="1" applyAlignment="1"/>
    <xf numFmtId="0" fontId="2" fillId="18" borderId="0" xfId="0" applyFont="1" applyFill="1" applyBorder="1"/>
    <xf numFmtId="2" fontId="2" fillId="18" borderId="0" xfId="0" applyNumberFormat="1" applyFont="1" applyFill="1" applyBorder="1"/>
    <xf numFmtId="0" fontId="0" fillId="13" borderId="18" xfId="0" applyFill="1" applyBorder="1"/>
    <xf numFmtId="0" fontId="2" fillId="13" borderId="19" xfId="0" applyFont="1" applyFill="1" applyBorder="1" applyAlignment="1"/>
    <xf numFmtId="0" fontId="0" fillId="13" borderId="7" xfId="0" applyFill="1" applyBorder="1"/>
    <xf numFmtId="0" fontId="2" fillId="13" borderId="8" xfId="0" applyFont="1" applyFill="1" applyBorder="1" applyAlignment="1"/>
    <xf numFmtId="0" fontId="0" fillId="13" borderId="8" xfId="0" applyFill="1" applyBorder="1"/>
    <xf numFmtId="0" fontId="0" fillId="13" borderId="9" xfId="0" applyFill="1" applyBorder="1"/>
    <xf numFmtId="0" fontId="0" fillId="13" borderId="20" xfId="0" applyFont="1" applyFill="1" applyBorder="1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16" borderId="21" xfId="0" applyFont="1" applyFill="1" applyBorder="1" applyAlignment="1"/>
    <xf numFmtId="0" fontId="3" fillId="0" borderId="0" xfId="0" applyFont="1" applyBorder="1" applyAlignment="1"/>
    <xf numFmtId="0" fontId="2" fillId="18" borderId="16" xfId="0" applyFont="1" applyFill="1" applyBorder="1"/>
    <xf numFmtId="0" fontId="2" fillId="20" borderId="16" xfId="0" applyFont="1" applyFill="1" applyBorder="1"/>
    <xf numFmtId="0" fontId="2" fillId="0" borderId="0" xfId="0" applyFont="1" applyFill="1" applyBorder="1" applyAlignment="1"/>
    <xf numFmtId="0" fontId="0" fillId="15" borderId="10" xfId="0" applyFont="1" applyFill="1" applyBorder="1" applyAlignment="1"/>
    <xf numFmtId="0" fontId="0" fillId="15" borderId="23" xfId="0" applyFont="1" applyFill="1" applyBorder="1" applyAlignment="1"/>
    <xf numFmtId="0" fontId="2" fillId="17" borderId="0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0" fontId="2" fillId="7" borderId="0" xfId="0" applyFont="1" applyFill="1" applyBorder="1" applyAlignment="1"/>
    <xf numFmtId="0" fontId="2" fillId="23" borderId="0" xfId="0" applyFont="1" applyFill="1" applyBorder="1" applyAlignment="1"/>
    <xf numFmtId="0" fontId="2" fillId="19" borderId="0" xfId="0" applyFont="1" applyFill="1" applyBorder="1"/>
    <xf numFmtId="0" fontId="2" fillId="5" borderId="0" xfId="0" applyFont="1" applyFill="1" applyBorder="1" applyAlignment="1"/>
    <xf numFmtId="0" fontId="0" fillId="0" borderId="11" xfId="0" applyBorder="1"/>
    <xf numFmtId="0" fontId="0" fillId="0" borderId="14" xfId="0" applyBorder="1"/>
    <xf numFmtId="0" fontId="2" fillId="18" borderId="14" xfId="0" applyFont="1" applyFill="1" applyBorder="1"/>
    <xf numFmtId="0" fontId="2" fillId="5" borderId="13" xfId="0" applyFont="1" applyFill="1" applyBorder="1" applyAlignment="1">
      <alignment horizontal="left"/>
    </xf>
    <xf numFmtId="0" fontId="0" fillId="13" borderId="0" xfId="0" applyFill="1" applyBorder="1"/>
    <xf numFmtId="0" fontId="0" fillId="13" borderId="14" xfId="0" applyFill="1" applyBorder="1"/>
    <xf numFmtId="0" fontId="2" fillId="13" borderId="13" xfId="0" applyFont="1" applyFill="1" applyBorder="1" applyAlignment="1">
      <alignment horizontal="left"/>
    </xf>
    <xf numFmtId="0" fontId="2" fillId="7" borderId="15" xfId="0" applyFont="1" applyFill="1" applyBorder="1" applyAlignment="1"/>
    <xf numFmtId="0" fontId="2" fillId="21" borderId="16" xfId="0" applyFont="1" applyFill="1" applyBorder="1" applyAlignment="1"/>
    <xf numFmtId="0" fontId="2" fillId="7" borderId="16" xfId="0" applyFont="1" applyFill="1" applyBorder="1" applyAlignment="1"/>
    <xf numFmtId="0" fontId="0" fillId="0" borderId="12" xfId="0" applyBorder="1"/>
    <xf numFmtId="0" fontId="0" fillId="5" borderId="0" xfId="0" applyFont="1" applyFill="1" applyBorder="1" applyAlignment="1"/>
    <xf numFmtId="164" fontId="2" fillId="18" borderId="0" xfId="0" applyNumberFormat="1" applyFont="1" applyFill="1" applyBorder="1"/>
    <xf numFmtId="0" fontId="2" fillId="5" borderId="14" xfId="0" applyFont="1" applyFill="1" applyBorder="1" applyAlignment="1"/>
    <xf numFmtId="0" fontId="0" fillId="0" borderId="0" xfId="0" applyFill="1" applyBorder="1"/>
    <xf numFmtId="0" fontId="0" fillId="7" borderId="0" xfId="0" applyFill="1" applyBorder="1"/>
    <xf numFmtId="0" fontId="0" fillId="5" borderId="0" xfId="0" applyFill="1" applyBorder="1"/>
    <xf numFmtId="0" fontId="0" fillId="0" borderId="0" xfId="0" applyBorder="1" applyAlignment="1"/>
    <xf numFmtId="0" fontId="0" fillId="0" borderId="8" xfId="0" applyBorder="1"/>
    <xf numFmtId="0" fontId="0" fillId="8" borderId="8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" xfId="0" applyFill="1" applyBorder="1"/>
    <xf numFmtId="0" fontId="0" fillId="7" borderId="20" xfId="0" applyFill="1" applyBorder="1"/>
    <xf numFmtId="0" fontId="0" fillId="7" borderId="9" xfId="0" applyFont="1" applyFill="1" applyBorder="1"/>
    <xf numFmtId="0" fontId="0" fillId="7" borderId="1" xfId="0" applyFont="1" applyFill="1" applyBorder="1"/>
    <xf numFmtId="0" fontId="0" fillId="7" borderId="20" xfId="0" applyFont="1" applyFill="1" applyBorder="1"/>
    <xf numFmtId="0" fontId="0" fillId="5" borderId="1" xfId="0" applyFill="1" applyBorder="1"/>
    <xf numFmtId="0" fontId="0" fillId="13" borderId="1" xfId="0" applyFill="1" applyBorder="1"/>
    <xf numFmtId="0" fontId="0" fillId="0" borderId="20" xfId="0" applyBorder="1"/>
    <xf numFmtId="0" fontId="0" fillId="0" borderId="22" xfId="0" applyBorder="1"/>
    <xf numFmtId="0" fontId="0" fillId="0" borderId="19" xfId="0" applyBorder="1"/>
    <xf numFmtId="0" fontId="0" fillId="4" borderId="2" xfId="0" applyFill="1" applyBorder="1"/>
    <xf numFmtId="0" fontId="0" fillId="0" borderId="2" xfId="0" applyFill="1" applyBorder="1"/>
    <xf numFmtId="0" fontId="3" fillId="5" borderId="18" xfId="0" applyFont="1" applyFill="1" applyBorder="1" applyAlignment="1"/>
    <xf numFmtId="0" fontId="0" fillId="5" borderId="19" xfId="0" applyFont="1" applyFill="1" applyBorder="1" applyAlignment="1"/>
    <xf numFmtId="0" fontId="3" fillId="5" borderId="7" xfId="0" applyFont="1" applyFill="1" applyBorder="1" applyAlignment="1"/>
    <xf numFmtId="0" fontId="0" fillId="5" borderId="8" xfId="0" applyFont="1" applyFill="1" applyBorder="1" applyAlignment="1"/>
    <xf numFmtId="0" fontId="3" fillId="5" borderId="9" xfId="0" applyFont="1" applyFill="1" applyBorder="1" applyAlignment="1"/>
    <xf numFmtId="0" fontId="0" fillId="5" borderId="20" xfId="0" applyFont="1" applyFill="1" applyBorder="1" applyAlignment="1"/>
    <xf numFmtId="0" fontId="6" fillId="27" borderId="0" xfId="0" applyFont="1" applyFill="1" applyBorder="1" applyAlignment="1"/>
    <xf numFmtId="0" fontId="6" fillId="28" borderId="14" xfId="0" applyFont="1" applyFill="1" applyBorder="1"/>
    <xf numFmtId="0" fontId="5" fillId="27" borderId="16" xfId="0" applyFont="1" applyFill="1" applyBorder="1" applyAlignment="1"/>
    <xf numFmtId="0" fontId="6" fillId="28" borderId="16" xfId="0" applyFont="1" applyFill="1" applyBorder="1"/>
    <xf numFmtId="0" fontId="0" fillId="0" borderId="0" xfId="0" applyFont="1" applyFill="1" applyBorder="1" applyAlignment="1"/>
    <xf numFmtId="0" fontId="0" fillId="0" borderId="22" xfId="0" applyFont="1" applyBorder="1" applyAlignment="1"/>
    <xf numFmtId="0" fontId="0" fillId="0" borderId="28" xfId="0" applyBorder="1"/>
    <xf numFmtId="0" fontId="0" fillId="0" borderId="29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30" xfId="0" applyBorder="1"/>
    <xf numFmtId="0" fontId="0" fillId="0" borderId="31" xfId="0" applyBorder="1" applyAlignment="1">
      <alignment horizontal="left"/>
    </xf>
    <xf numFmtId="0" fontId="0" fillId="0" borderId="22" xfId="0" applyBorder="1" applyAlignment="1">
      <alignment horizontal="right"/>
    </xf>
    <xf numFmtId="0" fontId="0" fillId="5" borderId="11" xfId="0" applyFont="1" applyFill="1" applyBorder="1" applyAlignment="1">
      <alignment horizontal="right"/>
    </xf>
    <xf numFmtId="0" fontId="2" fillId="5" borderId="11" xfId="0" applyFont="1" applyFill="1" applyBorder="1" applyAlignment="1"/>
    <xf numFmtId="0" fontId="2" fillId="5" borderId="0" xfId="0" applyFont="1" applyFill="1" applyBorder="1" applyAlignment="1">
      <alignment horizontal="center"/>
    </xf>
    <xf numFmtId="0" fontId="0" fillId="0" borderId="16" xfId="0" applyBorder="1"/>
    <xf numFmtId="0" fontId="0" fillId="24" borderId="16" xfId="0" applyFill="1" applyBorder="1"/>
    <xf numFmtId="0" fontId="3" fillId="0" borderId="14" xfId="0" applyFont="1" applyBorder="1" applyAlignment="1"/>
    <xf numFmtId="0" fontId="0" fillId="0" borderId="3" xfId="0" applyBorder="1"/>
    <xf numFmtId="0" fontId="0" fillId="0" borderId="4" xfId="0" applyBorder="1"/>
    <xf numFmtId="0" fontId="0" fillId="0" borderId="33" xfId="0" applyBorder="1"/>
    <xf numFmtId="0" fontId="0" fillId="0" borderId="5" xfId="0" applyBorder="1"/>
    <xf numFmtId="0" fontId="0" fillId="0" borderId="6" xfId="0" applyBorder="1"/>
    <xf numFmtId="0" fontId="0" fillId="0" borderId="34" xfId="0" applyBorder="1" applyAlignment="1"/>
    <xf numFmtId="0" fontId="0" fillId="8" borderId="19" xfId="0" applyFill="1" applyBorder="1"/>
    <xf numFmtId="0" fontId="0" fillId="7" borderId="7" xfId="0" applyFill="1" applyBorder="1"/>
    <xf numFmtId="0" fontId="0" fillId="5" borderId="7" xfId="0" applyFill="1" applyBorder="1"/>
    <xf numFmtId="0" fontId="0" fillId="5" borderId="8" xfId="0" applyFill="1" applyBorder="1"/>
    <xf numFmtId="0" fontId="0" fillId="8" borderId="18" xfId="0" applyFill="1" applyBorder="1"/>
    <xf numFmtId="0" fontId="0" fillId="8" borderId="22" xfId="0" applyFill="1" applyBorder="1"/>
    <xf numFmtId="0" fontId="1" fillId="10" borderId="18" xfId="0" applyFont="1" applyFill="1" applyBorder="1" applyAlignment="1">
      <alignment horizontal="left"/>
    </xf>
    <xf numFmtId="0" fontId="1" fillId="10" borderId="22" xfId="0" applyFont="1" applyFill="1" applyBorder="1" applyAlignment="1">
      <alignment horizontal="left"/>
    </xf>
    <xf numFmtId="0" fontId="1" fillId="10" borderId="19" xfId="0" applyFont="1" applyFill="1" applyBorder="1" applyAlignment="1">
      <alignment horizontal="left"/>
    </xf>
    <xf numFmtId="0" fontId="1" fillId="10" borderId="7" xfId="0" applyFont="1" applyFill="1" applyBorder="1" applyAlignment="1">
      <alignment horizontal="left"/>
    </xf>
    <xf numFmtId="0" fontId="1" fillId="10" borderId="0" xfId="0" applyFont="1" applyFill="1" applyBorder="1" applyAlignment="1">
      <alignment horizontal="left"/>
    </xf>
    <xf numFmtId="0" fontId="1" fillId="10" borderId="8" xfId="0" applyFont="1" applyFill="1" applyBorder="1" applyAlignment="1">
      <alignment horizontal="left"/>
    </xf>
    <xf numFmtId="0" fontId="0" fillId="8" borderId="18" xfId="0" applyFont="1" applyFill="1" applyBorder="1"/>
    <xf numFmtId="0" fontId="0" fillId="8" borderId="22" xfId="0" applyFont="1" applyFill="1" applyBorder="1"/>
    <xf numFmtId="0" fontId="0" fillId="8" borderId="19" xfId="0" applyFont="1" applyFill="1" applyBorder="1"/>
    <xf numFmtId="0" fontId="0" fillId="8" borderId="19" xfId="0" applyFill="1" applyBorder="1" applyAlignment="1">
      <alignment horizontal="left"/>
    </xf>
    <xf numFmtId="0" fontId="0" fillId="0" borderId="35" xfId="0" applyBorder="1" applyAlignment="1"/>
    <xf numFmtId="0" fontId="0" fillId="0" borderId="36" xfId="0" applyBorder="1" applyAlignment="1"/>
    <xf numFmtId="0" fontId="0" fillId="0" borderId="23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25" borderId="26" xfId="0" applyFill="1" applyBorder="1"/>
    <xf numFmtId="0" fontId="0" fillId="25" borderId="37" xfId="0" applyFill="1" applyBorder="1"/>
    <xf numFmtId="0" fontId="0" fillId="26" borderId="10" xfId="0" applyFill="1" applyBorder="1"/>
    <xf numFmtId="0" fontId="0" fillId="26" borderId="12" xfId="0" applyFill="1" applyBorder="1"/>
    <xf numFmtId="0" fontId="0" fillId="27" borderId="3" xfId="0" applyFill="1" applyBorder="1"/>
    <xf numFmtId="0" fontId="0" fillId="27" borderId="4" xfId="0" applyFill="1" applyBorder="1"/>
    <xf numFmtId="0" fontId="0" fillId="26" borderId="13" xfId="0" applyFill="1" applyBorder="1"/>
    <xf numFmtId="0" fontId="0" fillId="26" borderId="14" xfId="0" applyFill="1" applyBorder="1"/>
    <xf numFmtId="0" fontId="7" fillId="26" borderId="15" xfId="0" applyFont="1" applyFill="1" applyBorder="1"/>
    <xf numFmtId="0" fontId="0" fillId="26" borderId="17" xfId="0" applyFill="1" applyBorder="1"/>
    <xf numFmtId="0" fontId="0" fillId="26" borderId="37" xfId="0" applyFill="1" applyBorder="1"/>
    <xf numFmtId="0" fontId="0" fillId="26" borderId="26" xfId="0" applyFill="1" applyBorder="1"/>
    <xf numFmtId="165" fontId="0" fillId="26" borderId="37" xfId="0" applyNumberFormat="1" applyFill="1" applyBorder="1"/>
    <xf numFmtId="165" fontId="0" fillId="25" borderId="37" xfId="0" applyNumberFormat="1" applyFill="1" applyBorder="1"/>
    <xf numFmtId="0" fontId="7" fillId="26" borderId="26" xfId="0" applyFont="1" applyFill="1" applyBorder="1"/>
    <xf numFmtId="2" fontId="0" fillId="25" borderId="37" xfId="0" applyNumberFormat="1" applyFill="1" applyBorder="1"/>
    <xf numFmtId="11" fontId="0" fillId="0" borderId="0" xfId="0" applyNumberFormat="1"/>
    <xf numFmtId="0" fontId="0" fillId="0" borderId="0" xfId="0" applyAlignment="1"/>
    <xf numFmtId="166" fontId="0" fillId="26" borderId="37" xfId="0" applyNumberFormat="1" applyFill="1" applyBorder="1"/>
    <xf numFmtId="0" fontId="0" fillId="0" borderId="10" xfId="0" applyBorder="1"/>
    <xf numFmtId="0" fontId="0" fillId="0" borderId="43" xfId="0" applyBorder="1"/>
    <xf numFmtId="0" fontId="0" fillId="0" borderId="44" xfId="0" applyBorder="1"/>
    <xf numFmtId="0" fontId="0" fillId="0" borderId="21" xfId="0" applyBorder="1"/>
    <xf numFmtId="0" fontId="0" fillId="0" borderId="21" xfId="0" applyFill="1" applyBorder="1"/>
    <xf numFmtId="0" fontId="0" fillId="26" borderId="21" xfId="0" applyFill="1" applyBorder="1"/>
    <xf numFmtId="0" fontId="0" fillId="26" borderId="38" xfId="0" applyFill="1" applyBorder="1"/>
    <xf numFmtId="0" fontId="0" fillId="0" borderId="21" xfId="0" applyBorder="1" applyAlignment="1">
      <alignment horizontal="center"/>
    </xf>
    <xf numFmtId="165" fontId="0" fillId="26" borderId="21" xfId="0" applyNumberFormat="1" applyFill="1" applyBorder="1"/>
    <xf numFmtId="165" fontId="0" fillId="26" borderId="38" xfId="0" applyNumberFormat="1" applyFill="1" applyBorder="1"/>
    <xf numFmtId="0" fontId="0" fillId="0" borderId="2" xfId="0" applyBorder="1" applyAlignment="1">
      <alignment horizontal="center"/>
    </xf>
    <xf numFmtId="165" fontId="0" fillId="26" borderId="2" xfId="0" applyNumberFormat="1" applyFill="1" applyBorder="1"/>
    <xf numFmtId="165" fontId="0" fillId="26" borderId="40" xfId="0" applyNumberFormat="1" applyFill="1" applyBorder="1"/>
    <xf numFmtId="0" fontId="0" fillId="0" borderId="48" xfId="0" applyBorder="1"/>
    <xf numFmtId="0" fontId="0" fillId="0" borderId="48" xfId="0" applyBorder="1" applyAlignment="1">
      <alignment horizontal="center"/>
    </xf>
    <xf numFmtId="165" fontId="0" fillId="26" borderId="48" xfId="0" applyNumberFormat="1" applyFill="1" applyBorder="1"/>
    <xf numFmtId="165" fontId="0" fillId="26" borderId="42" xfId="0" applyNumberFormat="1" applyFill="1" applyBorder="1"/>
    <xf numFmtId="0" fontId="0" fillId="0" borderId="51" xfId="0" applyBorder="1"/>
    <xf numFmtId="0" fontId="0" fillId="7" borderId="52" xfId="0" applyFont="1" applyFill="1" applyBorder="1"/>
    <xf numFmtId="0" fontId="0" fillId="7" borderId="53" xfId="0" applyFont="1" applyFill="1" applyBorder="1"/>
    <xf numFmtId="0" fontId="0" fillId="3" borderId="54" xfId="0" applyFill="1" applyBorder="1"/>
    <xf numFmtId="0" fontId="0" fillId="0" borderId="55" xfId="0" applyBorder="1"/>
    <xf numFmtId="0" fontId="0" fillId="11" borderId="8" xfId="0" applyFill="1" applyBorder="1"/>
    <xf numFmtId="0" fontId="11" fillId="0" borderId="0" xfId="0" applyFont="1"/>
    <xf numFmtId="0" fontId="5" fillId="24" borderId="0" xfId="0" applyFont="1" applyFill="1"/>
    <xf numFmtId="0" fontId="0" fillId="24" borderId="0" xfId="0" applyFill="1"/>
    <xf numFmtId="0" fontId="5" fillId="7" borderId="0" xfId="0" applyFont="1" applyFill="1"/>
    <xf numFmtId="0" fontId="0" fillId="30" borderId="0" xfId="0" applyFill="1"/>
    <xf numFmtId="0" fontId="0" fillId="9" borderId="0" xfId="0" applyFill="1" applyBorder="1"/>
    <xf numFmtId="0" fontId="0" fillId="13" borderId="39" xfId="0" applyFill="1" applyBorder="1"/>
    <xf numFmtId="0" fontId="0" fillId="5" borderId="39" xfId="0" applyFill="1" applyBorder="1"/>
    <xf numFmtId="0" fontId="0" fillId="9" borderId="39" xfId="0" applyFill="1" applyBorder="1"/>
    <xf numFmtId="0" fontId="0" fillId="4" borderId="41" xfId="0" applyFill="1" applyBorder="1"/>
    <xf numFmtId="0" fontId="0" fillId="0" borderId="42" xfId="0" applyFill="1" applyBorder="1"/>
    <xf numFmtId="0" fontId="0" fillId="30" borderId="0" xfId="0" applyFill="1" applyBorder="1"/>
    <xf numFmtId="0" fontId="0" fillId="0" borderId="37" xfId="0" applyFill="1" applyBorder="1"/>
    <xf numFmtId="0" fontId="0" fillId="9" borderId="26" xfId="0" applyFill="1" applyBorder="1"/>
    <xf numFmtId="0" fontId="0" fillId="9" borderId="27" xfId="0" applyFill="1" applyBorder="1"/>
    <xf numFmtId="0" fontId="7" fillId="0" borderId="0" xfId="0" applyFont="1" applyFill="1" applyBorder="1"/>
    <xf numFmtId="0" fontId="0" fillId="5" borderId="26" xfId="0" applyFill="1" applyBorder="1"/>
    <xf numFmtId="0" fontId="0" fillId="5" borderId="37" xfId="0" applyFill="1" applyBorder="1"/>
    <xf numFmtId="0" fontId="0" fillId="5" borderId="23" xfId="0" applyFill="1" applyBorder="1"/>
    <xf numFmtId="0" fontId="0" fillId="5" borderId="38" xfId="0" applyFill="1" applyBorder="1"/>
    <xf numFmtId="0" fontId="0" fillId="5" borderId="40" xfId="0" applyFill="1" applyBorder="1"/>
    <xf numFmtId="0" fontId="0" fillId="5" borderId="41" xfId="0" applyFill="1" applyBorder="1"/>
    <xf numFmtId="0" fontId="0" fillId="5" borderId="42" xfId="0" applyFill="1" applyBorder="1"/>
    <xf numFmtId="0" fontId="0" fillId="26" borderId="39" xfId="0" applyFill="1" applyBorder="1"/>
    <xf numFmtId="0" fontId="0" fillId="27" borderId="41" xfId="0" applyFill="1" applyBorder="1"/>
    <xf numFmtId="0" fontId="0" fillId="13" borderId="23" xfId="0" applyFill="1" applyBorder="1"/>
    <xf numFmtId="0" fontId="0" fillId="13" borderId="38" xfId="0" applyFill="1" applyBorder="1"/>
    <xf numFmtId="0" fontId="0" fillId="13" borderId="40" xfId="0" applyFill="1" applyBorder="1"/>
    <xf numFmtId="0" fontId="0" fillId="13" borderId="41" xfId="0" applyFill="1" applyBorder="1"/>
    <xf numFmtId="0" fontId="0" fillId="13" borderId="42" xfId="0" applyFill="1" applyBorder="1"/>
    <xf numFmtId="0" fontId="0" fillId="5" borderId="13" xfId="0" applyFill="1" applyBorder="1"/>
    <xf numFmtId="0" fontId="0" fillId="9" borderId="13" xfId="0" applyFill="1" applyBorder="1"/>
    <xf numFmtId="0" fontId="4" fillId="0" borderId="0" xfId="0" applyFont="1" applyFill="1" applyBorder="1" applyAlignment="1">
      <alignment horizontal="center"/>
    </xf>
    <xf numFmtId="0" fontId="0" fillId="5" borderId="10" xfId="0" applyFill="1" applyBorder="1"/>
    <xf numFmtId="0" fontId="0" fillId="5" borderId="12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7" xfId="0" applyFill="1" applyBorder="1"/>
    <xf numFmtId="0" fontId="0" fillId="9" borderId="10" xfId="0" applyFill="1" applyBorder="1"/>
    <xf numFmtId="0" fontId="0" fillId="9" borderId="12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7" xfId="0" applyFill="1" applyBorder="1"/>
    <xf numFmtId="0" fontId="0" fillId="27" borderId="10" xfId="0" applyFill="1" applyBorder="1"/>
    <xf numFmtId="0" fontId="0" fillId="27" borderId="15" xfId="0" applyFill="1" applyBorder="1"/>
    <xf numFmtId="165" fontId="0" fillId="27" borderId="12" xfId="0" applyNumberFormat="1" applyFill="1" applyBorder="1"/>
    <xf numFmtId="165" fontId="0" fillId="27" borderId="17" xfId="0" applyNumberFormat="1" applyFill="1" applyBorder="1"/>
    <xf numFmtId="0" fontId="0" fillId="22" borderId="0" xfId="0" applyFill="1" applyAlignment="1"/>
    <xf numFmtId="0" fontId="1" fillId="1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8" xfId="0" applyFill="1" applyBorder="1" applyAlignment="1">
      <alignment horizontal="left"/>
    </xf>
    <xf numFmtId="0" fontId="0" fillId="8" borderId="22" xfId="0" applyFill="1" applyBorder="1" applyAlignment="1">
      <alignment horizontal="left"/>
    </xf>
    <xf numFmtId="0" fontId="0" fillId="8" borderId="7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16" borderId="10" xfId="0" applyFont="1" applyFill="1" applyBorder="1" applyAlignment="1">
      <alignment horizontal="center"/>
    </xf>
    <xf numFmtId="0" fontId="0" fillId="16" borderId="11" xfId="0" applyFont="1" applyFill="1" applyBorder="1" applyAlignment="1">
      <alignment horizontal="center"/>
    </xf>
    <xf numFmtId="0" fontId="0" fillId="16" borderId="32" xfId="0" applyFont="1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6" borderId="5" xfId="0" applyFont="1" applyFill="1" applyBorder="1" applyAlignment="1">
      <alignment horizontal="center"/>
    </xf>
    <xf numFmtId="0" fontId="0" fillId="4" borderId="25" xfId="0" applyFont="1" applyFill="1" applyBorder="1" applyAlignment="1">
      <alignment horizontal="center"/>
    </xf>
    <xf numFmtId="0" fontId="0" fillId="4" borderId="24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29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30" xfId="0" applyFont="1" applyFill="1" applyBorder="1" applyAlignment="1">
      <alignment horizontal="left"/>
    </xf>
    <xf numFmtId="0" fontId="0" fillId="29" borderId="0" xfId="0" applyFill="1" applyBorder="1" applyAlignment="1">
      <alignment horizontal="center"/>
    </xf>
    <xf numFmtId="0" fontId="0" fillId="31" borderId="0" xfId="0" applyFill="1" applyAlignment="1">
      <alignment horizontal="center"/>
    </xf>
    <xf numFmtId="0" fontId="10" fillId="27" borderId="0" xfId="1" applyFill="1" applyBorder="1" applyAlignment="1">
      <alignment horizontal="center"/>
    </xf>
    <xf numFmtId="0" fontId="1" fillId="12" borderId="45" xfId="0" applyFont="1" applyFill="1" applyBorder="1" applyAlignment="1">
      <alignment horizontal="center"/>
    </xf>
    <xf numFmtId="0" fontId="1" fillId="12" borderId="24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6" borderId="26" xfId="0" applyFill="1" applyBorder="1" applyAlignment="1">
      <alignment horizontal="center"/>
    </xf>
    <xf numFmtId="0" fontId="0" fillId="26" borderId="27" xfId="0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" fillId="12" borderId="23" xfId="0" applyFont="1" applyFill="1" applyBorder="1" applyAlignment="1">
      <alignment horizontal="center"/>
    </xf>
    <xf numFmtId="0" fontId="1" fillId="12" borderId="38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18" Type="http://schemas.openxmlformats.org/officeDocument/2006/relationships/image" Target="../media/image34.png"/><Relationship Id="rId3" Type="http://schemas.openxmlformats.org/officeDocument/2006/relationships/image" Target="../media/image20.png"/><Relationship Id="rId21" Type="http://schemas.openxmlformats.org/officeDocument/2006/relationships/image" Target="../media/image37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33.png"/><Relationship Id="rId2" Type="http://schemas.openxmlformats.org/officeDocument/2006/relationships/image" Target="../media/image1.png"/><Relationship Id="rId16" Type="http://schemas.openxmlformats.org/officeDocument/2006/relationships/image" Target="../media/image32.png"/><Relationship Id="rId20" Type="http://schemas.openxmlformats.org/officeDocument/2006/relationships/image" Target="../media/image36.png"/><Relationship Id="rId1" Type="http://schemas.openxmlformats.org/officeDocument/2006/relationships/image" Target="../media/image19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.png"/><Relationship Id="rId15" Type="http://schemas.openxmlformats.org/officeDocument/2006/relationships/image" Target="../media/image31.png"/><Relationship Id="rId23" Type="http://schemas.openxmlformats.org/officeDocument/2006/relationships/image" Target="../media/image39.png"/><Relationship Id="rId10" Type="http://schemas.openxmlformats.org/officeDocument/2006/relationships/image" Target="../media/image26.png"/><Relationship Id="rId19" Type="http://schemas.openxmlformats.org/officeDocument/2006/relationships/image" Target="../media/image35.png"/><Relationship Id="rId4" Type="http://schemas.openxmlformats.org/officeDocument/2006/relationships/image" Target="../media/image21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Relationship Id="rId22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9525</xdr:rowOff>
    </xdr:from>
    <xdr:to>
      <xdr:col>7</xdr:col>
      <xdr:colOff>334009</xdr:colOff>
      <xdr:row>50</xdr:row>
      <xdr:rowOff>115139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29025"/>
          <a:ext cx="4544059" cy="6011114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18</xdr:row>
      <xdr:rowOff>180975</xdr:rowOff>
    </xdr:from>
    <xdr:to>
      <xdr:col>15</xdr:col>
      <xdr:colOff>134059</xdr:colOff>
      <xdr:row>54</xdr:row>
      <xdr:rowOff>181932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9175" y="3609975"/>
          <a:ext cx="5077534" cy="68589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67236</xdr:colOff>
      <xdr:row>12</xdr:row>
      <xdr:rowOff>44823</xdr:rowOff>
    </xdr:from>
    <xdr:to>
      <xdr:col>20</xdr:col>
      <xdr:colOff>252332</xdr:colOff>
      <xdr:row>15</xdr:row>
      <xdr:rowOff>187798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67765" y="2353235"/>
          <a:ext cx="1428949" cy="714475"/>
        </a:xfrm>
        <a:prstGeom prst="rect">
          <a:avLst/>
        </a:prstGeom>
      </xdr:spPr>
    </xdr:pic>
    <xdr:clientData/>
  </xdr:twoCellAnchor>
  <xdr:twoCellAnchor editAs="oneCell">
    <xdr:from>
      <xdr:col>20</xdr:col>
      <xdr:colOff>504264</xdr:colOff>
      <xdr:row>0</xdr:row>
      <xdr:rowOff>0</xdr:rowOff>
    </xdr:from>
    <xdr:to>
      <xdr:col>29</xdr:col>
      <xdr:colOff>326265</xdr:colOff>
      <xdr:row>21</xdr:row>
      <xdr:rowOff>50998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48646" y="0"/>
          <a:ext cx="5268060" cy="4096322"/>
        </a:xfrm>
        <a:prstGeom prst="rect">
          <a:avLst/>
        </a:prstGeom>
      </xdr:spPr>
    </xdr:pic>
    <xdr:clientData/>
  </xdr:twoCellAnchor>
  <xdr:twoCellAnchor editAs="oneCell">
    <xdr:from>
      <xdr:col>15</xdr:col>
      <xdr:colOff>112058</xdr:colOff>
      <xdr:row>23</xdr:row>
      <xdr:rowOff>89647</xdr:rowOff>
    </xdr:from>
    <xdr:to>
      <xdr:col>17</xdr:col>
      <xdr:colOff>149825</xdr:colOff>
      <xdr:row>26</xdr:row>
      <xdr:rowOff>127832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92117" y="4515971"/>
          <a:ext cx="1629002" cy="609685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571500</xdr:colOff>
      <xdr:row>27</xdr:row>
      <xdr:rowOff>44824</xdr:rowOff>
    </xdr:from>
    <xdr:to>
      <xdr:col>24</xdr:col>
      <xdr:colOff>235650</xdr:colOff>
      <xdr:row>41</xdr:row>
      <xdr:rowOff>176886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746441" y="5233148"/>
          <a:ext cx="6354062" cy="2810267"/>
        </a:xfrm>
        <a:prstGeom prst="rect">
          <a:avLst/>
        </a:prstGeom>
      </xdr:spPr>
    </xdr:pic>
    <xdr:clientData/>
  </xdr:twoCellAnchor>
  <xdr:twoCellAnchor editAs="oneCell">
    <xdr:from>
      <xdr:col>18</xdr:col>
      <xdr:colOff>11205</xdr:colOff>
      <xdr:row>23</xdr:row>
      <xdr:rowOff>22412</xdr:rowOff>
    </xdr:from>
    <xdr:to>
      <xdr:col>19</xdr:col>
      <xdr:colOff>174911</xdr:colOff>
      <xdr:row>26</xdr:row>
      <xdr:rowOff>70123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11734" y="4448736"/>
          <a:ext cx="724001" cy="619211"/>
        </a:xfrm>
        <a:prstGeom prst="rect">
          <a:avLst/>
        </a:prstGeom>
      </xdr:spPr>
    </xdr:pic>
    <xdr:clientData/>
  </xdr:twoCellAnchor>
  <xdr:twoCellAnchor editAs="oneCell">
    <xdr:from>
      <xdr:col>18</xdr:col>
      <xdr:colOff>67236</xdr:colOff>
      <xdr:row>1</xdr:row>
      <xdr:rowOff>22412</xdr:rowOff>
    </xdr:from>
    <xdr:to>
      <xdr:col>20</xdr:col>
      <xdr:colOff>51912</xdr:colOff>
      <xdr:row>5</xdr:row>
      <xdr:rowOff>22411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67765" y="212912"/>
          <a:ext cx="1228529" cy="761999"/>
        </a:xfrm>
        <a:prstGeom prst="rect">
          <a:avLst/>
        </a:prstGeom>
      </xdr:spPr>
    </xdr:pic>
    <xdr:clientData/>
  </xdr:twoCellAnchor>
  <xdr:twoCellAnchor editAs="oneCell">
    <xdr:from>
      <xdr:col>3</xdr:col>
      <xdr:colOff>33618</xdr:colOff>
      <xdr:row>32</xdr:row>
      <xdr:rowOff>33618</xdr:rowOff>
    </xdr:from>
    <xdr:to>
      <xdr:col>12</xdr:col>
      <xdr:colOff>184580</xdr:colOff>
      <xdr:row>59</xdr:row>
      <xdr:rowOff>148652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26442" y="6185647"/>
          <a:ext cx="5753903" cy="5258534"/>
        </a:xfrm>
        <a:prstGeom prst="rect">
          <a:avLst/>
        </a:prstGeom>
      </xdr:spPr>
    </xdr:pic>
    <xdr:clientData/>
  </xdr:twoCellAnchor>
  <xdr:twoCellAnchor editAs="oneCell">
    <xdr:from>
      <xdr:col>3</xdr:col>
      <xdr:colOff>22411</xdr:colOff>
      <xdr:row>59</xdr:row>
      <xdr:rowOff>156883</xdr:rowOff>
    </xdr:from>
    <xdr:to>
      <xdr:col>12</xdr:col>
      <xdr:colOff>212911</xdr:colOff>
      <xdr:row>67</xdr:row>
      <xdr:rowOff>43037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15235" y="11452412"/>
          <a:ext cx="5793441" cy="14101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6</xdr:row>
      <xdr:rowOff>122270</xdr:rowOff>
    </xdr:from>
    <xdr:to>
      <xdr:col>23</xdr:col>
      <xdr:colOff>76199</xdr:colOff>
      <xdr:row>22</xdr:row>
      <xdr:rowOff>38721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05925" y="1274795"/>
          <a:ext cx="5372099" cy="29930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66675</xdr:colOff>
      <xdr:row>37</xdr:row>
      <xdr:rowOff>40140</xdr:rowOff>
    </xdr:from>
    <xdr:to>
      <xdr:col>16</xdr:col>
      <xdr:colOff>210323</xdr:colOff>
      <xdr:row>47</xdr:row>
      <xdr:rowOff>133350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7383915"/>
          <a:ext cx="3715523" cy="1998210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35</xdr:row>
      <xdr:rowOff>142875</xdr:rowOff>
    </xdr:from>
    <xdr:to>
      <xdr:col>9</xdr:col>
      <xdr:colOff>429436</xdr:colOff>
      <xdr:row>58</xdr:row>
      <xdr:rowOff>133960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" y="7105650"/>
          <a:ext cx="5811061" cy="4372585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27</xdr:row>
      <xdr:rowOff>163965</xdr:rowOff>
    </xdr:from>
    <xdr:to>
      <xdr:col>13</xdr:col>
      <xdr:colOff>66921</xdr:colOff>
      <xdr:row>32</xdr:row>
      <xdr:rowOff>40261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43625" y="5536065"/>
          <a:ext cx="1762371" cy="866896"/>
        </a:xfrm>
        <a:prstGeom prst="rect">
          <a:avLst/>
        </a:prstGeom>
      </xdr:spPr>
    </xdr:pic>
    <xdr:clientData/>
  </xdr:twoCellAnchor>
  <xdr:twoCellAnchor editAs="oneCell">
    <xdr:from>
      <xdr:col>9</xdr:col>
      <xdr:colOff>561975</xdr:colOff>
      <xdr:row>32</xdr:row>
      <xdr:rowOff>161925</xdr:rowOff>
    </xdr:from>
    <xdr:to>
      <xdr:col>13</xdr:col>
      <xdr:colOff>362250</xdr:colOff>
      <xdr:row>36</xdr:row>
      <xdr:rowOff>162035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48375" y="6524625"/>
          <a:ext cx="2152950" cy="790685"/>
        </a:xfrm>
        <a:prstGeom prst="rect">
          <a:avLst/>
        </a:prstGeom>
      </xdr:spPr>
    </xdr:pic>
    <xdr:clientData/>
  </xdr:twoCellAnchor>
  <xdr:twoCellAnchor editAs="oneCell">
    <xdr:from>
      <xdr:col>13</xdr:col>
      <xdr:colOff>523875</xdr:colOff>
      <xdr:row>28</xdr:row>
      <xdr:rowOff>9525</xdr:rowOff>
    </xdr:from>
    <xdr:to>
      <xdr:col>17</xdr:col>
      <xdr:colOff>466725</xdr:colOff>
      <xdr:row>36</xdr:row>
      <xdr:rowOff>69871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2950" y="5581650"/>
          <a:ext cx="2381250" cy="16414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476251</xdr:colOff>
      <xdr:row>0</xdr:row>
      <xdr:rowOff>19049</xdr:rowOff>
    </xdr:from>
    <xdr:to>
      <xdr:col>21</xdr:col>
      <xdr:colOff>584479</xdr:colOff>
      <xdr:row>13</xdr:row>
      <xdr:rowOff>123824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91551" y="19049"/>
          <a:ext cx="4985028" cy="2676525"/>
        </a:xfrm>
        <a:prstGeom prst="rect">
          <a:avLst/>
        </a:prstGeom>
      </xdr:spPr>
    </xdr:pic>
    <xdr:clientData/>
  </xdr:twoCellAnchor>
  <xdr:twoCellAnchor editAs="oneCell">
    <xdr:from>
      <xdr:col>13</xdr:col>
      <xdr:colOff>438150</xdr:colOff>
      <xdr:row>13</xdr:row>
      <xdr:rowOff>66475</xdr:rowOff>
    </xdr:from>
    <xdr:to>
      <xdr:col>21</xdr:col>
      <xdr:colOff>533399</xdr:colOff>
      <xdr:row>22</xdr:row>
      <xdr:rowOff>143248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3450" y="2619175"/>
          <a:ext cx="4972049" cy="187699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5</xdr:col>
      <xdr:colOff>429110</xdr:colOff>
      <xdr:row>20</xdr:row>
      <xdr:rowOff>67188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025"/>
          <a:ext cx="3477110" cy="3677163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0</xdr:row>
      <xdr:rowOff>47625</xdr:rowOff>
    </xdr:from>
    <xdr:to>
      <xdr:col>13</xdr:col>
      <xdr:colOff>57784</xdr:colOff>
      <xdr:row>31</xdr:row>
      <xdr:rowOff>153239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38525" y="47625"/>
          <a:ext cx="4544059" cy="601111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35</xdr:row>
      <xdr:rowOff>47625</xdr:rowOff>
    </xdr:from>
    <xdr:to>
      <xdr:col>2</xdr:col>
      <xdr:colOff>571745</xdr:colOff>
      <xdr:row>38</xdr:row>
      <xdr:rowOff>57231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" y="6715125"/>
          <a:ext cx="1752845" cy="581106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40</xdr:row>
      <xdr:rowOff>47625</xdr:rowOff>
    </xdr:from>
    <xdr:to>
      <xdr:col>2</xdr:col>
      <xdr:colOff>485989</xdr:colOff>
      <xdr:row>41</xdr:row>
      <xdr:rowOff>133389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450" y="7667625"/>
          <a:ext cx="1533739" cy="276264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0</xdr:row>
      <xdr:rowOff>38100</xdr:rowOff>
    </xdr:from>
    <xdr:to>
      <xdr:col>21</xdr:col>
      <xdr:colOff>210259</xdr:colOff>
      <xdr:row>36</xdr:row>
      <xdr:rowOff>39057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34325" y="38100"/>
          <a:ext cx="5077534" cy="6858957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45</xdr:row>
      <xdr:rowOff>9525</xdr:rowOff>
    </xdr:from>
    <xdr:to>
      <xdr:col>5</xdr:col>
      <xdr:colOff>505320</xdr:colOff>
      <xdr:row>48</xdr:row>
      <xdr:rowOff>85815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25" y="8582025"/>
          <a:ext cx="3543795" cy="64779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50</xdr:row>
      <xdr:rowOff>9525</xdr:rowOff>
    </xdr:from>
    <xdr:to>
      <xdr:col>3</xdr:col>
      <xdr:colOff>276517</xdr:colOff>
      <xdr:row>53</xdr:row>
      <xdr:rowOff>19131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9534525"/>
          <a:ext cx="2095792" cy="581106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45</xdr:row>
      <xdr:rowOff>9525</xdr:rowOff>
    </xdr:from>
    <xdr:to>
      <xdr:col>10</xdr:col>
      <xdr:colOff>124155</xdr:colOff>
      <xdr:row>53</xdr:row>
      <xdr:rowOff>66896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57625" y="8582025"/>
          <a:ext cx="2362530" cy="1581371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44</xdr:row>
      <xdr:rowOff>133350</xdr:rowOff>
    </xdr:from>
    <xdr:to>
      <xdr:col>15</xdr:col>
      <xdr:colOff>381476</xdr:colOff>
      <xdr:row>61</xdr:row>
      <xdr:rowOff>19486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15050" y="8515350"/>
          <a:ext cx="3410426" cy="3124636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55</xdr:row>
      <xdr:rowOff>0</xdr:rowOff>
    </xdr:from>
    <xdr:to>
      <xdr:col>2</xdr:col>
      <xdr:colOff>133536</xdr:colOff>
      <xdr:row>58</xdr:row>
      <xdr:rowOff>80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050" y="10477500"/>
          <a:ext cx="1333686" cy="57158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60</xdr:row>
      <xdr:rowOff>0</xdr:rowOff>
    </xdr:from>
    <xdr:to>
      <xdr:col>1</xdr:col>
      <xdr:colOff>419241</xdr:colOff>
      <xdr:row>62</xdr:row>
      <xdr:rowOff>162001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050" y="11430000"/>
          <a:ext cx="1009791" cy="54300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7</xdr:col>
      <xdr:colOff>229057</xdr:colOff>
      <xdr:row>74</xdr:row>
      <xdr:rowOff>76609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19200" y="11239500"/>
          <a:ext cx="3277057" cy="29341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1</xdr:col>
      <xdr:colOff>343033</xdr:colOff>
      <xdr:row>81</xdr:row>
      <xdr:rowOff>80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4859000"/>
          <a:ext cx="952633" cy="571580"/>
        </a:xfrm>
        <a:prstGeom prst="rect">
          <a:avLst/>
        </a:prstGeom>
      </xdr:spPr>
    </xdr:pic>
    <xdr:clientData/>
  </xdr:twoCellAnchor>
  <xdr:twoCellAnchor editAs="oneCell">
    <xdr:from>
      <xdr:col>3</xdr:col>
      <xdr:colOff>552450</xdr:colOff>
      <xdr:row>78</xdr:row>
      <xdr:rowOff>9525</xdr:rowOff>
    </xdr:from>
    <xdr:to>
      <xdr:col>6</xdr:col>
      <xdr:colOff>104968</xdr:colOff>
      <xdr:row>80</xdr:row>
      <xdr:rowOff>57210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81250" y="14868525"/>
          <a:ext cx="1381318" cy="42868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82</xdr:row>
      <xdr:rowOff>0</xdr:rowOff>
    </xdr:from>
    <xdr:to>
      <xdr:col>3</xdr:col>
      <xdr:colOff>181254</xdr:colOff>
      <xdr:row>85</xdr:row>
      <xdr:rowOff>9606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525" y="15621000"/>
          <a:ext cx="2000529" cy="58110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6</xdr:col>
      <xdr:colOff>66854</xdr:colOff>
      <xdr:row>84</xdr:row>
      <xdr:rowOff>28632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438400" y="15621000"/>
          <a:ext cx="1286054" cy="4096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10</xdr:col>
      <xdr:colOff>29430</xdr:colOff>
      <xdr:row>99</xdr:row>
      <xdr:rowOff>19372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6573500"/>
          <a:ext cx="6125430" cy="230537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7</xdr:col>
      <xdr:colOff>514350</xdr:colOff>
      <xdr:row>38</xdr:row>
      <xdr:rowOff>90533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438400" y="6667500"/>
          <a:ext cx="2343150" cy="662033"/>
        </a:xfrm>
        <a:prstGeom prst="rect">
          <a:avLst/>
        </a:prstGeom>
      </xdr:spPr>
    </xdr:pic>
    <xdr:clientData/>
  </xdr:twoCellAnchor>
  <xdr:twoCellAnchor editAs="oneCell">
    <xdr:from>
      <xdr:col>15</xdr:col>
      <xdr:colOff>24464</xdr:colOff>
      <xdr:row>35</xdr:row>
      <xdr:rowOff>181435</xdr:rowOff>
    </xdr:from>
    <xdr:to>
      <xdr:col>23</xdr:col>
      <xdr:colOff>209550</xdr:colOff>
      <xdr:row>46</xdr:row>
      <xdr:rowOff>57150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168464" y="6848935"/>
          <a:ext cx="5061886" cy="197121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40</xdr:row>
      <xdr:rowOff>38100</xdr:rowOff>
    </xdr:from>
    <xdr:to>
      <xdr:col>8</xdr:col>
      <xdr:colOff>105130</xdr:colOff>
      <xdr:row>42</xdr:row>
      <xdr:rowOff>114364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438400" y="7658100"/>
          <a:ext cx="2543530" cy="457264"/>
        </a:xfrm>
        <a:prstGeom prst="rect">
          <a:avLst/>
        </a:prstGeom>
      </xdr:spPr>
    </xdr:pic>
    <xdr:clientData/>
  </xdr:twoCellAnchor>
  <xdr:twoCellAnchor editAs="oneCell">
    <xdr:from>
      <xdr:col>8</xdr:col>
      <xdr:colOff>200025</xdr:colOff>
      <xdr:row>37</xdr:row>
      <xdr:rowOff>38100</xdr:rowOff>
    </xdr:from>
    <xdr:to>
      <xdr:col>15</xdr:col>
      <xdr:colOff>38673</xdr:colOff>
      <xdr:row>43</xdr:row>
      <xdr:rowOff>28733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076825" y="7086600"/>
          <a:ext cx="4105848" cy="1133633"/>
        </a:xfrm>
        <a:prstGeom prst="rect">
          <a:avLst/>
        </a:prstGeom>
      </xdr:spPr>
    </xdr:pic>
    <xdr:clientData/>
  </xdr:twoCellAnchor>
  <xdr:twoCellAnchor editAs="oneCell">
    <xdr:from>
      <xdr:col>15</xdr:col>
      <xdr:colOff>526677</xdr:colOff>
      <xdr:row>48</xdr:row>
      <xdr:rowOff>22412</xdr:rowOff>
    </xdr:from>
    <xdr:to>
      <xdr:col>25</xdr:col>
      <xdr:colOff>448510</xdr:colOff>
      <xdr:row>72</xdr:row>
      <xdr:rowOff>61155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603442" y="9166412"/>
          <a:ext cx="5973009" cy="4610743"/>
        </a:xfrm>
        <a:prstGeom prst="rect">
          <a:avLst/>
        </a:prstGeom>
      </xdr:spPr>
    </xdr:pic>
    <xdr:clientData/>
  </xdr:twoCellAnchor>
  <xdr:twoCellAnchor editAs="oneCell">
    <xdr:from>
      <xdr:col>16</xdr:col>
      <xdr:colOff>425823</xdr:colOff>
      <xdr:row>73</xdr:row>
      <xdr:rowOff>0</xdr:rowOff>
    </xdr:from>
    <xdr:to>
      <xdr:col>19</xdr:col>
      <xdr:colOff>372841</xdr:colOff>
      <xdr:row>75</xdr:row>
      <xdr:rowOff>171527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107705" y="13906500"/>
          <a:ext cx="1762371" cy="552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4"/>
  <sheetViews>
    <sheetView workbookViewId="0">
      <pane ySplit="1" topLeftCell="A2" activePane="bottomLeft" state="frozen"/>
      <selection pane="bottomLeft" activeCell="Q2" sqref="Q2:R6"/>
    </sheetView>
  </sheetViews>
  <sheetFormatPr defaultRowHeight="15" x14ac:dyDescent="0.25"/>
  <cols>
    <col min="2" max="2" width="12" bestFit="1" customWidth="1"/>
    <col min="3" max="3" width="7" customWidth="1"/>
    <col min="7" max="7" width="7.5703125" customWidth="1"/>
    <col min="9" max="9" width="11.7109375" bestFit="1" customWidth="1"/>
    <col min="10" max="10" width="12" bestFit="1" customWidth="1"/>
    <col min="14" max="14" width="11.7109375" bestFit="1" customWidth="1"/>
    <col min="15" max="15" width="11.42578125" customWidth="1"/>
    <col min="18" max="18" width="24.7109375" bestFit="1" customWidth="1"/>
  </cols>
  <sheetData>
    <row r="1" spans="1:18" x14ac:dyDescent="0.25">
      <c r="A1" s="235" t="s">
        <v>0</v>
      </c>
      <c r="B1" s="235"/>
      <c r="C1" s="235"/>
      <c r="D1" s="1"/>
      <c r="E1" s="235" t="s">
        <v>1</v>
      </c>
      <c r="F1" s="235"/>
      <c r="G1" s="235"/>
      <c r="H1" s="1"/>
      <c r="I1" s="235" t="s">
        <v>2</v>
      </c>
      <c r="J1" s="235"/>
      <c r="K1" s="235"/>
      <c r="L1" s="1"/>
      <c r="M1" s="235" t="s">
        <v>3</v>
      </c>
      <c r="N1" s="235"/>
      <c r="O1" s="235"/>
      <c r="P1" s="1"/>
    </row>
    <row r="2" spans="1:18" x14ac:dyDescent="0.25">
      <c r="D2" s="1"/>
      <c r="E2" t="s">
        <v>226</v>
      </c>
      <c r="F2">
        <f>B5/B6</f>
        <v>1.1578947368421053</v>
      </c>
      <c r="H2" s="1"/>
      <c r="L2" s="1"/>
      <c r="P2" s="1"/>
      <c r="Q2" s="16" t="s">
        <v>76</v>
      </c>
    </row>
    <row r="3" spans="1:18" x14ac:dyDescent="0.25">
      <c r="A3" s="235" t="s">
        <v>4</v>
      </c>
      <c r="B3" s="235"/>
      <c r="D3" s="1"/>
      <c r="E3" s="3" t="s">
        <v>5</v>
      </c>
      <c r="F3" s="3">
        <v>0.42599999999999999</v>
      </c>
      <c r="G3" t="s">
        <v>6</v>
      </c>
      <c r="H3" s="1"/>
      <c r="K3" s="4" t="s">
        <v>230</v>
      </c>
      <c r="L3" s="1"/>
      <c r="M3" s="182" t="s">
        <v>8</v>
      </c>
      <c r="N3" s="181">
        <f>K7*F7</f>
        <v>11.198730755549967</v>
      </c>
      <c r="O3" s="184" t="s">
        <v>9</v>
      </c>
      <c r="P3" s="183"/>
      <c r="Q3" s="12"/>
      <c r="R3" s="13" t="s">
        <v>130</v>
      </c>
    </row>
    <row r="4" spans="1:18" x14ac:dyDescent="0.25">
      <c r="D4" s="1"/>
      <c r="H4" s="1"/>
      <c r="I4" s="4" t="s">
        <v>231</v>
      </c>
      <c r="J4" s="4">
        <f>(0.352+0.648*SQRT(0.25+0.75*J11/J12))*J12/B11</f>
        <v>0.99999999999949296</v>
      </c>
      <c r="K4" s="4">
        <f>$J$9*J4</f>
        <v>0.99999999999950695</v>
      </c>
      <c r="L4" s="1"/>
      <c r="N4" s="180"/>
      <c r="P4" s="1"/>
      <c r="Q4" s="14"/>
      <c r="R4" s="13" t="s">
        <v>131</v>
      </c>
    </row>
    <row r="5" spans="1:18" x14ac:dyDescent="0.25">
      <c r="A5" s="3" t="s">
        <v>10</v>
      </c>
      <c r="B5" s="3">
        <f>11/8</f>
        <v>1.375</v>
      </c>
      <c r="C5" t="s">
        <v>11</v>
      </c>
      <c r="D5" s="1"/>
      <c r="E5" s="4" t="s">
        <v>12</v>
      </c>
      <c r="F5" s="4">
        <f>B11*PI()^2/(12*(1-B12^2))*(B7/B6)^2</f>
        <v>26.288100365143183</v>
      </c>
      <c r="G5" t="s">
        <v>9</v>
      </c>
      <c r="H5" s="1"/>
      <c r="I5" s="4" t="s">
        <v>232</v>
      </c>
      <c r="J5" s="4">
        <f>(0.5+0.5*SQRT(0.25+0.75*J11/J12))*J12/B11</f>
        <v>0.99999999999958455</v>
      </c>
      <c r="K5" s="4">
        <f>$J$9*J5</f>
        <v>0.99999999999959854</v>
      </c>
      <c r="L5" s="1"/>
      <c r="M5" s="2" t="s">
        <v>13</v>
      </c>
      <c r="N5" s="2">
        <f>N3-J17</f>
        <v>-5.0898215420147608E-8</v>
      </c>
      <c r="P5" s="1"/>
      <c r="Q5" s="15"/>
      <c r="R5" s="13" t="s">
        <v>77</v>
      </c>
    </row>
    <row r="6" spans="1:18" x14ac:dyDescent="0.25">
      <c r="A6" s="3" t="s">
        <v>14</v>
      </c>
      <c r="B6" s="3">
        <f>19/16</f>
        <v>1.1875</v>
      </c>
      <c r="C6" t="s">
        <v>11</v>
      </c>
      <c r="D6" s="1"/>
      <c r="H6" s="1"/>
      <c r="I6" s="4" t="s">
        <v>233</v>
      </c>
      <c r="J6" s="4">
        <f>(0.33+0.67*SQRT(0.25+0.75*J11/J12))*J12/B11</f>
        <v>0.99999999999947942</v>
      </c>
      <c r="K6" s="4">
        <f>$J$9*J6</f>
        <v>0.99999999999949341</v>
      </c>
      <c r="L6" s="1"/>
      <c r="P6" s="1"/>
      <c r="Q6" s="89"/>
      <c r="R6" s="90" t="s">
        <v>138</v>
      </c>
    </row>
    <row r="7" spans="1:18" x14ac:dyDescent="0.25">
      <c r="A7" s="3" t="s">
        <v>15</v>
      </c>
      <c r="B7" s="3">
        <f>1/16</f>
        <v>6.25E-2</v>
      </c>
      <c r="C7" t="s">
        <v>11</v>
      </c>
      <c r="D7" s="1"/>
      <c r="E7" s="4" t="s">
        <v>16</v>
      </c>
      <c r="F7" s="4">
        <f>F5*F3</f>
        <v>11.198730755550995</v>
      </c>
      <c r="G7" t="s">
        <v>9</v>
      </c>
      <c r="H7" s="1"/>
      <c r="I7" s="4" t="s">
        <v>234</v>
      </c>
      <c r="J7" s="4">
        <f>J12/B11</f>
        <v>0.9999999999998942</v>
      </c>
      <c r="K7" s="4">
        <f>$J$9*J7</f>
        <v>0.99999999999990818</v>
      </c>
      <c r="L7" s="1"/>
      <c r="M7" s="6" t="s">
        <v>72</v>
      </c>
      <c r="N7" s="6">
        <f>N3*B7</f>
        <v>0.69992067222187293</v>
      </c>
      <c r="O7" t="s">
        <v>17</v>
      </c>
      <c r="P7" s="1"/>
    </row>
    <row r="8" spans="1:18" x14ac:dyDescent="0.25">
      <c r="A8" s="5"/>
      <c r="B8" s="5"/>
      <c r="D8" s="1"/>
      <c r="H8" s="1"/>
      <c r="L8" s="1"/>
      <c r="P8" s="1"/>
    </row>
    <row r="9" spans="1:18" x14ac:dyDescent="0.25">
      <c r="A9" s="235" t="s">
        <v>19</v>
      </c>
      <c r="B9" s="235"/>
      <c r="D9" s="1"/>
      <c r="E9" s="4" t="s">
        <v>29</v>
      </c>
      <c r="F9" s="4">
        <f>F7*B7*B6</f>
        <v>0.83115579826355046</v>
      </c>
      <c r="G9" t="s">
        <v>30</v>
      </c>
      <c r="H9" s="1"/>
      <c r="I9" s="4" t="s">
        <v>229</v>
      </c>
      <c r="J9" s="4">
        <f>(1-B12^2)/(1-J13^2)</f>
        <v>1.000000000000014</v>
      </c>
      <c r="L9" s="1"/>
      <c r="M9" s="6" t="s">
        <v>71</v>
      </c>
      <c r="N9" s="6">
        <f>N7*B6</f>
        <v>0.83115579826347408</v>
      </c>
      <c r="O9" t="s">
        <v>73</v>
      </c>
      <c r="P9" s="1"/>
    </row>
    <row r="10" spans="1:18" x14ac:dyDescent="0.25">
      <c r="D10" s="1"/>
      <c r="H10" s="1"/>
      <c r="L10" s="1"/>
      <c r="P10" s="1"/>
    </row>
    <row r="11" spans="1:18" x14ac:dyDescent="0.25">
      <c r="A11" s="3" t="s">
        <v>22</v>
      </c>
      <c r="B11" s="3">
        <v>10500</v>
      </c>
      <c r="C11" t="s">
        <v>9</v>
      </c>
      <c r="D11" s="1"/>
      <c r="H11" s="1"/>
      <c r="I11" s="4" t="s">
        <v>18</v>
      </c>
      <c r="J11" s="4">
        <f>B11/(1+(3*B15/7)*((J17/B13)^(B15-1)))</f>
        <v>10499.999999981552</v>
      </c>
      <c r="K11" t="s">
        <v>9</v>
      </c>
      <c r="L11" s="1"/>
      <c r="M11" s="234" t="s">
        <v>137</v>
      </c>
      <c r="N11" s="234"/>
      <c r="O11" s="234"/>
      <c r="P11" s="1"/>
    </row>
    <row r="12" spans="1:18" x14ac:dyDescent="0.25">
      <c r="A12" s="3" t="s">
        <v>40</v>
      </c>
      <c r="B12" s="3">
        <v>0.3</v>
      </c>
      <c r="D12" s="1"/>
      <c r="H12" s="1"/>
      <c r="I12" s="4" t="s">
        <v>20</v>
      </c>
      <c r="J12" s="4">
        <f>B11/(1+(3/7)*((J17/B13)^(B15-1)))</f>
        <v>10499.999999998889</v>
      </c>
      <c r="K12" t="s">
        <v>9</v>
      </c>
      <c r="L12" s="1"/>
      <c r="M12" s="233" t="s">
        <v>133</v>
      </c>
      <c r="N12" s="233"/>
      <c r="O12" s="233"/>
      <c r="P12" s="1"/>
    </row>
    <row r="13" spans="1:18" x14ac:dyDescent="0.25">
      <c r="A13" s="3" t="s">
        <v>25</v>
      </c>
      <c r="B13" s="3">
        <v>72</v>
      </c>
      <c r="C13" t="s">
        <v>9</v>
      </c>
      <c r="D13" s="1"/>
      <c r="H13" s="1"/>
      <c r="I13" s="4" t="s">
        <v>21</v>
      </c>
      <c r="J13" s="4">
        <f>0.5-(J12/B11)*(0.5-B12)</f>
        <v>0.30000000000002114</v>
      </c>
      <c r="L13" s="1"/>
      <c r="M13" s="233" t="s">
        <v>134</v>
      </c>
      <c r="N13" s="233"/>
      <c r="O13" s="233"/>
      <c r="P13" s="1"/>
    </row>
    <row r="14" spans="1:18" x14ac:dyDescent="0.25">
      <c r="A14" s="3" t="s">
        <v>120</v>
      </c>
      <c r="B14" s="3">
        <v>70</v>
      </c>
      <c r="C14" t="s">
        <v>9</v>
      </c>
      <c r="D14" s="1"/>
      <c r="H14" s="1"/>
      <c r="I14" s="4" t="s">
        <v>23</v>
      </c>
      <c r="J14" s="4">
        <f>J12/(2*(1+B12))</f>
        <v>4038.4615384611106</v>
      </c>
      <c r="K14" t="s">
        <v>9</v>
      </c>
      <c r="L14" s="1"/>
      <c r="M14" s="233" t="s">
        <v>135</v>
      </c>
      <c r="N14" s="233"/>
      <c r="O14" s="233"/>
      <c r="P14" s="1"/>
    </row>
    <row r="15" spans="1:18" x14ac:dyDescent="0.25">
      <c r="A15" s="3" t="s">
        <v>26</v>
      </c>
      <c r="B15" s="3">
        <v>16.600000000000001</v>
      </c>
      <c r="D15" s="1"/>
      <c r="H15" s="1"/>
      <c r="L15" s="1"/>
      <c r="M15" s="233" t="s">
        <v>136</v>
      </c>
      <c r="N15" s="233"/>
      <c r="O15" s="233"/>
      <c r="P15" s="1"/>
    </row>
    <row r="16" spans="1:18" x14ac:dyDescent="0.25">
      <c r="A16" s="4" t="s">
        <v>28</v>
      </c>
      <c r="B16" s="4">
        <f>B11/(2*(1+B12))</f>
        <v>4038.4615384615381</v>
      </c>
      <c r="C16" t="s">
        <v>9</v>
      </c>
      <c r="D16" s="1"/>
      <c r="E16" s="11"/>
      <c r="H16" s="1"/>
      <c r="L16" s="1"/>
      <c r="P16" s="1"/>
    </row>
    <row r="17" spans="1:16" x14ac:dyDescent="0.25">
      <c r="D17" s="1"/>
      <c r="H17" s="1"/>
      <c r="I17" s="2" t="s">
        <v>27</v>
      </c>
      <c r="J17" s="2">
        <v>11.198730806448182</v>
      </c>
      <c r="K17" t="s">
        <v>9</v>
      </c>
      <c r="L17" s="1"/>
      <c r="P17" s="1"/>
    </row>
    <row r="18" spans="1:16" x14ac:dyDescent="0.25">
      <c r="A18" s="5"/>
      <c r="D18" s="1"/>
      <c r="H18" s="1"/>
      <c r="I18" s="4" t="s">
        <v>65</v>
      </c>
      <c r="J18" s="4">
        <f>J17*B7</f>
        <v>0.69992067540301139</v>
      </c>
      <c r="K18" t="s">
        <v>17</v>
      </c>
      <c r="L18" s="1"/>
      <c r="P18" s="1"/>
    </row>
    <row r="19" spans="1:16" x14ac:dyDescent="0.25">
      <c r="D19" s="1"/>
      <c r="H19" s="1"/>
      <c r="L19" s="1"/>
      <c r="P19" s="1"/>
    </row>
    <row r="20" spans="1:16" x14ac:dyDescent="0.25">
      <c r="D20" s="1"/>
      <c r="H20" s="1"/>
      <c r="L20" s="1"/>
      <c r="P20" s="1"/>
    </row>
    <row r="21" spans="1:16" x14ac:dyDescent="0.25">
      <c r="D21" s="1"/>
      <c r="H21" s="1"/>
      <c r="L21" s="1"/>
      <c r="P21" s="1"/>
    </row>
    <row r="22" spans="1:16" x14ac:dyDescent="0.25">
      <c r="D22" s="1"/>
      <c r="H22" s="1"/>
      <c r="L22" s="1"/>
      <c r="P22" s="1"/>
    </row>
    <row r="23" spans="1:16" x14ac:dyDescent="0.25">
      <c r="D23" s="1"/>
      <c r="H23" s="1"/>
      <c r="L23" s="1"/>
      <c r="P23" s="1"/>
    </row>
    <row r="24" spans="1:16" x14ac:dyDescent="0.25">
      <c r="D24" s="1"/>
      <c r="H24" s="1"/>
      <c r="L24" s="1"/>
      <c r="P24" s="1"/>
    </row>
    <row r="25" spans="1:16" x14ac:dyDescent="0.25">
      <c r="D25" s="1"/>
      <c r="H25" s="1"/>
      <c r="L25" s="1"/>
      <c r="P25" s="1"/>
    </row>
    <row r="26" spans="1:16" x14ac:dyDescent="0.25">
      <c r="D26" s="1"/>
      <c r="H26" s="1"/>
      <c r="L26" s="1"/>
      <c r="P26" s="1"/>
    </row>
    <row r="27" spans="1:16" x14ac:dyDescent="0.25">
      <c r="D27" s="1"/>
      <c r="H27" s="1"/>
      <c r="L27" s="1"/>
      <c r="P27" s="1"/>
    </row>
    <row r="28" spans="1:16" x14ac:dyDescent="0.25">
      <c r="D28" s="1"/>
      <c r="H28" s="1"/>
      <c r="L28" s="1"/>
      <c r="P28" s="1"/>
    </row>
    <row r="29" spans="1:16" x14ac:dyDescent="0.25">
      <c r="D29" s="1"/>
      <c r="H29" s="1"/>
      <c r="L29" s="1"/>
      <c r="P29" s="1"/>
    </row>
    <row r="30" spans="1:16" x14ac:dyDescent="0.25">
      <c r="D30" s="1"/>
      <c r="H30" s="1"/>
      <c r="L30" s="1"/>
      <c r="P30" s="1"/>
    </row>
    <row r="31" spans="1:16" x14ac:dyDescent="0.25">
      <c r="D31" s="1"/>
      <c r="H31" s="1"/>
      <c r="L31" s="1"/>
      <c r="P31" s="1"/>
    </row>
    <row r="32" spans="1:16" x14ac:dyDescent="0.25">
      <c r="D32" s="1"/>
      <c r="H32" s="1"/>
      <c r="L32" s="1"/>
      <c r="P32" s="1"/>
    </row>
    <row r="33" spans="4:16" x14ac:dyDescent="0.25">
      <c r="D33" s="1"/>
      <c r="H33" s="1"/>
      <c r="L33" s="1"/>
      <c r="P33" s="1"/>
    </row>
    <row r="34" spans="4:16" x14ac:dyDescent="0.25">
      <c r="D34" s="1"/>
      <c r="H34" s="1"/>
      <c r="L34" s="1"/>
      <c r="P34" s="1"/>
    </row>
    <row r="35" spans="4:16" x14ac:dyDescent="0.25">
      <c r="D35" s="1"/>
      <c r="H35" s="1"/>
      <c r="L35" s="1"/>
      <c r="P35" s="1"/>
    </row>
    <row r="36" spans="4:16" x14ac:dyDescent="0.25">
      <c r="D36" s="1"/>
      <c r="H36" s="1"/>
      <c r="L36" s="1"/>
      <c r="P36" s="1"/>
    </row>
    <row r="37" spans="4:16" x14ac:dyDescent="0.25">
      <c r="D37" s="1"/>
      <c r="H37" s="1"/>
      <c r="L37" s="1"/>
      <c r="P37" s="1"/>
    </row>
    <row r="38" spans="4:16" x14ac:dyDescent="0.25">
      <c r="D38" s="1"/>
      <c r="H38" s="1"/>
      <c r="L38" s="1"/>
      <c r="P38" s="1"/>
    </row>
    <row r="39" spans="4:16" x14ac:dyDescent="0.25">
      <c r="D39" s="1"/>
      <c r="H39" s="1"/>
      <c r="L39" s="1"/>
      <c r="P39" s="1"/>
    </row>
    <row r="40" spans="4:16" x14ac:dyDescent="0.25">
      <c r="D40" s="1"/>
      <c r="H40" s="1"/>
      <c r="L40" s="1"/>
      <c r="P40" s="1"/>
    </row>
    <row r="41" spans="4:16" x14ac:dyDescent="0.25">
      <c r="D41" s="1"/>
      <c r="H41" s="1"/>
      <c r="L41" s="1"/>
      <c r="P41" s="1"/>
    </row>
    <row r="42" spans="4:16" x14ac:dyDescent="0.25">
      <c r="D42" s="1"/>
      <c r="H42" s="1"/>
      <c r="L42" s="1"/>
      <c r="P42" s="1"/>
    </row>
    <row r="43" spans="4:16" x14ac:dyDescent="0.25">
      <c r="D43" s="1"/>
      <c r="H43" s="1"/>
      <c r="L43" s="1"/>
      <c r="P43" s="1"/>
    </row>
    <row r="44" spans="4:16" x14ac:dyDescent="0.25">
      <c r="D44" s="1"/>
      <c r="H44" s="1"/>
      <c r="L44" s="1"/>
      <c r="P44" s="1"/>
    </row>
    <row r="45" spans="4:16" x14ac:dyDescent="0.25">
      <c r="D45" s="1"/>
      <c r="H45" s="1"/>
      <c r="L45" s="1"/>
      <c r="P45" s="1"/>
    </row>
    <row r="46" spans="4:16" x14ac:dyDescent="0.25">
      <c r="D46" s="1"/>
      <c r="H46" s="1"/>
      <c r="L46" s="1"/>
      <c r="P46" s="1"/>
    </row>
    <row r="47" spans="4:16" x14ac:dyDescent="0.25">
      <c r="D47" s="1"/>
      <c r="H47" s="1"/>
      <c r="L47" s="1"/>
      <c r="P47" s="1"/>
    </row>
    <row r="48" spans="4:16" x14ac:dyDescent="0.25">
      <c r="D48" s="1"/>
      <c r="H48" s="1"/>
      <c r="L48" s="1"/>
      <c r="P48" s="1"/>
    </row>
    <row r="49" spans="4:16" x14ac:dyDescent="0.25">
      <c r="D49" s="1"/>
      <c r="H49" s="1"/>
      <c r="L49" s="1"/>
      <c r="P49" s="1"/>
    </row>
    <row r="50" spans="4:16" x14ac:dyDescent="0.25">
      <c r="D50" s="1"/>
      <c r="H50" s="1"/>
      <c r="L50" s="1"/>
      <c r="P50" s="1"/>
    </row>
    <row r="51" spans="4:16" x14ac:dyDescent="0.25">
      <c r="D51" s="1"/>
      <c r="H51" s="1"/>
      <c r="L51" s="1"/>
      <c r="P51" s="1"/>
    </row>
    <row r="52" spans="4:16" x14ac:dyDescent="0.25">
      <c r="D52" s="1"/>
      <c r="H52" s="1"/>
      <c r="L52" s="1"/>
      <c r="P52" s="1"/>
    </row>
    <row r="53" spans="4:16" x14ac:dyDescent="0.25">
      <c r="D53" s="1"/>
      <c r="H53" s="1"/>
      <c r="L53" s="1"/>
      <c r="P53" s="1"/>
    </row>
    <row r="54" spans="4:16" x14ac:dyDescent="0.25">
      <c r="D54" s="1"/>
      <c r="H54" s="1"/>
      <c r="L54" s="1"/>
      <c r="P54" s="1"/>
    </row>
    <row r="55" spans="4:16" x14ac:dyDescent="0.25">
      <c r="D55" s="1"/>
      <c r="H55" s="1"/>
      <c r="L55" s="1"/>
      <c r="P55" s="1"/>
    </row>
    <row r="56" spans="4:16" x14ac:dyDescent="0.25">
      <c r="D56" s="1"/>
      <c r="H56" s="1"/>
      <c r="L56" s="1"/>
      <c r="P56" s="1"/>
    </row>
    <row r="57" spans="4:16" x14ac:dyDescent="0.25">
      <c r="D57" s="1"/>
      <c r="H57" s="1"/>
      <c r="L57" s="1"/>
      <c r="P57" s="1"/>
    </row>
    <row r="58" spans="4:16" x14ac:dyDescent="0.25">
      <c r="D58" s="1"/>
      <c r="H58" s="1"/>
      <c r="L58" s="1"/>
      <c r="P58" s="1"/>
    </row>
    <row r="59" spans="4:16" x14ac:dyDescent="0.25">
      <c r="D59" s="1"/>
      <c r="H59" s="1"/>
      <c r="L59" s="1"/>
      <c r="P59" s="1"/>
    </row>
    <row r="60" spans="4:16" x14ac:dyDescent="0.25">
      <c r="D60" s="1"/>
      <c r="H60" s="1"/>
      <c r="L60" s="1"/>
      <c r="P60" s="1"/>
    </row>
    <row r="61" spans="4:16" x14ac:dyDescent="0.25">
      <c r="D61" s="1"/>
      <c r="H61" s="1"/>
      <c r="L61" s="1"/>
      <c r="P61" s="1"/>
    </row>
    <row r="62" spans="4:16" x14ac:dyDescent="0.25">
      <c r="D62" s="1"/>
      <c r="H62" s="1"/>
      <c r="L62" s="1"/>
      <c r="P62" s="1"/>
    </row>
    <row r="63" spans="4:16" x14ac:dyDescent="0.25">
      <c r="D63" s="1"/>
      <c r="H63" s="1"/>
      <c r="L63" s="1"/>
      <c r="P63" s="1"/>
    </row>
    <row r="64" spans="4:16" x14ac:dyDescent="0.25">
      <c r="D64" s="1"/>
      <c r="H64" s="1"/>
      <c r="L64" s="1"/>
      <c r="P64" s="1"/>
    </row>
    <row r="65" spans="4:16" x14ac:dyDescent="0.25">
      <c r="D65" s="1"/>
      <c r="H65" s="1"/>
      <c r="L65" s="1"/>
      <c r="P65" s="1"/>
    </row>
    <row r="66" spans="4:16" x14ac:dyDescent="0.25">
      <c r="D66" s="1"/>
      <c r="H66" s="1"/>
      <c r="L66" s="1"/>
      <c r="P66" s="1"/>
    </row>
    <row r="67" spans="4:16" x14ac:dyDescent="0.25">
      <c r="D67" s="1"/>
      <c r="H67" s="1"/>
      <c r="L67" s="1"/>
      <c r="P67" s="1"/>
    </row>
    <row r="68" spans="4:16" x14ac:dyDescent="0.25">
      <c r="D68" s="1"/>
      <c r="H68" s="1"/>
      <c r="L68" s="1"/>
      <c r="P68" s="1"/>
    </row>
    <row r="69" spans="4:16" x14ac:dyDescent="0.25">
      <c r="D69" s="1"/>
      <c r="H69" s="1"/>
      <c r="L69" s="1"/>
      <c r="P69" s="1"/>
    </row>
    <row r="70" spans="4:16" x14ac:dyDescent="0.25">
      <c r="D70" s="1"/>
      <c r="H70" s="1"/>
      <c r="L70" s="1"/>
      <c r="P70" s="1"/>
    </row>
    <row r="71" spans="4:16" x14ac:dyDescent="0.25">
      <c r="D71" s="1"/>
      <c r="H71" s="1"/>
      <c r="L71" s="1"/>
      <c r="P71" s="1"/>
    </row>
    <row r="72" spans="4:16" x14ac:dyDescent="0.25">
      <c r="D72" s="1"/>
      <c r="H72" s="1"/>
      <c r="L72" s="1"/>
      <c r="P72" s="1"/>
    </row>
    <row r="73" spans="4:16" x14ac:dyDescent="0.25">
      <c r="D73" s="1"/>
      <c r="H73" s="1"/>
      <c r="L73" s="1"/>
      <c r="P73" s="1"/>
    </row>
    <row r="74" spans="4:16" x14ac:dyDescent="0.25">
      <c r="D74" s="1"/>
      <c r="H74" s="1"/>
      <c r="L74" s="1"/>
      <c r="P74" s="1"/>
    </row>
    <row r="75" spans="4:16" x14ac:dyDescent="0.25">
      <c r="D75" s="1"/>
      <c r="H75" s="1"/>
      <c r="L75" s="1"/>
      <c r="P75" s="1"/>
    </row>
    <row r="76" spans="4:16" x14ac:dyDescent="0.25">
      <c r="D76" s="1"/>
      <c r="H76" s="1"/>
      <c r="L76" s="1"/>
      <c r="P76" s="1"/>
    </row>
    <row r="77" spans="4:16" x14ac:dyDescent="0.25">
      <c r="D77" s="1"/>
      <c r="H77" s="1"/>
      <c r="L77" s="1"/>
      <c r="P77" s="1"/>
    </row>
    <row r="78" spans="4:16" x14ac:dyDescent="0.25">
      <c r="D78" s="1"/>
      <c r="H78" s="1"/>
      <c r="L78" s="1"/>
      <c r="P78" s="1"/>
    </row>
    <row r="79" spans="4:16" x14ac:dyDescent="0.25">
      <c r="D79" s="1"/>
      <c r="H79" s="1"/>
      <c r="L79" s="1"/>
      <c r="P79" s="1"/>
    </row>
    <row r="80" spans="4:16" x14ac:dyDescent="0.25">
      <c r="D80" s="1"/>
      <c r="H80" s="1"/>
      <c r="L80" s="1"/>
      <c r="P80" s="1"/>
    </row>
    <row r="81" spans="4:16" x14ac:dyDescent="0.25">
      <c r="D81" s="1"/>
      <c r="H81" s="1"/>
      <c r="L81" s="1"/>
      <c r="P81" s="1"/>
    </row>
    <row r="82" spans="4:16" x14ac:dyDescent="0.25">
      <c r="D82" s="1"/>
      <c r="H82" s="1"/>
      <c r="L82" s="1"/>
      <c r="P82" s="1"/>
    </row>
    <row r="83" spans="4:16" x14ac:dyDescent="0.25">
      <c r="D83" s="1"/>
      <c r="H83" s="1"/>
      <c r="L83" s="1"/>
      <c r="P83" s="1"/>
    </row>
    <row r="84" spans="4:16" x14ac:dyDescent="0.25">
      <c r="D84" s="1"/>
      <c r="H84" s="1"/>
      <c r="L84" s="1"/>
      <c r="P84" s="1"/>
    </row>
    <row r="85" spans="4:16" x14ac:dyDescent="0.25">
      <c r="D85" s="1"/>
      <c r="H85" s="1"/>
      <c r="L85" s="1"/>
      <c r="P85" s="1"/>
    </row>
    <row r="86" spans="4:16" x14ac:dyDescent="0.25">
      <c r="D86" s="1"/>
      <c r="H86" s="1"/>
      <c r="L86" s="1"/>
      <c r="P86" s="1"/>
    </row>
    <row r="87" spans="4:16" x14ac:dyDescent="0.25">
      <c r="D87" s="1"/>
      <c r="H87" s="1"/>
      <c r="L87" s="1"/>
      <c r="P87" s="1"/>
    </row>
    <row r="88" spans="4:16" x14ac:dyDescent="0.25">
      <c r="D88" s="1"/>
      <c r="H88" s="1"/>
      <c r="L88" s="1"/>
      <c r="P88" s="1"/>
    </row>
    <row r="89" spans="4:16" x14ac:dyDescent="0.25">
      <c r="D89" s="1"/>
      <c r="H89" s="1"/>
      <c r="L89" s="1"/>
      <c r="P89" s="1"/>
    </row>
    <row r="90" spans="4:16" x14ac:dyDescent="0.25">
      <c r="D90" s="1"/>
      <c r="H90" s="1"/>
      <c r="L90" s="1"/>
      <c r="P90" s="1"/>
    </row>
    <row r="91" spans="4:16" x14ac:dyDescent="0.25">
      <c r="D91" s="1"/>
      <c r="H91" s="1"/>
      <c r="L91" s="1"/>
      <c r="P91" s="1"/>
    </row>
    <row r="92" spans="4:16" x14ac:dyDescent="0.25">
      <c r="D92" s="1"/>
      <c r="H92" s="1"/>
      <c r="L92" s="1"/>
      <c r="P92" s="1"/>
    </row>
    <row r="93" spans="4:16" x14ac:dyDescent="0.25">
      <c r="D93" s="1"/>
      <c r="H93" s="1"/>
      <c r="L93" s="1"/>
      <c r="P93" s="1"/>
    </row>
    <row r="94" spans="4:16" x14ac:dyDescent="0.25">
      <c r="D94" s="1"/>
      <c r="H94" s="1"/>
      <c r="L94" s="1"/>
      <c r="P94" s="1"/>
    </row>
    <row r="95" spans="4:16" x14ac:dyDescent="0.25">
      <c r="D95" s="1"/>
      <c r="H95" s="1"/>
      <c r="L95" s="1"/>
      <c r="P95" s="1"/>
    </row>
    <row r="96" spans="4:16" x14ac:dyDescent="0.25">
      <c r="D96" s="1"/>
      <c r="H96" s="1"/>
      <c r="L96" s="1"/>
      <c r="P96" s="1"/>
    </row>
    <row r="97" spans="4:16" x14ac:dyDescent="0.25">
      <c r="D97" s="1"/>
      <c r="H97" s="1"/>
      <c r="L97" s="1"/>
      <c r="P97" s="1"/>
    </row>
    <row r="98" spans="4:16" x14ac:dyDescent="0.25">
      <c r="D98" s="1"/>
      <c r="H98" s="1"/>
      <c r="L98" s="1"/>
      <c r="P98" s="1"/>
    </row>
    <row r="99" spans="4:16" x14ac:dyDescent="0.25">
      <c r="D99" s="1"/>
      <c r="H99" s="1"/>
      <c r="L99" s="1"/>
      <c r="P99" s="1"/>
    </row>
    <row r="100" spans="4:16" x14ac:dyDescent="0.25">
      <c r="D100" s="1"/>
      <c r="H100" s="1"/>
      <c r="L100" s="1"/>
      <c r="P100" s="1"/>
    </row>
    <row r="101" spans="4:16" x14ac:dyDescent="0.25">
      <c r="D101" s="1"/>
      <c r="H101" s="1"/>
      <c r="L101" s="1"/>
      <c r="P101" s="1"/>
    </row>
    <row r="102" spans="4:16" x14ac:dyDescent="0.25">
      <c r="D102" s="1"/>
      <c r="H102" s="1"/>
      <c r="L102" s="1"/>
      <c r="P102" s="1"/>
    </row>
    <row r="103" spans="4:16" x14ac:dyDescent="0.25">
      <c r="D103" s="1"/>
      <c r="H103" s="1"/>
      <c r="L103" s="1"/>
      <c r="P103" s="1"/>
    </row>
    <row r="104" spans="4:16" x14ac:dyDescent="0.25">
      <c r="D104" s="1"/>
      <c r="H104" s="1"/>
      <c r="L104" s="1"/>
      <c r="P104" s="1"/>
    </row>
    <row r="105" spans="4:16" x14ac:dyDescent="0.25">
      <c r="D105" s="1"/>
      <c r="H105" s="1"/>
      <c r="L105" s="1"/>
      <c r="P105" s="1"/>
    </row>
    <row r="106" spans="4:16" x14ac:dyDescent="0.25">
      <c r="D106" s="1"/>
      <c r="H106" s="1"/>
      <c r="L106" s="1"/>
      <c r="P106" s="1"/>
    </row>
    <row r="107" spans="4:16" x14ac:dyDescent="0.25">
      <c r="D107" s="1"/>
      <c r="H107" s="1"/>
      <c r="L107" s="1"/>
      <c r="P107" s="1"/>
    </row>
    <row r="108" spans="4:16" x14ac:dyDescent="0.25">
      <c r="D108" s="1"/>
      <c r="H108" s="1"/>
      <c r="L108" s="1"/>
      <c r="P108" s="1"/>
    </row>
    <row r="109" spans="4:16" x14ac:dyDescent="0.25">
      <c r="D109" s="1"/>
      <c r="H109" s="1"/>
      <c r="L109" s="1"/>
      <c r="P109" s="1"/>
    </row>
    <row r="110" spans="4:16" x14ac:dyDescent="0.25">
      <c r="D110" s="1"/>
      <c r="H110" s="1"/>
      <c r="L110" s="1"/>
      <c r="P110" s="1"/>
    </row>
    <row r="111" spans="4:16" x14ac:dyDescent="0.25">
      <c r="D111" s="1"/>
      <c r="H111" s="1"/>
      <c r="L111" s="1"/>
      <c r="P111" s="1"/>
    </row>
    <row r="112" spans="4:16" x14ac:dyDescent="0.25">
      <c r="D112" s="1"/>
      <c r="H112" s="1"/>
      <c r="L112" s="1"/>
      <c r="P112" s="1"/>
    </row>
    <row r="113" spans="4:16" x14ac:dyDescent="0.25">
      <c r="D113" s="1"/>
      <c r="H113" s="1"/>
      <c r="L113" s="1"/>
      <c r="P113" s="1"/>
    </row>
    <row r="114" spans="4:16" x14ac:dyDescent="0.25">
      <c r="D114" s="1"/>
      <c r="H114" s="1"/>
      <c r="L114" s="1"/>
      <c r="P114" s="1"/>
    </row>
    <row r="115" spans="4:16" x14ac:dyDescent="0.25">
      <c r="D115" s="1"/>
      <c r="H115" s="1"/>
      <c r="L115" s="1"/>
      <c r="P115" s="1"/>
    </row>
    <row r="116" spans="4:16" x14ac:dyDescent="0.25">
      <c r="D116" s="1"/>
      <c r="H116" s="1"/>
      <c r="L116" s="1"/>
      <c r="P116" s="1"/>
    </row>
    <row r="117" spans="4:16" x14ac:dyDescent="0.25">
      <c r="D117" s="1"/>
      <c r="H117" s="1"/>
      <c r="L117" s="1"/>
      <c r="P117" s="1"/>
    </row>
    <row r="118" spans="4:16" x14ac:dyDescent="0.25">
      <c r="D118" s="1"/>
      <c r="H118" s="1"/>
      <c r="L118" s="1"/>
      <c r="P118" s="1"/>
    </row>
    <row r="119" spans="4:16" x14ac:dyDescent="0.25">
      <c r="D119" s="1"/>
      <c r="H119" s="1"/>
      <c r="L119" s="1"/>
      <c r="P119" s="1"/>
    </row>
    <row r="120" spans="4:16" x14ac:dyDescent="0.25">
      <c r="D120" s="1"/>
      <c r="H120" s="1"/>
      <c r="L120" s="1"/>
      <c r="P120" s="1"/>
    </row>
    <row r="121" spans="4:16" x14ac:dyDescent="0.25">
      <c r="D121" s="1"/>
      <c r="H121" s="1"/>
      <c r="L121" s="1"/>
      <c r="P121" s="1"/>
    </row>
    <row r="122" spans="4:16" x14ac:dyDescent="0.25">
      <c r="D122" s="1"/>
      <c r="H122" s="1"/>
      <c r="L122" s="1"/>
      <c r="P122" s="1"/>
    </row>
    <row r="123" spans="4:16" x14ac:dyDescent="0.25">
      <c r="D123" s="1"/>
      <c r="H123" s="1"/>
      <c r="L123" s="1"/>
      <c r="P123" s="1"/>
    </row>
    <row r="124" spans="4:16" x14ac:dyDescent="0.25">
      <c r="D124" s="1"/>
      <c r="H124" s="1"/>
      <c r="L124" s="1"/>
      <c r="P124" s="1"/>
    </row>
    <row r="125" spans="4:16" x14ac:dyDescent="0.25">
      <c r="D125" s="1"/>
      <c r="H125" s="1"/>
      <c r="L125" s="1"/>
      <c r="P125" s="1"/>
    </row>
    <row r="126" spans="4:16" x14ac:dyDescent="0.25">
      <c r="D126" s="1"/>
      <c r="H126" s="1"/>
      <c r="L126" s="1"/>
      <c r="P126" s="1"/>
    </row>
    <row r="127" spans="4:16" x14ac:dyDescent="0.25">
      <c r="D127" s="1"/>
      <c r="H127" s="1"/>
      <c r="L127" s="1"/>
      <c r="P127" s="1"/>
    </row>
    <row r="128" spans="4:16" x14ac:dyDescent="0.25">
      <c r="D128" s="1"/>
      <c r="H128" s="1"/>
      <c r="L128" s="1"/>
      <c r="P128" s="1"/>
    </row>
    <row r="129" spans="4:16" x14ac:dyDescent="0.25">
      <c r="D129" s="1"/>
      <c r="H129" s="1"/>
      <c r="L129" s="1"/>
      <c r="P129" s="1"/>
    </row>
    <row r="130" spans="4:16" x14ac:dyDescent="0.25">
      <c r="D130" s="1"/>
      <c r="H130" s="1"/>
      <c r="L130" s="1"/>
      <c r="P130" s="1"/>
    </row>
    <row r="131" spans="4:16" x14ac:dyDescent="0.25">
      <c r="D131" s="1"/>
      <c r="H131" s="1"/>
      <c r="L131" s="1"/>
      <c r="P131" s="1"/>
    </row>
    <row r="132" spans="4:16" x14ac:dyDescent="0.25">
      <c r="D132" s="1"/>
      <c r="H132" s="1"/>
      <c r="L132" s="1"/>
      <c r="P132" s="1"/>
    </row>
    <row r="133" spans="4:16" x14ac:dyDescent="0.25">
      <c r="D133" s="1"/>
      <c r="H133" s="1"/>
      <c r="L133" s="1"/>
      <c r="P133" s="1"/>
    </row>
    <row r="134" spans="4:16" x14ac:dyDescent="0.25">
      <c r="D134" s="1"/>
      <c r="H134" s="1"/>
      <c r="L134" s="1"/>
      <c r="P134" s="1"/>
    </row>
    <row r="135" spans="4:16" x14ac:dyDescent="0.25">
      <c r="D135" s="1"/>
      <c r="H135" s="1"/>
      <c r="L135" s="1"/>
      <c r="P135" s="1"/>
    </row>
    <row r="136" spans="4:16" x14ac:dyDescent="0.25">
      <c r="D136" s="1"/>
      <c r="H136" s="1"/>
      <c r="L136" s="1"/>
      <c r="P136" s="1"/>
    </row>
    <row r="137" spans="4:16" x14ac:dyDescent="0.25">
      <c r="D137" s="1"/>
      <c r="H137" s="1"/>
      <c r="L137" s="1"/>
      <c r="P137" s="1"/>
    </row>
    <row r="138" spans="4:16" x14ac:dyDescent="0.25">
      <c r="D138" s="1"/>
      <c r="H138" s="1"/>
      <c r="L138" s="1"/>
      <c r="P138" s="1"/>
    </row>
    <row r="139" spans="4:16" x14ac:dyDescent="0.25">
      <c r="D139" s="1"/>
      <c r="H139" s="1"/>
      <c r="L139" s="1"/>
      <c r="P139" s="1"/>
    </row>
    <row r="140" spans="4:16" x14ac:dyDescent="0.25">
      <c r="D140" s="1"/>
      <c r="H140" s="1"/>
      <c r="L140" s="1"/>
      <c r="P140" s="1"/>
    </row>
    <row r="141" spans="4:16" x14ac:dyDescent="0.25">
      <c r="D141" s="1"/>
      <c r="H141" s="1"/>
      <c r="L141" s="1"/>
      <c r="P141" s="1"/>
    </row>
    <row r="142" spans="4:16" x14ac:dyDescent="0.25">
      <c r="D142" s="1"/>
      <c r="H142" s="1"/>
      <c r="L142" s="1"/>
      <c r="P142" s="1"/>
    </row>
    <row r="143" spans="4:16" x14ac:dyDescent="0.25">
      <c r="D143" s="1"/>
      <c r="H143" s="1"/>
      <c r="L143" s="1"/>
      <c r="P143" s="1"/>
    </row>
    <row r="144" spans="4:16" x14ac:dyDescent="0.25">
      <c r="D144" s="1"/>
      <c r="H144" s="1"/>
      <c r="L144" s="1"/>
      <c r="P144" s="1"/>
    </row>
    <row r="145" spans="4:16" x14ac:dyDescent="0.25">
      <c r="D145" s="1"/>
      <c r="H145" s="1"/>
      <c r="L145" s="1"/>
      <c r="P145" s="1"/>
    </row>
    <row r="146" spans="4:16" x14ac:dyDescent="0.25">
      <c r="D146" s="1"/>
      <c r="H146" s="1"/>
      <c r="L146" s="1"/>
      <c r="P146" s="1"/>
    </row>
    <row r="147" spans="4:16" x14ac:dyDescent="0.25">
      <c r="D147" s="1"/>
      <c r="H147" s="1"/>
      <c r="L147" s="1"/>
      <c r="P147" s="1"/>
    </row>
    <row r="148" spans="4:16" x14ac:dyDescent="0.25">
      <c r="D148" s="1"/>
      <c r="H148" s="1"/>
      <c r="L148" s="1"/>
      <c r="P148" s="1"/>
    </row>
    <row r="149" spans="4:16" x14ac:dyDescent="0.25">
      <c r="D149" s="1"/>
      <c r="H149" s="1"/>
      <c r="L149" s="1"/>
      <c r="P149" s="1"/>
    </row>
    <row r="150" spans="4:16" x14ac:dyDescent="0.25">
      <c r="D150" s="1"/>
      <c r="H150" s="1"/>
      <c r="L150" s="1"/>
      <c r="P150" s="1"/>
    </row>
    <row r="151" spans="4:16" x14ac:dyDescent="0.25">
      <c r="D151" s="1"/>
      <c r="H151" s="1"/>
      <c r="L151" s="1"/>
      <c r="P151" s="1"/>
    </row>
    <row r="152" spans="4:16" x14ac:dyDescent="0.25">
      <c r="D152" s="1"/>
      <c r="H152" s="1"/>
      <c r="L152" s="1"/>
      <c r="P152" s="1"/>
    </row>
    <row r="153" spans="4:16" x14ac:dyDescent="0.25">
      <c r="D153" s="1"/>
      <c r="H153" s="1"/>
      <c r="L153" s="1"/>
      <c r="P153" s="1"/>
    </row>
    <row r="154" spans="4:16" x14ac:dyDescent="0.25">
      <c r="D154" s="1"/>
      <c r="H154" s="1"/>
      <c r="L154" s="1"/>
      <c r="P154" s="1"/>
    </row>
  </sheetData>
  <mergeCells count="11">
    <mergeCell ref="A9:B9"/>
    <mergeCell ref="A1:C1"/>
    <mergeCell ref="E1:G1"/>
    <mergeCell ref="I1:K1"/>
    <mergeCell ref="M1:O1"/>
    <mergeCell ref="A3:B3"/>
    <mergeCell ref="M12:O12"/>
    <mergeCell ref="M13:O13"/>
    <mergeCell ref="M14:O14"/>
    <mergeCell ref="M15:O15"/>
    <mergeCell ref="M11:O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"/>
  <sheetViews>
    <sheetView zoomScaleNormal="100" workbookViewId="0">
      <selection activeCell="J5" sqref="J5"/>
    </sheetView>
  </sheetViews>
  <sheetFormatPr defaultRowHeight="15" x14ac:dyDescent="0.25"/>
  <cols>
    <col min="1" max="1" width="10.28515625" bestFit="1" customWidth="1"/>
    <col min="3" max="3" width="14.28515625" customWidth="1"/>
    <col min="4" max="4" width="9.140625" style="71"/>
    <col min="5" max="5" width="9.140625" style="30"/>
    <col min="6" max="6" width="14.140625" style="30" customWidth="1"/>
    <col min="7" max="7" width="9.140625" style="8"/>
    <col min="8" max="8" width="9.140625" style="71"/>
    <col min="9" max="9" width="9.140625" style="30"/>
    <col min="10" max="10" width="11" style="30" bestFit="1" customWidth="1"/>
    <col min="11" max="11" width="9.140625" style="8"/>
    <col min="14" max="14" width="9.140625" style="30"/>
    <col min="17" max="17" width="25.5703125" bestFit="1" customWidth="1"/>
    <col min="19" max="19" width="9.7109375" customWidth="1"/>
  </cols>
  <sheetData>
    <row r="1" spans="1:17" x14ac:dyDescent="0.25">
      <c r="A1" s="246" t="s">
        <v>51</v>
      </c>
      <c r="B1" s="246"/>
      <c r="C1" s="246"/>
      <c r="G1" s="7"/>
      <c r="H1" s="244" t="s">
        <v>33</v>
      </c>
      <c r="I1" s="244"/>
      <c r="J1" s="244"/>
      <c r="K1" s="7"/>
      <c r="L1" s="244" t="s">
        <v>59</v>
      </c>
      <c r="M1" s="244"/>
      <c r="N1" s="244"/>
    </row>
    <row r="2" spans="1:17" x14ac:dyDescent="0.25">
      <c r="H2"/>
      <c r="I2"/>
      <c r="J2"/>
      <c r="N2" s="75"/>
      <c r="O2" s="71"/>
      <c r="P2" s="16" t="s">
        <v>76</v>
      </c>
    </row>
    <row r="3" spans="1:17" x14ac:dyDescent="0.25">
      <c r="A3" s="243" t="s">
        <v>52</v>
      </c>
      <c r="B3" s="245"/>
      <c r="C3" s="118"/>
      <c r="D3" s="242" t="s">
        <v>53</v>
      </c>
      <c r="E3" s="243"/>
      <c r="F3" s="88"/>
      <c r="H3" s="238" t="s">
        <v>34</v>
      </c>
      <c r="I3" s="239"/>
      <c r="J3" s="121" t="s">
        <v>35</v>
      </c>
      <c r="L3" s="238" t="s">
        <v>41</v>
      </c>
      <c r="M3" s="239"/>
      <c r="N3" s="121"/>
      <c r="O3" s="71"/>
      <c r="P3" s="12"/>
      <c r="Q3" s="13" t="s">
        <v>130</v>
      </c>
    </row>
    <row r="4" spans="1:17" x14ac:dyDescent="0.25">
      <c r="A4" s="10" t="s">
        <v>10</v>
      </c>
      <c r="B4" s="10">
        <f>Flambagem!B5</f>
        <v>1.375</v>
      </c>
      <c r="C4" s="119" t="s">
        <v>11</v>
      </c>
      <c r="D4" s="61" t="s">
        <v>22</v>
      </c>
      <c r="E4" s="61">
        <f>Flambagem!B11</f>
        <v>10500</v>
      </c>
      <c r="F4" s="30" t="s">
        <v>9</v>
      </c>
      <c r="H4" s="122" t="s">
        <v>78</v>
      </c>
      <c r="I4" s="72"/>
      <c r="J4" s="77">
        <f>E14/E13</f>
        <v>3.1253541820044553</v>
      </c>
      <c r="L4" s="250" t="s">
        <v>243</v>
      </c>
      <c r="M4" s="251"/>
      <c r="N4" s="252"/>
      <c r="O4" s="71"/>
      <c r="P4" s="14"/>
      <c r="Q4" s="13" t="s">
        <v>131</v>
      </c>
    </row>
    <row r="5" spans="1:17" x14ac:dyDescent="0.25">
      <c r="A5" s="10" t="s">
        <v>14</v>
      </c>
      <c r="B5" s="10">
        <f>Flambagem!B6</f>
        <v>1.1875</v>
      </c>
      <c r="C5" s="119" t="s">
        <v>11</v>
      </c>
      <c r="D5" s="72" t="s">
        <v>58</v>
      </c>
      <c r="E5" s="72">
        <f>E4/(1+(3*E10/7)*((E13/E9)^(E10-1)))</f>
        <v>10499.999999981552</v>
      </c>
      <c r="F5" s="30" t="s">
        <v>9</v>
      </c>
      <c r="H5" s="123" t="s">
        <v>79</v>
      </c>
      <c r="I5" s="73"/>
      <c r="J5" s="124">
        <v>0.67</v>
      </c>
      <c r="L5" s="72" t="s">
        <v>36</v>
      </c>
      <c r="M5" s="72">
        <f>B5*SQRT(E13/E12)</f>
        <v>0.47497308445556019</v>
      </c>
      <c r="N5" s="77" t="s">
        <v>11</v>
      </c>
      <c r="O5" s="71"/>
      <c r="P5" s="15"/>
      <c r="Q5" s="13" t="s">
        <v>77</v>
      </c>
    </row>
    <row r="6" spans="1:17" x14ac:dyDescent="0.25">
      <c r="A6" s="10" t="s">
        <v>15</v>
      </c>
      <c r="B6" s="10">
        <f>Flambagem!B7</f>
        <v>6.25E-2</v>
      </c>
      <c r="C6" s="119" t="s">
        <v>11</v>
      </c>
      <c r="D6" s="72" t="s">
        <v>57</v>
      </c>
      <c r="E6" s="72">
        <f>E4/(1+(3/7)*((E13/E9)^(E10-1)))</f>
        <v>10499.999999998889</v>
      </c>
      <c r="F6" s="30" t="s">
        <v>9</v>
      </c>
      <c r="H6" s="78" t="s">
        <v>36</v>
      </c>
      <c r="I6" s="79">
        <f>J5*B5</f>
        <v>0.79562500000000003</v>
      </c>
      <c r="J6" s="80" t="s">
        <v>11</v>
      </c>
      <c r="L6" s="250" t="s">
        <v>74</v>
      </c>
      <c r="M6" s="251"/>
      <c r="N6" s="252"/>
      <c r="O6" s="71"/>
    </row>
    <row r="7" spans="1:17" x14ac:dyDescent="0.25">
      <c r="A7" s="3" t="s">
        <v>31</v>
      </c>
      <c r="B7" s="3">
        <v>0</v>
      </c>
      <c r="C7" s="119" t="s">
        <v>32</v>
      </c>
      <c r="D7" s="61" t="s">
        <v>24</v>
      </c>
      <c r="E7" s="61">
        <v>0</v>
      </c>
      <c r="F7" s="71" t="s">
        <v>244</v>
      </c>
      <c r="H7" s="125" t="s">
        <v>37</v>
      </c>
      <c r="I7" s="126"/>
      <c r="J7" s="121" t="s">
        <v>38</v>
      </c>
      <c r="L7" s="122" t="s">
        <v>61</v>
      </c>
      <c r="M7" s="72">
        <f>M5*$B$6*$E$12</f>
        <v>2.0780072444930759</v>
      </c>
      <c r="N7" s="77" t="s">
        <v>64</v>
      </c>
      <c r="O7" s="71"/>
    </row>
    <row r="8" spans="1:17" x14ac:dyDescent="0.25">
      <c r="A8" s="9" t="s">
        <v>60</v>
      </c>
      <c r="B8" s="9">
        <f>B7/(B4*B6)</f>
        <v>0</v>
      </c>
      <c r="C8" s="119"/>
      <c r="D8" s="61" t="s">
        <v>40</v>
      </c>
      <c r="E8" s="61">
        <f>Flambagem!B12</f>
        <v>0.3</v>
      </c>
      <c r="H8" s="78" t="s">
        <v>36</v>
      </c>
      <c r="I8" s="79">
        <f>B5*(1.2*(E13/E14)^(0.4)-0.65*(E13/E14)^(0.8)+0.45*(E13/E14)^(1.2))</f>
        <v>0.72929245510063112</v>
      </c>
      <c r="J8" s="80" t="s">
        <v>11</v>
      </c>
      <c r="L8" s="122" t="s">
        <v>62</v>
      </c>
      <c r="M8" s="72">
        <f>M7/($B$5*$B$6)</f>
        <v>27.998413399485656</v>
      </c>
      <c r="N8" s="77" t="s">
        <v>9</v>
      </c>
      <c r="O8" s="71"/>
    </row>
    <row r="9" spans="1:17" x14ac:dyDescent="0.25">
      <c r="A9" s="4" t="s">
        <v>81</v>
      </c>
      <c r="B9" s="4">
        <f>B5/B6</f>
        <v>19</v>
      </c>
      <c r="C9" s="119"/>
      <c r="D9" s="61" t="s">
        <v>63</v>
      </c>
      <c r="E9" s="61">
        <f>Flambagem!B13</f>
        <v>72</v>
      </c>
      <c r="F9" s="30" t="s">
        <v>9</v>
      </c>
      <c r="H9" s="238" t="s">
        <v>39</v>
      </c>
      <c r="I9" s="239"/>
      <c r="J9" s="121" t="s">
        <v>38</v>
      </c>
      <c r="L9" s="250" t="s">
        <v>75</v>
      </c>
      <c r="M9" s="251"/>
      <c r="N9" s="252"/>
      <c r="O9" s="71"/>
    </row>
    <row r="10" spans="1:17" x14ac:dyDescent="0.25">
      <c r="A10" s="5"/>
      <c r="B10" s="5"/>
      <c r="C10" s="119"/>
      <c r="D10" s="61" t="s">
        <v>26</v>
      </c>
      <c r="E10" s="61">
        <f>Flambagem!B15</f>
        <v>16.600000000000001</v>
      </c>
      <c r="H10" s="78" t="s">
        <v>36</v>
      </c>
      <c r="I10" s="79">
        <f>B5*(0.19+0.81*(E13/E14)^(1/2))</f>
        <v>0.76971283601738028</v>
      </c>
      <c r="J10" s="80" t="s">
        <v>11</v>
      </c>
      <c r="L10" s="122" t="s">
        <v>68</v>
      </c>
      <c r="M10" s="72">
        <f>I15*$B$6*$E$12</f>
        <v>2.0780072444930759</v>
      </c>
      <c r="N10" s="77" t="s">
        <v>64</v>
      </c>
      <c r="O10" s="71"/>
    </row>
    <row r="11" spans="1:17" x14ac:dyDescent="0.25">
      <c r="A11" s="115"/>
      <c r="B11" s="117"/>
      <c r="C11" s="116"/>
      <c r="D11" s="61" t="s">
        <v>28</v>
      </c>
      <c r="E11" s="61">
        <f>Flambagem!B16</f>
        <v>4038.4615384615381</v>
      </c>
      <c r="F11" s="30" t="s">
        <v>9</v>
      </c>
      <c r="H11" s="127" t="s">
        <v>55</v>
      </c>
      <c r="I11" s="128"/>
      <c r="J11" s="129"/>
      <c r="L11" s="78" t="s">
        <v>69</v>
      </c>
      <c r="M11" s="79">
        <f>M10/($B$5*$B$6)</f>
        <v>27.998413399485656</v>
      </c>
      <c r="N11" s="80" t="s">
        <v>9</v>
      </c>
      <c r="O11" s="71"/>
    </row>
    <row r="12" spans="1:17" x14ac:dyDescent="0.25">
      <c r="A12" s="236" t="s">
        <v>54</v>
      </c>
      <c r="B12" s="237"/>
      <c r="C12" s="119"/>
      <c r="D12" s="61" t="s">
        <v>42</v>
      </c>
      <c r="E12" s="61">
        <f>Flambagem!B14</f>
        <v>70</v>
      </c>
      <c r="F12" s="30" t="s">
        <v>9</v>
      </c>
      <c r="H12" s="130" t="s">
        <v>56</v>
      </c>
      <c r="I12" s="131"/>
      <c r="J12" s="132"/>
      <c r="L12" s="125" t="s">
        <v>44</v>
      </c>
      <c r="M12" s="126"/>
      <c r="N12" s="121"/>
      <c r="O12" s="71"/>
    </row>
    <row r="13" spans="1:17" x14ac:dyDescent="0.25">
      <c r="A13" s="3" t="s">
        <v>22</v>
      </c>
      <c r="B13" s="3">
        <v>10500</v>
      </c>
      <c r="C13" s="119" t="s">
        <v>9</v>
      </c>
      <c r="D13" s="61" t="s">
        <v>43</v>
      </c>
      <c r="E13" s="61">
        <f>Flambagem!N3</f>
        <v>11.198730755549967</v>
      </c>
      <c r="F13" s="30" t="s">
        <v>9</v>
      </c>
      <c r="H13" s="240" t="s">
        <v>41</v>
      </c>
      <c r="I13" s="241"/>
      <c r="J13" s="76"/>
      <c r="L13" s="250" t="s">
        <v>243</v>
      </c>
      <c r="M13" s="251"/>
      <c r="N13" s="252"/>
      <c r="O13" s="71"/>
    </row>
    <row r="14" spans="1:17" x14ac:dyDescent="0.25">
      <c r="A14" s="4" t="s">
        <v>58</v>
      </c>
      <c r="B14" s="4">
        <f>B13/(1+(3*B19/7)*((B23/B18)^(B19-1)))</f>
        <v>10361.078317625508</v>
      </c>
      <c r="C14" s="119" t="s">
        <v>9</v>
      </c>
      <c r="D14" s="73" t="s">
        <v>70</v>
      </c>
      <c r="E14" s="73">
        <v>35</v>
      </c>
      <c r="F14" s="74" t="s">
        <v>50</v>
      </c>
      <c r="H14" s="122" t="s">
        <v>36</v>
      </c>
      <c r="I14" s="72">
        <f>B5*SQRT(E13/E14)</f>
        <v>0.67171337779923468</v>
      </c>
      <c r="J14" s="77" t="s">
        <v>11</v>
      </c>
      <c r="L14" s="72" t="s">
        <v>36</v>
      </c>
      <c r="M14" s="72">
        <f>B5*SQRT(E13/E12)*(1-0.25*SQRT(E13/E12))</f>
        <v>0.42747846741193307</v>
      </c>
      <c r="N14" s="77" t="s">
        <v>11</v>
      </c>
      <c r="O14" s="71"/>
    </row>
    <row r="15" spans="1:17" x14ac:dyDescent="0.25">
      <c r="A15" s="4" t="s">
        <v>57</v>
      </c>
      <c r="B15" s="4">
        <f>B13/(1+(3/7)*((B23/B18)^(B19-1)))</f>
        <v>10484.719622923429</v>
      </c>
      <c r="C15" s="119" t="s">
        <v>9</v>
      </c>
      <c r="D15" s="61" t="s">
        <v>67</v>
      </c>
      <c r="E15" s="61">
        <f>Flambagem!K4</f>
        <v>0.99999999999950695</v>
      </c>
      <c r="H15" s="78" t="s">
        <v>66</v>
      </c>
      <c r="I15" s="79">
        <f>B5*SQRT(E13/E12)</f>
        <v>0.47497308445556019</v>
      </c>
      <c r="J15" s="80" t="s">
        <v>11</v>
      </c>
      <c r="L15" s="250" t="s">
        <v>74</v>
      </c>
      <c r="M15" s="251"/>
      <c r="N15" s="252"/>
      <c r="O15" s="71"/>
    </row>
    <row r="16" spans="1:17" x14ac:dyDescent="0.25">
      <c r="A16" s="3" t="s">
        <v>24</v>
      </c>
      <c r="B16" s="3">
        <v>0.33</v>
      </c>
      <c r="C16" s="119"/>
      <c r="D16" s="85" t="s">
        <v>5</v>
      </c>
      <c r="E16" s="85">
        <f>Flambagem!F3</f>
        <v>0.42599999999999999</v>
      </c>
      <c r="F16" s="86"/>
      <c r="H16" s="125" t="s">
        <v>44</v>
      </c>
      <c r="I16" s="126"/>
      <c r="J16" s="121"/>
      <c r="L16" s="122" t="s">
        <v>61</v>
      </c>
      <c r="M16" s="72">
        <f>M14*$B$6*$E$12</f>
        <v>1.8702182949272073</v>
      </c>
      <c r="N16" s="77" t="s">
        <v>64</v>
      </c>
      <c r="O16" s="71"/>
    </row>
    <row r="17" spans="1:16" x14ac:dyDescent="0.25">
      <c r="A17" s="3" t="s">
        <v>40</v>
      </c>
      <c r="B17" s="3">
        <v>0.33</v>
      </c>
      <c r="C17" s="119"/>
      <c r="H17" s="78" t="s">
        <v>36</v>
      </c>
      <c r="I17" s="79">
        <f>I14*(1-(0.25*SQRT(E13/E12)))</f>
        <v>0.60454584623642083</v>
      </c>
      <c r="J17" s="80" t="s">
        <v>11</v>
      </c>
      <c r="L17" s="78" t="s">
        <v>62</v>
      </c>
      <c r="M17" s="79">
        <f>M16/($B$5*$B$6)</f>
        <v>25.198730710598159</v>
      </c>
      <c r="N17" s="80" t="s">
        <v>9</v>
      </c>
      <c r="O17" s="71"/>
      <c r="P17" s="186"/>
    </row>
    <row r="18" spans="1:16" x14ac:dyDescent="0.25">
      <c r="A18" s="3" t="s">
        <v>25</v>
      </c>
      <c r="B18" s="3">
        <v>70</v>
      </c>
      <c r="C18" s="119" t="s">
        <v>9</v>
      </c>
      <c r="H18" s="133" t="s">
        <v>80</v>
      </c>
      <c r="I18" s="134"/>
      <c r="J18" s="135"/>
      <c r="L18" s="125" t="s">
        <v>45</v>
      </c>
      <c r="M18" s="126" t="s">
        <v>46</v>
      </c>
      <c r="N18" s="136" t="s">
        <v>47</v>
      </c>
      <c r="O18" s="71"/>
    </row>
    <row r="19" spans="1:16" x14ac:dyDescent="0.25">
      <c r="A19" s="3" t="s">
        <v>26</v>
      </c>
      <c r="B19" s="3">
        <v>9.1999999999999993</v>
      </c>
      <c r="C19" s="119"/>
      <c r="D19" s="71">
        <f>1.7*0.064*(E6/B15)*SQRT(E4/B23)</f>
        <v>1.8872176974960075</v>
      </c>
      <c r="H19" s="72" t="s">
        <v>81</v>
      </c>
      <c r="I19" s="72">
        <f>B5/B6</f>
        <v>19</v>
      </c>
      <c r="J19" s="77"/>
      <c r="K19" s="185"/>
      <c r="L19" s="123" t="s">
        <v>48</v>
      </c>
      <c r="M19" s="73">
        <v>0.8</v>
      </c>
      <c r="N19" s="124"/>
      <c r="O19" s="71"/>
    </row>
    <row r="20" spans="1:16" x14ac:dyDescent="0.25">
      <c r="A20" s="4" t="s">
        <v>28</v>
      </c>
      <c r="B20" s="4">
        <f>B13/(2*(1+B16))</f>
        <v>3947.3684210526312</v>
      </c>
      <c r="C20" s="119" t="s">
        <v>9</v>
      </c>
      <c r="D20" s="71">
        <f>D19*0.064</f>
        <v>0.12078193263974449</v>
      </c>
      <c r="H20" s="3" t="s">
        <v>239</v>
      </c>
      <c r="I20" s="3">
        <v>5.41</v>
      </c>
      <c r="J20" s="3" t="s">
        <v>240</v>
      </c>
      <c r="L20" s="123" t="s">
        <v>26</v>
      </c>
      <c r="M20" s="73">
        <v>0.57999999999999996</v>
      </c>
      <c r="N20" s="124"/>
      <c r="O20" s="71"/>
    </row>
    <row r="21" spans="1:16" x14ac:dyDescent="0.25">
      <c r="A21" s="4" t="s">
        <v>42</v>
      </c>
      <c r="B21" s="6">
        <f>B18*(0.014*B13/(3*B18))^(1/B19)</f>
        <v>67.338101892010926</v>
      </c>
      <c r="C21" s="119" t="s">
        <v>9</v>
      </c>
      <c r="H21" s="78" t="s">
        <v>36</v>
      </c>
      <c r="I21" s="79">
        <f>B6*SQRT(I20*E4/E14)</f>
        <v>2.5179046348104608</v>
      </c>
      <c r="J21" s="80" t="s">
        <v>11</v>
      </c>
      <c r="L21" s="122" t="s">
        <v>62</v>
      </c>
      <c r="M21" s="72">
        <f>IF(E13&lt;=E12*M19^(1/M20),E13*M19*(E12/E13)^M20,E13)</f>
        <v>25.935686477243454</v>
      </c>
      <c r="N21" s="77" t="s">
        <v>9</v>
      </c>
      <c r="O21" s="71"/>
    </row>
    <row r="22" spans="1:16" x14ac:dyDescent="0.25">
      <c r="A22" s="4" t="s">
        <v>43</v>
      </c>
      <c r="B22" s="4">
        <f>E13</f>
        <v>11.198730755549967</v>
      </c>
      <c r="C22" s="119" t="s">
        <v>9</v>
      </c>
      <c r="H22" s="247" t="s">
        <v>49</v>
      </c>
      <c r="I22" s="248"/>
      <c r="J22" s="249"/>
      <c r="L22" s="78" t="s">
        <v>61</v>
      </c>
      <c r="M22" s="79">
        <f>M21*B5*B6</f>
        <v>1.9249142307329126</v>
      </c>
      <c r="N22" s="80" t="s">
        <v>64</v>
      </c>
      <c r="O22" s="71"/>
    </row>
    <row r="23" spans="1:16" x14ac:dyDescent="0.25">
      <c r="A23" s="84" t="s">
        <v>70</v>
      </c>
      <c r="B23" s="84">
        <v>35</v>
      </c>
      <c r="C23" s="120" t="s">
        <v>50</v>
      </c>
      <c r="H23" s="81" t="s">
        <v>36</v>
      </c>
      <c r="I23" s="82">
        <f>B5*(E6/B15)*SQRT(E13/B23)</f>
        <v>0.67269232946113355</v>
      </c>
      <c r="J23" s="83" t="s">
        <v>11</v>
      </c>
    </row>
    <row r="24" spans="1:16" x14ac:dyDescent="0.25">
      <c r="L24" t="s">
        <v>246</v>
      </c>
    </row>
    <row r="25" spans="1:16" x14ac:dyDescent="0.25">
      <c r="H25" s="71" t="s">
        <v>241</v>
      </c>
      <c r="L25" t="s">
        <v>62</v>
      </c>
      <c r="M25">
        <f>AVERAGE(M21,M17,M8)</f>
        <v>26.377610195775759</v>
      </c>
      <c r="N25" s="30" t="s">
        <v>9</v>
      </c>
    </row>
    <row r="26" spans="1:16" x14ac:dyDescent="0.25">
      <c r="H26" s="71" t="s">
        <v>242</v>
      </c>
      <c r="I26" s="30">
        <f>AVERAGE(I21,I17,I14,I10,I8,I6)</f>
        <v>1.0147990249940213</v>
      </c>
      <c r="J26" s="30" t="s">
        <v>11</v>
      </c>
    </row>
  </sheetData>
  <mergeCells count="16">
    <mergeCell ref="H22:J22"/>
    <mergeCell ref="L9:N9"/>
    <mergeCell ref="L4:N4"/>
    <mergeCell ref="L13:N13"/>
    <mergeCell ref="L15:N15"/>
    <mergeCell ref="L6:N6"/>
    <mergeCell ref="L1:N1"/>
    <mergeCell ref="A3:B3"/>
    <mergeCell ref="A1:C1"/>
    <mergeCell ref="H1:J1"/>
    <mergeCell ref="L3:M3"/>
    <mergeCell ref="A12:B12"/>
    <mergeCell ref="H3:I3"/>
    <mergeCell ref="H9:I9"/>
    <mergeCell ref="H13:I13"/>
    <mergeCell ref="D3:E3"/>
  </mergeCells>
  <pageMargins left="0.7" right="0.7" top="0.75" bottom="0.75" header="0.3" footer="0.3"/>
  <pageSetup paperSize="9"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4"/>
  <sheetViews>
    <sheetView tabSelected="1" zoomScale="85" zoomScaleNormal="85" workbookViewId="0">
      <selection activeCell="N4" sqref="N4"/>
    </sheetView>
  </sheetViews>
  <sheetFormatPr defaultRowHeight="15" x14ac:dyDescent="0.25"/>
  <cols>
    <col min="1" max="1" width="12" bestFit="1" customWidth="1"/>
    <col min="2" max="2" width="24.7109375" bestFit="1" customWidth="1"/>
    <col min="3" max="3" width="9.7109375" bestFit="1" customWidth="1"/>
    <col min="4" max="4" width="10.85546875" customWidth="1"/>
    <col min="9" max="9" width="9.5703125" customWidth="1"/>
    <col min="13" max="13" width="12" bestFit="1" customWidth="1"/>
    <col min="14" max="14" width="10.28515625" customWidth="1"/>
    <col min="16" max="16" width="11.42578125" customWidth="1"/>
    <col min="17" max="18" width="12.42578125" bestFit="1" customWidth="1"/>
    <col min="19" max="19" width="8.42578125" bestFit="1" customWidth="1"/>
    <col min="20" max="20" width="10.28515625" customWidth="1"/>
  </cols>
  <sheetData>
    <row r="1" spans="1:18" x14ac:dyDescent="0.25">
      <c r="A1" s="16" t="s">
        <v>76</v>
      </c>
      <c r="D1" s="50" t="s">
        <v>87</v>
      </c>
      <c r="E1" s="44" t="s">
        <v>110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259" t="s">
        <v>116</v>
      </c>
      <c r="Q1" s="260"/>
      <c r="R1" s="26"/>
    </row>
    <row r="2" spans="1:18" x14ac:dyDescent="0.25">
      <c r="A2" s="12"/>
      <c r="B2" s="13" t="s">
        <v>130</v>
      </c>
      <c r="D2" s="19" t="s">
        <v>88</v>
      </c>
      <c r="E2" s="20" t="s">
        <v>89</v>
      </c>
      <c r="F2" s="20" t="s">
        <v>90</v>
      </c>
      <c r="G2" s="20" t="s">
        <v>91</v>
      </c>
      <c r="H2" s="20" t="s">
        <v>92</v>
      </c>
      <c r="I2" s="20" t="s">
        <v>93</v>
      </c>
      <c r="J2" s="20" t="s">
        <v>94</v>
      </c>
      <c r="K2" s="20" t="s">
        <v>95</v>
      </c>
      <c r="L2" s="20" t="s">
        <v>96</v>
      </c>
      <c r="M2" s="20" t="s">
        <v>97</v>
      </c>
      <c r="N2" s="20" t="s">
        <v>98</v>
      </c>
      <c r="O2" s="20"/>
      <c r="P2" s="21" t="s">
        <v>94</v>
      </c>
      <c r="Q2" s="22" t="s">
        <v>95</v>
      </c>
      <c r="R2" s="101" t="s">
        <v>254</v>
      </c>
    </row>
    <row r="3" spans="1:18" x14ac:dyDescent="0.25">
      <c r="A3" s="14"/>
      <c r="B3" s="13" t="s">
        <v>131</v>
      </c>
      <c r="D3" s="19">
        <v>1</v>
      </c>
      <c r="E3" s="56">
        <v>2</v>
      </c>
      <c r="F3" s="31">
        <f>$B$7</f>
        <v>10700</v>
      </c>
      <c r="G3" s="32">
        <f>$B$12</f>
        <v>70</v>
      </c>
      <c r="H3" s="68">
        <v>0.34200000000000003</v>
      </c>
      <c r="I3" s="54">
        <v>0.04</v>
      </c>
      <c r="J3" s="69">
        <f>P3-(I3/2)</f>
        <v>0.48</v>
      </c>
      <c r="K3" s="69">
        <f>Q3-(I3/2)</f>
        <v>0.54249999999999998</v>
      </c>
      <c r="L3" s="33">
        <f>(J3+K3)/(I3*2)</f>
        <v>12.78125</v>
      </c>
      <c r="M3" s="33">
        <f>SQRT(F3*G3)*H3/L3^0.75</f>
        <v>43.78617592430011</v>
      </c>
      <c r="N3" s="33">
        <f>(J3+K3)*I3*E3</f>
        <v>8.1799999999999998E-2</v>
      </c>
      <c r="O3" s="20"/>
      <c r="P3" s="56">
        <v>0.5</v>
      </c>
      <c r="Q3" s="70">
        <f>9/8/2</f>
        <v>0.5625</v>
      </c>
      <c r="R3">
        <v>0.316</v>
      </c>
    </row>
    <row r="4" spans="1:18" x14ac:dyDescent="0.25">
      <c r="A4" s="15"/>
      <c r="B4" s="13" t="s">
        <v>77</v>
      </c>
      <c r="D4" s="19">
        <v>2</v>
      </c>
      <c r="E4" s="56">
        <v>2</v>
      </c>
      <c r="F4" s="31">
        <f>$B$7</f>
        <v>10700</v>
      </c>
      <c r="G4" s="32">
        <f>$B$12</f>
        <v>70</v>
      </c>
      <c r="H4" s="68">
        <v>0.36599999999999999</v>
      </c>
      <c r="I4" s="54">
        <v>0.04</v>
      </c>
      <c r="J4" s="69">
        <f>P4-(I4/2)</f>
        <v>0.48</v>
      </c>
      <c r="K4" s="69">
        <f>Q4-(I4/2)</f>
        <v>0.54249999999999998</v>
      </c>
      <c r="L4" s="33">
        <f>(J4+K4)/(I4*2)</f>
        <v>12.78125</v>
      </c>
      <c r="M4" s="33">
        <f>SQRT(F4*G4)*H4/L4^0.75</f>
        <v>46.858890024250982</v>
      </c>
      <c r="N4" s="33">
        <f>(J4+K4)*I4*E4</f>
        <v>8.1799999999999998E-2</v>
      </c>
      <c r="O4" s="20"/>
      <c r="P4" s="56">
        <v>0.5</v>
      </c>
      <c r="Q4" s="70">
        <f>9/8/2</f>
        <v>0.5625</v>
      </c>
      <c r="R4" s="26">
        <v>0.34200000000000003</v>
      </c>
    </row>
    <row r="5" spans="1:18" x14ac:dyDescent="0.25">
      <c r="D5" s="19">
        <v>3</v>
      </c>
      <c r="E5" s="56">
        <v>0</v>
      </c>
      <c r="F5" s="31">
        <f>$B$7</f>
        <v>10700</v>
      </c>
      <c r="G5" s="32">
        <f>$B$12</f>
        <v>70</v>
      </c>
      <c r="H5" s="68">
        <v>0.36599999999999999</v>
      </c>
      <c r="I5" s="54">
        <v>0.05</v>
      </c>
      <c r="J5" s="69">
        <f>P5-(I5/2)</f>
        <v>0.72499999999999998</v>
      </c>
      <c r="K5" s="69">
        <f>Q5-(I5/2)</f>
        <v>0.6</v>
      </c>
      <c r="L5" s="33">
        <f>(J5+K5)/(I5*2)</f>
        <v>13.249999999999998</v>
      </c>
      <c r="M5" s="33">
        <f>SQRT(F5*G5)*H5/L5^0.75</f>
        <v>45.610001396629535</v>
      </c>
      <c r="N5" s="33">
        <f>(J5+K5)*I5*E5</f>
        <v>0</v>
      </c>
      <c r="O5" s="20"/>
      <c r="P5" s="56">
        <v>0.75</v>
      </c>
      <c r="Q5" s="70">
        <f>1.25/2</f>
        <v>0.625</v>
      </c>
      <c r="R5" s="26">
        <v>0.36599999999999999</v>
      </c>
    </row>
    <row r="6" spans="1:18" x14ac:dyDescent="0.25">
      <c r="A6" s="245" t="s">
        <v>54</v>
      </c>
      <c r="B6" s="242"/>
      <c r="D6" s="19"/>
      <c r="E6" s="20"/>
      <c r="F6" s="20"/>
      <c r="G6" s="20"/>
      <c r="H6" s="20"/>
      <c r="I6" s="20"/>
      <c r="J6" s="20"/>
      <c r="K6" s="20"/>
      <c r="L6" s="30"/>
      <c r="M6" s="30"/>
      <c r="N6" s="20"/>
      <c r="O6" s="20"/>
      <c r="P6" s="20"/>
      <c r="Q6" s="28"/>
      <c r="R6" s="26"/>
    </row>
    <row r="7" spans="1:18" ht="15.75" thickBot="1" x14ac:dyDescent="0.3">
      <c r="A7" s="35" t="s">
        <v>22</v>
      </c>
      <c r="B7" s="36">
        <v>10700</v>
      </c>
      <c r="C7" t="s">
        <v>9</v>
      </c>
      <c r="D7" s="23"/>
      <c r="E7" s="24"/>
      <c r="F7" s="24"/>
      <c r="G7" s="24"/>
      <c r="H7" s="24"/>
      <c r="I7" s="24"/>
      <c r="J7" s="24"/>
      <c r="K7" s="24"/>
      <c r="L7" s="99" t="s">
        <v>99</v>
      </c>
      <c r="M7" s="100">
        <f>(M3*N3+M4*N4+M5*N5)/SUM(N3:N5)</f>
        <v>45.322532974275546</v>
      </c>
      <c r="N7" s="24"/>
      <c r="O7" s="24"/>
      <c r="P7" s="24"/>
      <c r="Q7" s="25"/>
      <c r="R7" s="26"/>
    </row>
    <row r="8" spans="1:18" x14ac:dyDescent="0.25">
      <c r="A8" s="37" t="s">
        <v>24</v>
      </c>
      <c r="B8" s="38">
        <f>Flambagem!B12</f>
        <v>0.3</v>
      </c>
      <c r="R8" s="26"/>
    </row>
    <row r="9" spans="1:18" ht="15.75" thickBot="1" x14ac:dyDescent="0.3">
      <c r="A9" s="37" t="s">
        <v>63</v>
      </c>
      <c r="B9" s="38">
        <f>Flambagem!B13</f>
        <v>72</v>
      </c>
      <c r="C9" t="s">
        <v>9</v>
      </c>
      <c r="D9" s="258" t="s">
        <v>112</v>
      </c>
      <c r="E9" s="258"/>
      <c r="F9" s="258"/>
      <c r="G9" s="261" t="s">
        <v>144</v>
      </c>
      <c r="H9" s="262"/>
      <c r="I9" s="262"/>
      <c r="J9" s="262"/>
      <c r="K9" s="26"/>
      <c r="L9" s="26"/>
      <c r="M9" s="26"/>
      <c r="N9" s="26"/>
      <c r="O9" s="26"/>
      <c r="P9" s="26"/>
      <c r="Q9" s="26"/>
    </row>
    <row r="10" spans="1:18" x14ac:dyDescent="0.25">
      <c r="A10" s="37" t="s">
        <v>26</v>
      </c>
      <c r="B10" s="38">
        <f>Flambagem!B15</f>
        <v>16.600000000000001</v>
      </c>
      <c r="D10" s="49" t="s">
        <v>100</v>
      </c>
      <c r="E10" s="109" t="s">
        <v>101</v>
      </c>
      <c r="F10" s="110">
        <v>6.3E-2</v>
      </c>
      <c r="G10" s="109" t="s">
        <v>102</v>
      </c>
      <c r="H10" s="110">
        <v>0.82</v>
      </c>
      <c r="I10" s="17"/>
      <c r="J10" s="17"/>
      <c r="K10" s="17"/>
      <c r="L10" s="57" t="s">
        <v>149</v>
      </c>
      <c r="M10" s="17"/>
      <c r="N10" s="17"/>
      <c r="O10" s="17"/>
      <c r="P10" s="17"/>
      <c r="Q10" s="57"/>
      <c r="R10" s="18" t="s">
        <v>149</v>
      </c>
    </row>
    <row r="11" spans="1:18" x14ac:dyDescent="0.25">
      <c r="A11" s="37" t="s">
        <v>28</v>
      </c>
      <c r="B11" s="39">
        <f>Flambagem!B16</f>
        <v>4038.4615384615381</v>
      </c>
      <c r="C11" t="s">
        <v>9</v>
      </c>
      <c r="D11" s="19" t="s">
        <v>103</v>
      </c>
      <c r="E11" s="20" t="s">
        <v>89</v>
      </c>
      <c r="F11" s="20" t="s">
        <v>104</v>
      </c>
      <c r="G11" s="20" t="s">
        <v>93</v>
      </c>
      <c r="H11" s="21" t="s">
        <v>111</v>
      </c>
      <c r="I11" s="20" t="s">
        <v>95</v>
      </c>
      <c r="J11" s="21" t="s">
        <v>114</v>
      </c>
      <c r="K11" s="20" t="s">
        <v>127</v>
      </c>
      <c r="L11" s="48" t="s">
        <v>127</v>
      </c>
      <c r="M11" s="20" t="s">
        <v>90</v>
      </c>
      <c r="N11" s="20" t="s">
        <v>113</v>
      </c>
      <c r="O11" s="20" t="s">
        <v>97</v>
      </c>
      <c r="P11" s="101" t="s">
        <v>148</v>
      </c>
      <c r="Q11" s="45" t="s">
        <v>105</v>
      </c>
      <c r="R11" s="114" t="s">
        <v>105</v>
      </c>
    </row>
    <row r="12" spans="1:18" x14ac:dyDescent="0.25">
      <c r="A12" s="37" t="s">
        <v>42</v>
      </c>
      <c r="B12" s="38">
        <f>Flambagem!B14</f>
        <v>70</v>
      </c>
      <c r="C12" t="s">
        <v>9</v>
      </c>
      <c r="D12" s="19">
        <v>1</v>
      </c>
      <c r="E12" s="30">
        <v>1</v>
      </c>
      <c r="F12" s="56">
        <v>2.2999999999999998</v>
      </c>
      <c r="G12" s="54">
        <v>0.125</v>
      </c>
      <c r="H12" s="55">
        <v>0.5</v>
      </c>
      <c r="I12" s="53">
        <f>H12-G12</f>
        <v>0.375</v>
      </c>
      <c r="J12" s="34">
        <f>I12/H12</f>
        <v>0.75</v>
      </c>
      <c r="K12" s="33">
        <f>I12*H12</f>
        <v>0.1875</v>
      </c>
      <c r="L12" s="72">
        <f>K12*E12</f>
        <v>0.1875</v>
      </c>
      <c r="M12" s="31">
        <f>$B$7</f>
        <v>10700</v>
      </c>
      <c r="N12" s="32">
        <f>$B$12</f>
        <v>70</v>
      </c>
      <c r="O12" s="33">
        <f>SQRT(N12*M12)*$F$10/(I12/(10*H12*F12))^$H$10</f>
        <v>902.91745306135692</v>
      </c>
      <c r="P12" s="33">
        <f>SMALL(N12:O12,1)</f>
        <v>70</v>
      </c>
      <c r="Q12" s="33">
        <f>P12*K12</f>
        <v>13.125</v>
      </c>
      <c r="R12" s="59">
        <f t="shared" ref="R12:R18" si="0">Q12*E12</f>
        <v>13.125</v>
      </c>
    </row>
    <row r="13" spans="1:18" x14ac:dyDescent="0.25">
      <c r="A13" s="40" t="s">
        <v>43</v>
      </c>
      <c r="B13" s="41">
        <f>Flambagem!N3</f>
        <v>11.198730755549967</v>
      </c>
      <c r="C13" t="s">
        <v>9</v>
      </c>
      <c r="D13" s="19">
        <v>2</v>
      </c>
      <c r="E13" s="30">
        <v>1</v>
      </c>
      <c r="F13" s="56">
        <v>1</v>
      </c>
      <c r="G13" s="54">
        <v>0.125</v>
      </c>
      <c r="H13" s="55">
        <v>2</v>
      </c>
      <c r="I13" s="53">
        <f>H13-G13*2</f>
        <v>1.75</v>
      </c>
      <c r="J13" s="34">
        <f>I13/H13</f>
        <v>0.875</v>
      </c>
      <c r="K13" s="33">
        <f>I13*H13</f>
        <v>3.5</v>
      </c>
      <c r="L13" s="72">
        <f>K13*E13</f>
        <v>3.5</v>
      </c>
      <c r="M13" s="31">
        <f>$B$7</f>
        <v>10700</v>
      </c>
      <c r="N13" s="32">
        <f>$B$12</f>
        <v>70</v>
      </c>
      <c r="O13" s="33">
        <f>SQRT(N13*M13)*$F$10/(I13/(10*H13*F13))^$H$10</f>
        <v>401.9155921781894</v>
      </c>
      <c r="P13" s="33">
        <f>SMALL(N13:O13,1)</f>
        <v>70</v>
      </c>
      <c r="Q13" s="33">
        <f>P13*K13</f>
        <v>245</v>
      </c>
      <c r="R13" s="59">
        <f t="shared" si="0"/>
        <v>245</v>
      </c>
    </row>
    <row r="14" spans="1:18" x14ac:dyDescent="0.25">
      <c r="A14" s="29"/>
      <c r="B14" s="29"/>
      <c r="D14" s="19">
        <v>3</v>
      </c>
      <c r="E14" s="30">
        <v>2</v>
      </c>
      <c r="F14" s="56">
        <v>1</v>
      </c>
      <c r="G14" s="54">
        <v>0.125</v>
      </c>
      <c r="H14" s="55">
        <v>1.25</v>
      </c>
      <c r="I14" s="53">
        <f>H14-G14/2</f>
        <v>1.1875</v>
      </c>
      <c r="J14" s="34">
        <f>I14/H14</f>
        <v>0.95</v>
      </c>
      <c r="K14" s="33">
        <f>I14*H14</f>
        <v>1.484375</v>
      </c>
      <c r="L14" s="72">
        <f>K14*E14</f>
        <v>2.96875</v>
      </c>
      <c r="M14" s="31">
        <f>$B$7</f>
        <v>10700</v>
      </c>
      <c r="N14" s="32">
        <f>$B$12</f>
        <v>70</v>
      </c>
      <c r="O14" s="33">
        <f>SQRT(N14*M14)*$F$10/(I14/(10*H14*F14))^$H$10</f>
        <v>375.70597507964766</v>
      </c>
      <c r="P14" s="33">
        <f>SMALL(N14:O14,1)</f>
        <v>70</v>
      </c>
      <c r="Q14" s="33">
        <f>P14*K14</f>
        <v>103.90625</v>
      </c>
      <c r="R14" s="59">
        <f t="shared" si="0"/>
        <v>207.8125</v>
      </c>
    </row>
    <row r="15" spans="1:18" x14ac:dyDescent="0.25">
      <c r="A15" s="107" t="s">
        <v>82</v>
      </c>
      <c r="B15" s="108" t="s">
        <v>132</v>
      </c>
      <c r="C15" s="103" t="s">
        <v>83</v>
      </c>
      <c r="D15" s="19">
        <v>4</v>
      </c>
      <c r="E15" s="30"/>
      <c r="F15" s="56"/>
      <c r="G15" s="54"/>
      <c r="H15" s="54"/>
      <c r="I15" s="69"/>
      <c r="J15" s="34"/>
      <c r="K15" s="33"/>
      <c r="L15" s="72"/>
      <c r="M15" s="31"/>
      <c r="N15" s="32"/>
      <c r="O15" s="33"/>
      <c r="P15" s="33"/>
      <c r="Q15" s="33"/>
      <c r="R15" s="59"/>
    </row>
    <row r="16" spans="1:18" x14ac:dyDescent="0.25">
      <c r="A16" s="104" t="s">
        <v>85</v>
      </c>
      <c r="B16" s="105" t="s">
        <v>86</v>
      </c>
      <c r="C16" s="106" t="s">
        <v>84</v>
      </c>
      <c r="D16" s="19">
        <v>5</v>
      </c>
      <c r="E16" s="30"/>
      <c r="F16" s="56"/>
      <c r="G16" s="54"/>
      <c r="H16" s="54"/>
      <c r="I16" s="69"/>
      <c r="J16" s="34"/>
      <c r="K16" s="33"/>
      <c r="L16" s="72"/>
      <c r="M16" s="31"/>
      <c r="N16" s="32"/>
      <c r="O16" s="33"/>
      <c r="P16" s="33"/>
      <c r="Q16" s="33">
        <f>P16*K16*E16</f>
        <v>0</v>
      </c>
      <c r="R16" s="59">
        <f t="shared" si="0"/>
        <v>0</v>
      </c>
    </row>
    <row r="17" spans="1:19" x14ac:dyDescent="0.25">
      <c r="C17" s="43"/>
      <c r="D17" s="19">
        <v>6</v>
      </c>
      <c r="E17" s="30"/>
      <c r="F17" s="56"/>
      <c r="G17" s="54"/>
      <c r="H17" s="54"/>
      <c r="I17" s="69"/>
      <c r="J17" s="34"/>
      <c r="K17" s="33"/>
      <c r="L17" s="72"/>
      <c r="M17" s="31"/>
      <c r="N17" s="32"/>
      <c r="O17" s="33"/>
      <c r="P17" s="33"/>
      <c r="Q17" s="33">
        <f>P17*K17*E17</f>
        <v>0</v>
      </c>
      <c r="R17" s="59">
        <f t="shared" si="0"/>
        <v>0</v>
      </c>
    </row>
    <row r="18" spans="1:19" x14ac:dyDescent="0.25">
      <c r="A18" s="102" t="s">
        <v>139</v>
      </c>
      <c r="B18" s="87"/>
      <c r="C18" s="103"/>
      <c r="D18" s="19" t="s">
        <v>147</v>
      </c>
      <c r="E18" s="30"/>
      <c r="F18" s="111"/>
      <c r="G18" s="54"/>
      <c r="H18" s="56"/>
      <c r="I18" s="69"/>
      <c r="J18" s="34"/>
      <c r="K18" s="33"/>
      <c r="L18" s="72"/>
      <c r="M18" s="31"/>
      <c r="N18" s="32"/>
      <c r="O18" s="33"/>
      <c r="P18" s="33"/>
      <c r="Q18" s="33">
        <f>P18*K18</f>
        <v>0</v>
      </c>
      <c r="R18" s="59">
        <f t="shared" si="0"/>
        <v>0</v>
      </c>
    </row>
    <row r="19" spans="1:19" ht="15.75" thickBot="1" x14ac:dyDescent="0.3">
      <c r="A19" s="264" t="s">
        <v>140</v>
      </c>
      <c r="B19" s="265"/>
      <c r="C19" s="266"/>
      <c r="D19" s="23"/>
      <c r="E19" s="24"/>
      <c r="F19" s="24"/>
      <c r="G19" s="24"/>
      <c r="H19" s="112"/>
      <c r="I19" s="112"/>
      <c r="J19" s="112"/>
      <c r="K19" s="113" t="s">
        <v>129</v>
      </c>
      <c r="L19" s="47">
        <f>SUM(L12:L18)</f>
        <v>6.65625</v>
      </c>
      <c r="M19" s="112"/>
      <c r="N19" s="99" t="s">
        <v>106</v>
      </c>
      <c r="O19" s="100">
        <f>SUM(R12:R18)/SUM(L12:L18)</f>
        <v>70</v>
      </c>
      <c r="P19" s="24"/>
      <c r="Q19" s="24"/>
      <c r="R19" s="25"/>
    </row>
    <row r="20" spans="1:19" ht="15.75" thickBot="1" x14ac:dyDescent="0.3">
      <c r="A20" s="267" t="s">
        <v>143</v>
      </c>
      <c r="B20" s="268"/>
      <c r="C20" s="269"/>
      <c r="D20" s="253" t="s">
        <v>115</v>
      </c>
      <c r="E20" s="254"/>
      <c r="F20" s="255"/>
      <c r="G20" s="57"/>
      <c r="H20" s="263" t="s">
        <v>146</v>
      </c>
      <c r="I20" s="263"/>
      <c r="J20" s="263"/>
      <c r="K20" s="263"/>
      <c r="L20" s="17"/>
      <c r="M20" s="17"/>
      <c r="N20" s="18"/>
      <c r="P20" s="26"/>
      <c r="Q20" s="26"/>
    </row>
    <row r="21" spans="1:19" x14ac:dyDescent="0.25">
      <c r="A21" s="264" t="s">
        <v>141</v>
      </c>
      <c r="B21" s="265"/>
      <c r="C21" s="266"/>
      <c r="D21" s="49" t="s">
        <v>45</v>
      </c>
      <c r="E21" s="57"/>
      <c r="F21" s="17"/>
      <c r="G21" s="57" t="s">
        <v>150</v>
      </c>
      <c r="H21" s="27" t="s">
        <v>145</v>
      </c>
      <c r="I21" s="27" t="s">
        <v>93</v>
      </c>
      <c r="J21" s="27" t="s">
        <v>95</v>
      </c>
      <c r="K21" s="27" t="s">
        <v>127</v>
      </c>
      <c r="L21" s="57"/>
      <c r="M21" s="57"/>
      <c r="N21" s="67"/>
      <c r="P21" s="91" t="s">
        <v>108</v>
      </c>
      <c r="Q21" s="92">
        <f>(1+3*Q23*Q22/4)/(1+3*Q23)</f>
        <v>1</v>
      </c>
    </row>
    <row r="22" spans="1:19" x14ac:dyDescent="0.25">
      <c r="A22" s="270" t="s">
        <v>142</v>
      </c>
      <c r="B22" s="271"/>
      <c r="C22" s="272"/>
      <c r="D22" s="256" t="s">
        <v>126</v>
      </c>
      <c r="E22" s="257"/>
      <c r="F22" s="21">
        <v>1</v>
      </c>
      <c r="G22" s="30">
        <v>1</v>
      </c>
      <c r="H22" s="55">
        <v>0.5</v>
      </c>
      <c r="I22" s="54">
        <v>0.125</v>
      </c>
      <c r="J22" s="53">
        <f>H22-I22</f>
        <v>0.375</v>
      </c>
      <c r="K22" s="33">
        <f>J22*I22*G22</f>
        <v>4.6875E-2</v>
      </c>
      <c r="L22" s="20"/>
      <c r="M22" s="53" t="s">
        <v>121</v>
      </c>
      <c r="N22" s="59">
        <f>E24*(((1/K29)*E23*(E29^2)*SQRT(E27/E28))^E25)</f>
        <v>1.0168468911463941</v>
      </c>
      <c r="P22" s="93" t="s">
        <v>107</v>
      </c>
      <c r="Q22" s="94">
        <v>0.35</v>
      </c>
    </row>
    <row r="23" spans="1:19" x14ac:dyDescent="0.25">
      <c r="A23" s="26"/>
      <c r="D23" s="60" t="s">
        <v>117</v>
      </c>
      <c r="E23" s="52">
        <v>6</v>
      </c>
      <c r="F23" s="21">
        <v>2</v>
      </c>
      <c r="G23" s="30">
        <v>1</v>
      </c>
      <c r="H23" s="55">
        <v>2</v>
      </c>
      <c r="I23" s="54">
        <v>0.125</v>
      </c>
      <c r="J23" s="53">
        <f>H23-I23*2</f>
        <v>1.75</v>
      </c>
      <c r="K23" s="33">
        <f>J23*I23*G23</f>
        <v>0.21875</v>
      </c>
      <c r="L23" s="30"/>
      <c r="M23" s="53" t="s">
        <v>122</v>
      </c>
      <c r="N23" s="59">
        <f>N22*E28</f>
        <v>71.179282380247585</v>
      </c>
      <c r="P23" s="95" t="s">
        <v>109</v>
      </c>
      <c r="Q23" s="96">
        <v>0</v>
      </c>
      <c r="S23" t="s">
        <v>256</v>
      </c>
    </row>
    <row r="24" spans="1:19" x14ac:dyDescent="0.25">
      <c r="A24" s="26"/>
      <c r="D24" s="60" t="s">
        <v>118</v>
      </c>
      <c r="E24" s="52">
        <v>0.55000000000000004</v>
      </c>
      <c r="F24" s="21">
        <v>3</v>
      </c>
      <c r="G24" s="30">
        <v>2</v>
      </c>
      <c r="H24" s="55">
        <v>1.25</v>
      </c>
      <c r="I24" s="54">
        <v>0.125</v>
      </c>
      <c r="J24" s="53">
        <f>H24-I24/2</f>
        <v>1.1875</v>
      </c>
      <c r="K24" s="33">
        <f>J24*I24*G24</f>
        <v>0.296875</v>
      </c>
      <c r="L24" s="30"/>
      <c r="M24" s="53" t="s">
        <v>123</v>
      </c>
      <c r="N24" s="59">
        <f>E28*E26</f>
        <v>52.5</v>
      </c>
    </row>
    <row r="25" spans="1:19" x14ac:dyDescent="0.25">
      <c r="A25" s="26"/>
      <c r="D25" s="60" t="s">
        <v>102</v>
      </c>
      <c r="E25" s="52">
        <v>0.85</v>
      </c>
      <c r="F25" s="21">
        <v>4</v>
      </c>
      <c r="G25" s="71"/>
      <c r="H25" s="55"/>
      <c r="I25" s="54"/>
      <c r="J25" s="53">
        <f>H25-I25/2</f>
        <v>0</v>
      </c>
      <c r="K25" s="33">
        <f>J25*I25*G25</f>
        <v>0</v>
      </c>
      <c r="L25" s="30"/>
      <c r="M25" s="61" t="s">
        <v>124</v>
      </c>
      <c r="N25" s="62">
        <f>B13</f>
        <v>11.198730755549967</v>
      </c>
    </row>
    <row r="26" spans="1:19" x14ac:dyDescent="0.25">
      <c r="A26" s="26"/>
      <c r="D26" s="60" t="s">
        <v>119</v>
      </c>
      <c r="E26" s="52">
        <v>0.75</v>
      </c>
      <c r="F26" s="48">
        <v>5</v>
      </c>
      <c r="G26" s="30"/>
      <c r="H26" s="55"/>
      <c r="I26" s="54"/>
      <c r="J26" s="53"/>
      <c r="K26" s="33"/>
      <c r="L26" s="30"/>
      <c r="M26" s="97" t="s">
        <v>125</v>
      </c>
      <c r="N26" s="98">
        <f>IF(N23&gt;N24,MAX(SMALL(N23:N24,1),N25),N23)</f>
        <v>52.5</v>
      </c>
    </row>
    <row r="27" spans="1:19" x14ac:dyDescent="0.25">
      <c r="A27" s="26"/>
      <c r="D27" s="63" t="s">
        <v>22</v>
      </c>
      <c r="E27" s="51">
        <f>B7*Q21</f>
        <v>10700</v>
      </c>
      <c r="F27" s="48">
        <v>6</v>
      </c>
      <c r="G27" s="30"/>
      <c r="H27" s="20"/>
      <c r="I27" s="20"/>
      <c r="J27" s="20"/>
      <c r="K27" s="30"/>
      <c r="L27" s="30"/>
      <c r="M27" s="30"/>
      <c r="N27" s="58"/>
    </row>
    <row r="28" spans="1:19" x14ac:dyDescent="0.25">
      <c r="A28" s="26"/>
      <c r="D28" s="63" t="s">
        <v>120</v>
      </c>
      <c r="E28" s="51">
        <f>$B$12</f>
        <v>70</v>
      </c>
      <c r="F28" s="48">
        <v>7</v>
      </c>
      <c r="G28" s="30"/>
      <c r="H28" s="20"/>
      <c r="I28" s="20"/>
      <c r="J28" s="20"/>
      <c r="K28" s="20"/>
      <c r="L28" s="20"/>
      <c r="M28" s="30"/>
      <c r="N28" s="58"/>
    </row>
    <row r="29" spans="1:19" ht="15.75" thickBot="1" x14ac:dyDescent="0.3">
      <c r="A29" s="26"/>
      <c r="B29" s="48"/>
      <c r="C29" s="48"/>
      <c r="D29" s="64" t="s">
        <v>128</v>
      </c>
      <c r="E29" s="65">
        <f>(H22*I22+H23*I23+H24*I24+H25*I25)/SUM(H22:H25)</f>
        <v>0.125</v>
      </c>
      <c r="F29" s="24"/>
      <c r="G29" s="112"/>
      <c r="H29" s="24"/>
      <c r="I29" s="24"/>
      <c r="J29" s="66" t="s">
        <v>129</v>
      </c>
      <c r="K29" s="46">
        <f>SUM(K21:K28)</f>
        <v>0.5625</v>
      </c>
      <c r="L29" s="24" t="s">
        <v>32</v>
      </c>
      <c r="M29" s="24"/>
      <c r="N29" s="25"/>
      <c r="P29" s="26"/>
    </row>
    <row r="30" spans="1:19" x14ac:dyDescent="0.25">
      <c r="A30" s="26"/>
      <c r="P30" s="26"/>
    </row>
    <row r="31" spans="1:19" x14ac:dyDescent="0.25">
      <c r="B31" s="42"/>
      <c r="Q31" s="26"/>
    </row>
    <row r="32" spans="1:19" x14ac:dyDescent="0.25">
      <c r="B32" s="42"/>
      <c r="D32" s="190" t="s">
        <v>255</v>
      </c>
      <c r="E32" s="190"/>
      <c r="F32" s="190"/>
      <c r="G32" s="190"/>
      <c r="Q32" s="26"/>
    </row>
    <row r="33" spans="1:17" x14ac:dyDescent="0.25">
      <c r="A33" s="26"/>
      <c r="B33" s="26"/>
      <c r="Q33" s="26"/>
    </row>
    <row r="34" spans="1:17" x14ac:dyDescent="0.25">
      <c r="A34" s="26"/>
      <c r="B34" s="26"/>
      <c r="Q34" s="26"/>
    </row>
  </sheetData>
  <mergeCells count="11">
    <mergeCell ref="A6:B6"/>
    <mergeCell ref="A19:C19"/>
    <mergeCell ref="A20:C20"/>
    <mergeCell ref="A21:C21"/>
    <mergeCell ref="A22:C22"/>
    <mergeCell ref="D20:F20"/>
    <mergeCell ref="D22:E22"/>
    <mergeCell ref="D9:F9"/>
    <mergeCell ref="P1:Q1"/>
    <mergeCell ref="G9:J9"/>
    <mergeCell ref="H20:K20"/>
  </mergeCells>
  <dataValidations count="1">
    <dataValidation type="list" allowBlank="1" showInputMessage="1" showErrorMessage="1" sqref="H3:H5">
      <formula1>$R$3:$R$5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opLeftCell="D1" zoomScaleNormal="100" workbookViewId="0">
      <selection activeCell="M22" sqref="M22:O22"/>
    </sheetView>
  </sheetViews>
  <sheetFormatPr defaultRowHeight="15" x14ac:dyDescent="0.25"/>
  <cols>
    <col min="1" max="2" width="9.140625" customWidth="1"/>
    <col min="3" max="3" width="4.7109375" bestFit="1" customWidth="1"/>
    <col min="4" max="4" width="9.140625" style="190"/>
    <col min="7" max="7" width="4.7109375" bestFit="1" customWidth="1"/>
    <col min="8" max="8" width="9.140625" style="190"/>
    <col min="9" max="9" width="14.5703125" bestFit="1" customWidth="1"/>
    <col min="11" max="11" width="4.7109375" bestFit="1" customWidth="1"/>
    <col min="12" max="12" width="9.140625" style="190"/>
    <col min="13" max="13" width="14.5703125" bestFit="1" customWidth="1"/>
    <col min="15" max="15" width="4.7109375" bestFit="1" customWidth="1"/>
    <col min="16" max="16" width="9.140625" style="190"/>
    <col min="18" max="18" width="24.7109375" bestFit="1" customWidth="1"/>
  </cols>
  <sheetData>
    <row r="1" spans="1:19" x14ac:dyDescent="0.25">
      <c r="A1" s="274" t="s">
        <v>270</v>
      </c>
      <c r="B1" s="274"/>
      <c r="C1" s="274"/>
      <c r="E1" s="274" t="s">
        <v>271</v>
      </c>
      <c r="F1" s="274"/>
      <c r="G1" s="274"/>
      <c r="I1" s="274" t="s">
        <v>283</v>
      </c>
      <c r="J1" s="274"/>
      <c r="K1" s="274"/>
      <c r="M1" s="274" t="s">
        <v>283</v>
      </c>
      <c r="N1" s="274"/>
      <c r="O1" s="274"/>
      <c r="Q1" s="276" t="s">
        <v>76</v>
      </c>
      <c r="R1" s="277"/>
    </row>
    <row r="2" spans="1:19" x14ac:dyDescent="0.25">
      <c r="Q2" s="192"/>
      <c r="R2" s="141" t="s">
        <v>130</v>
      </c>
    </row>
    <row r="3" spans="1:19" x14ac:dyDescent="0.25">
      <c r="A3" s="273" t="s">
        <v>257</v>
      </c>
      <c r="B3" s="273"/>
      <c r="C3" s="273"/>
      <c r="D3" s="197"/>
      <c r="E3" s="273" t="s">
        <v>258</v>
      </c>
      <c r="F3" s="273"/>
      <c r="G3" s="273"/>
      <c r="H3" s="197"/>
      <c r="I3" s="273" t="s">
        <v>266</v>
      </c>
      <c r="J3" s="273"/>
      <c r="K3" s="273"/>
      <c r="M3" s="273" t="s">
        <v>275</v>
      </c>
      <c r="N3" s="273"/>
      <c r="O3" s="273"/>
      <c r="Q3" s="193"/>
      <c r="R3" s="141" t="s">
        <v>131</v>
      </c>
    </row>
    <row r="4" spans="1:19" x14ac:dyDescent="0.25">
      <c r="A4" s="73" t="s">
        <v>156</v>
      </c>
      <c r="B4" s="73">
        <v>3.2000000000000001E-2</v>
      </c>
      <c r="C4" s="30" t="s">
        <v>11</v>
      </c>
      <c r="D4" s="197"/>
      <c r="E4" s="73" t="s">
        <v>262</v>
      </c>
      <c r="F4" s="73">
        <v>0.125</v>
      </c>
      <c r="G4" s="30" t="s">
        <v>11</v>
      </c>
      <c r="H4" s="197"/>
      <c r="I4" s="191" t="s">
        <v>272</v>
      </c>
      <c r="J4" s="191">
        <f>F4/B4</f>
        <v>3.90625</v>
      </c>
      <c r="K4" s="71"/>
      <c r="M4" s="274" t="s">
        <v>281</v>
      </c>
      <c r="N4" s="274"/>
      <c r="O4" s="274"/>
      <c r="Q4" s="194"/>
      <c r="R4" s="141" t="s">
        <v>77</v>
      </c>
    </row>
    <row r="5" spans="1:19" ht="15.75" thickBot="1" x14ac:dyDescent="0.3">
      <c r="A5" s="73" t="s">
        <v>158</v>
      </c>
      <c r="B5" s="73">
        <v>2.5</v>
      </c>
      <c r="C5" s="30" t="s">
        <v>11</v>
      </c>
      <c r="D5" s="197"/>
      <c r="E5" s="73" t="s">
        <v>263</v>
      </c>
      <c r="F5" s="73">
        <v>3.3125</v>
      </c>
      <c r="G5" s="30" t="s">
        <v>11</v>
      </c>
      <c r="H5" s="197"/>
      <c r="I5" s="73" t="s">
        <v>268</v>
      </c>
      <c r="J5" s="73">
        <v>6</v>
      </c>
      <c r="K5" s="71"/>
      <c r="M5" s="73" t="s">
        <v>268</v>
      </c>
      <c r="N5" s="73">
        <v>6</v>
      </c>
      <c r="O5" s="71"/>
      <c r="Q5" s="195"/>
      <c r="R5" s="196" t="s">
        <v>138</v>
      </c>
    </row>
    <row r="6" spans="1:19" x14ac:dyDescent="0.25">
      <c r="A6" s="191" t="s">
        <v>264</v>
      </c>
      <c r="B6" s="191">
        <f>B5*B4</f>
        <v>0.08</v>
      </c>
      <c r="C6" s="30" t="s">
        <v>32</v>
      </c>
      <c r="D6" s="197"/>
      <c r="E6" s="30"/>
      <c r="F6" s="30"/>
      <c r="G6" s="30"/>
      <c r="H6" s="197"/>
      <c r="I6" s="73" t="s">
        <v>194</v>
      </c>
      <c r="J6" s="73">
        <v>0.4</v>
      </c>
      <c r="K6" s="71"/>
      <c r="M6" s="73" t="s">
        <v>194</v>
      </c>
      <c r="N6" s="73">
        <v>0.4</v>
      </c>
      <c r="O6" s="71"/>
    </row>
    <row r="7" spans="1:19" x14ac:dyDescent="0.25">
      <c r="A7" s="30"/>
      <c r="B7" s="30"/>
      <c r="C7" s="30"/>
      <c r="D7" s="197"/>
      <c r="E7" s="273" t="s">
        <v>151</v>
      </c>
      <c r="F7" s="273"/>
      <c r="G7" s="273"/>
      <c r="H7" s="197"/>
      <c r="I7" s="73" t="s">
        <v>267</v>
      </c>
      <c r="J7" s="73">
        <v>0.67</v>
      </c>
      <c r="K7" s="71"/>
      <c r="M7" s="73" t="s">
        <v>267</v>
      </c>
      <c r="N7" s="73">
        <v>0.67</v>
      </c>
      <c r="O7" s="71"/>
      <c r="S7" s="71"/>
    </row>
    <row r="8" spans="1:19" x14ac:dyDescent="0.25">
      <c r="A8" s="273" t="s">
        <v>152</v>
      </c>
      <c r="B8" s="273"/>
      <c r="C8" s="273"/>
      <c r="D8" s="197"/>
      <c r="E8" s="73" t="s">
        <v>155</v>
      </c>
      <c r="F8" s="73">
        <v>10500</v>
      </c>
      <c r="G8" s="30" t="s">
        <v>9</v>
      </c>
      <c r="H8" s="197"/>
      <c r="I8" s="73" t="s">
        <v>273</v>
      </c>
      <c r="J8" s="73">
        <v>0.75</v>
      </c>
      <c r="K8" s="71"/>
      <c r="M8" s="73" t="s">
        <v>273</v>
      </c>
      <c r="N8" s="73">
        <v>0.75</v>
      </c>
      <c r="O8" s="71"/>
    </row>
    <row r="9" spans="1:19" x14ac:dyDescent="0.25">
      <c r="A9" s="73" t="s">
        <v>155</v>
      </c>
      <c r="B9" s="73">
        <v>10700</v>
      </c>
      <c r="C9" s="30" t="s">
        <v>9</v>
      </c>
      <c r="D9" s="197"/>
      <c r="E9" s="73" t="s">
        <v>157</v>
      </c>
      <c r="F9" s="73">
        <v>72</v>
      </c>
      <c r="G9" s="30" t="s">
        <v>9</v>
      </c>
      <c r="H9" s="197"/>
    </row>
    <row r="10" spans="1:19" x14ac:dyDescent="0.25">
      <c r="A10" s="73" t="s">
        <v>157</v>
      </c>
      <c r="B10" s="73">
        <v>35.700000000000003</v>
      </c>
      <c r="C10" s="30" t="s">
        <v>9</v>
      </c>
      <c r="D10" s="197"/>
      <c r="E10" s="73" t="s">
        <v>7</v>
      </c>
      <c r="F10" s="73">
        <v>16.600000000000001</v>
      </c>
      <c r="G10" s="30"/>
      <c r="H10" s="197"/>
      <c r="I10" s="191" t="s">
        <v>260</v>
      </c>
      <c r="J10" s="191">
        <f>N10+B6</f>
        <v>0.49406250000000002</v>
      </c>
      <c r="K10" s="71" t="s">
        <v>32</v>
      </c>
      <c r="M10" s="191" t="s">
        <v>277</v>
      </c>
      <c r="N10" s="191">
        <f>F5*F4</f>
        <v>0.4140625</v>
      </c>
      <c r="O10" s="71" t="s">
        <v>32</v>
      </c>
    </row>
    <row r="11" spans="1:19" x14ac:dyDescent="0.25">
      <c r="A11" s="73" t="s">
        <v>7</v>
      </c>
      <c r="B11" s="73">
        <v>12</v>
      </c>
      <c r="C11" s="30"/>
      <c r="D11" s="197"/>
      <c r="E11" s="73" t="s">
        <v>160</v>
      </c>
      <c r="F11" s="73">
        <v>70</v>
      </c>
      <c r="G11" s="30" t="s">
        <v>9</v>
      </c>
      <c r="H11" s="197"/>
      <c r="I11" s="191" t="s">
        <v>259</v>
      </c>
      <c r="J11" s="191">
        <f>J10/B5</f>
        <v>0.197625</v>
      </c>
      <c r="K11" s="71" t="s">
        <v>11</v>
      </c>
      <c r="M11" s="191" t="s">
        <v>278</v>
      </c>
      <c r="N11" s="191">
        <f>F4</f>
        <v>0.125</v>
      </c>
      <c r="O11" s="71" t="s">
        <v>11</v>
      </c>
    </row>
    <row r="12" spans="1:19" x14ac:dyDescent="0.25">
      <c r="A12" s="73" t="s">
        <v>160</v>
      </c>
      <c r="B12" s="73">
        <v>37</v>
      </c>
      <c r="C12" s="30" t="s">
        <v>9</v>
      </c>
      <c r="D12" s="197"/>
      <c r="G12" s="30"/>
      <c r="H12" s="197"/>
      <c r="I12" s="191" t="s">
        <v>261</v>
      </c>
      <c r="J12" s="191">
        <f>(B12+F11*(J11/B4-1))/(J11/B4)</f>
        <v>64.656546489563567</v>
      </c>
      <c r="K12" s="71" t="s">
        <v>9</v>
      </c>
      <c r="M12" s="191" t="s">
        <v>279</v>
      </c>
      <c r="N12" s="191">
        <f>N7*((N5*F4^2/N10)*SQRT(F8/F11))^N6</f>
        <v>1.0075235474420325</v>
      </c>
      <c r="O12" s="5"/>
    </row>
    <row r="13" spans="1:19" x14ac:dyDescent="0.25">
      <c r="D13" s="197"/>
      <c r="G13" s="30"/>
      <c r="H13" s="197"/>
      <c r="I13" s="191" t="s">
        <v>265</v>
      </c>
      <c r="J13" s="191">
        <f>J7*((J5*F4*B4/J10)*SQRT(F8/J12))^J6</f>
        <v>0.55304682291977381</v>
      </c>
      <c r="K13" s="5"/>
      <c r="M13" s="191" t="s">
        <v>280</v>
      </c>
      <c r="N13" s="191">
        <f>N12*F11</f>
        <v>70.526648320942272</v>
      </c>
      <c r="O13" s="71" t="s">
        <v>9</v>
      </c>
    </row>
    <row r="14" spans="1:19" x14ac:dyDescent="0.25">
      <c r="D14" s="197"/>
      <c r="H14" s="197"/>
      <c r="I14" s="191" t="s">
        <v>269</v>
      </c>
      <c r="J14" s="191">
        <f>J13*J12</f>
        <v>35.758097617017782</v>
      </c>
      <c r="K14" s="71" t="s">
        <v>9</v>
      </c>
      <c r="M14" s="191" t="s">
        <v>274</v>
      </c>
      <c r="N14" s="191">
        <f>N8*F11</f>
        <v>52.5</v>
      </c>
      <c r="O14" s="71" t="s">
        <v>9</v>
      </c>
    </row>
    <row r="15" spans="1:19" ht="15.75" thickBot="1" x14ac:dyDescent="0.3">
      <c r="D15" s="197"/>
      <c r="H15" s="197"/>
      <c r="I15" s="191" t="s">
        <v>274</v>
      </c>
      <c r="J15" s="191">
        <f>J8*F11</f>
        <v>52.5</v>
      </c>
      <c r="K15" s="71" t="s">
        <v>9</v>
      </c>
      <c r="M15" s="61" t="s">
        <v>282</v>
      </c>
      <c r="N15" s="61">
        <v>40</v>
      </c>
      <c r="O15" s="71" t="s">
        <v>9</v>
      </c>
    </row>
    <row r="16" spans="1:19" ht="15.75" thickBot="1" x14ac:dyDescent="0.3">
      <c r="D16" s="197"/>
      <c r="H16" s="197"/>
      <c r="I16" s="61" t="s">
        <v>124</v>
      </c>
      <c r="J16" s="61">
        <v>40</v>
      </c>
      <c r="K16" s="71" t="s">
        <v>9</v>
      </c>
      <c r="M16" s="199" t="s">
        <v>280</v>
      </c>
      <c r="N16" s="200">
        <f>IF(N13&gt;N14,MAX(SMALL(N13:N14,1),N15),N13)</f>
        <v>52.5</v>
      </c>
      <c r="O16" s="198" t="s">
        <v>9</v>
      </c>
    </row>
    <row r="17" spans="9:15" ht="15.75" thickBot="1" x14ac:dyDescent="0.3">
      <c r="I17" s="199" t="s">
        <v>125</v>
      </c>
      <c r="J17" s="200">
        <f>IF(J14&gt;J15,MAX(SMALL(J14:J15,1),J16),J14)</f>
        <v>35.758097617017782</v>
      </c>
      <c r="K17" s="198" t="s">
        <v>9</v>
      </c>
    </row>
    <row r="18" spans="9:15" x14ac:dyDescent="0.25">
      <c r="M18" s="191" t="s">
        <v>285</v>
      </c>
      <c r="N18">
        <f>N16/F9*(1+3/7*(N16/F9)^(F10-1))</f>
        <v>0.73143104093206057</v>
      </c>
    </row>
    <row r="19" spans="9:15" x14ac:dyDescent="0.25">
      <c r="M19" s="191" t="s">
        <v>286</v>
      </c>
      <c r="N19">
        <f>N18*F9/F8</f>
        <v>5.0155271378198437E-3</v>
      </c>
    </row>
    <row r="20" spans="9:15" x14ac:dyDescent="0.25">
      <c r="M20" s="191" t="s">
        <v>284</v>
      </c>
      <c r="N20">
        <f>F8/(1+3/7*(N16/F9)^(F10-1))</f>
        <v>10467.493955744156</v>
      </c>
    </row>
    <row r="22" spans="9:15" x14ac:dyDescent="0.25">
      <c r="M22" s="275" t="s">
        <v>288</v>
      </c>
      <c r="N22" s="275"/>
      <c r="O22" s="275"/>
    </row>
  </sheetData>
  <mergeCells count="13">
    <mergeCell ref="M22:O22"/>
    <mergeCell ref="M1:O1"/>
    <mergeCell ref="M3:O3"/>
    <mergeCell ref="E7:G7"/>
    <mergeCell ref="Q1:R1"/>
    <mergeCell ref="M4:O4"/>
    <mergeCell ref="A8:C8"/>
    <mergeCell ref="A1:C1"/>
    <mergeCell ref="E1:G1"/>
    <mergeCell ref="I1:K1"/>
    <mergeCell ref="I3:K3"/>
    <mergeCell ref="E3:G3"/>
    <mergeCell ref="A3:C3"/>
  </mergeCells>
  <hyperlinks>
    <hyperlink ref="M22:O22" location="'Falha Local Painel - Boeing'!A1" display="Ir para próxima aba"/>
  </hyperlink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1"/>
  <sheetViews>
    <sheetView topLeftCell="A14" workbookViewId="0">
      <selection activeCell="L26" sqref="L26"/>
    </sheetView>
  </sheetViews>
  <sheetFormatPr defaultRowHeight="15" x14ac:dyDescent="0.25"/>
  <cols>
    <col min="11" max="11" width="11" customWidth="1"/>
    <col min="12" max="12" width="8.85546875" customWidth="1"/>
    <col min="13" max="13" width="6.28515625" customWidth="1"/>
  </cols>
  <sheetData>
    <row r="1" spans="2:15" ht="15.75" thickBot="1" x14ac:dyDescent="0.3"/>
    <row r="2" spans="2:15" ht="15.75" thickBot="1" x14ac:dyDescent="0.3">
      <c r="B2" s="281" t="s">
        <v>151</v>
      </c>
      <c r="C2" s="282"/>
      <c r="E2" s="281" t="s">
        <v>152</v>
      </c>
      <c r="F2" s="282"/>
      <c r="H2" s="278" t="s">
        <v>153</v>
      </c>
      <c r="I2" s="280"/>
      <c r="K2" s="137" t="s">
        <v>154</v>
      </c>
      <c r="L2" s="138">
        <v>1</v>
      </c>
      <c r="N2" s="276" t="s">
        <v>76</v>
      </c>
      <c r="O2" s="277"/>
    </row>
    <row r="3" spans="2:15" x14ac:dyDescent="0.25">
      <c r="B3" s="192" t="s">
        <v>155</v>
      </c>
      <c r="C3" s="192">
        <f>'Falha Local Painel - Gerard'!F8</f>
        <v>10500</v>
      </c>
      <c r="E3" s="192" t="s">
        <v>155</v>
      </c>
      <c r="F3" s="192">
        <f>'Falha Local Painel - Gerard'!B9</f>
        <v>10700</v>
      </c>
      <c r="H3" s="192" t="s">
        <v>156</v>
      </c>
      <c r="I3" s="192">
        <f>'Falha Local Painel - Gerard'!B4</f>
        <v>3.2000000000000001E-2</v>
      </c>
      <c r="N3" s="192"/>
      <c r="O3" s="141" t="s">
        <v>130</v>
      </c>
    </row>
    <row r="4" spans="2:15" ht="15.75" thickBot="1" x14ac:dyDescent="0.3">
      <c r="B4" s="192" t="s">
        <v>157</v>
      </c>
      <c r="C4" s="192">
        <f>'Falha Local Painel - Gerard'!F9</f>
        <v>72</v>
      </c>
      <c r="E4" s="192" t="s">
        <v>157</v>
      </c>
      <c r="F4" s="192">
        <f>'Falha Local Painel - Gerard'!B10</f>
        <v>35.700000000000003</v>
      </c>
      <c r="H4" s="192" t="s">
        <v>158</v>
      </c>
      <c r="I4" s="192">
        <f>'Falha Local Painel - Gerard'!B5</f>
        <v>2.5</v>
      </c>
      <c r="N4" s="193"/>
      <c r="O4" s="141" t="s">
        <v>131</v>
      </c>
    </row>
    <row r="5" spans="2:15" x14ac:dyDescent="0.25">
      <c r="B5" s="192" t="s">
        <v>7</v>
      </c>
      <c r="C5" s="192">
        <f>'Falha Local Painel - Gerard'!F10</f>
        <v>16.600000000000001</v>
      </c>
      <c r="E5" s="192" t="s">
        <v>7</v>
      </c>
      <c r="F5" s="192">
        <f>'Falha Local Painel - Gerard'!B11</f>
        <v>12</v>
      </c>
      <c r="H5" s="140"/>
      <c r="I5" s="141"/>
      <c r="N5" s="146"/>
      <c r="O5" s="141" t="s">
        <v>77</v>
      </c>
    </row>
    <row r="6" spans="2:15" ht="15.75" thickBot="1" x14ac:dyDescent="0.3">
      <c r="B6" s="192" t="s">
        <v>160</v>
      </c>
      <c r="C6" s="192">
        <f>'Falha Local Painel - Gerard'!F11</f>
        <v>70</v>
      </c>
      <c r="E6" s="192" t="s">
        <v>160</v>
      </c>
      <c r="F6" s="192">
        <f>'Falha Local Painel - Gerard'!B12</f>
        <v>37</v>
      </c>
      <c r="H6" s="142"/>
      <c r="I6" s="143"/>
      <c r="N6" s="148"/>
      <c r="O6" s="196" t="s">
        <v>138</v>
      </c>
    </row>
    <row r="7" spans="2:15" ht="15.75" thickBot="1" x14ac:dyDescent="0.3"/>
    <row r="8" spans="2:15" ht="15.75" thickBot="1" x14ac:dyDescent="0.3">
      <c r="B8" s="278" t="s">
        <v>287</v>
      </c>
      <c r="C8" s="279"/>
      <c r="D8" s="279"/>
      <c r="E8" s="279"/>
      <c r="F8" s="279"/>
      <c r="G8" s="279"/>
      <c r="H8" s="279"/>
      <c r="I8" s="280"/>
    </row>
    <row r="9" spans="2:15" ht="15.75" thickBot="1" x14ac:dyDescent="0.3"/>
    <row r="10" spans="2:15" ht="15.75" thickBot="1" x14ac:dyDescent="0.3">
      <c r="B10" s="144" t="s">
        <v>163</v>
      </c>
      <c r="C10" s="145">
        <f>'Falha Local Painel - Gerard'!N16</f>
        <v>52.5</v>
      </c>
    </row>
    <row r="11" spans="2:15" ht="15.75" thickBot="1" x14ac:dyDescent="0.3"/>
    <row r="12" spans="2:15" ht="15.75" thickBot="1" x14ac:dyDescent="0.3">
      <c r="B12" s="278" t="s">
        <v>164</v>
      </c>
      <c r="C12" s="279"/>
      <c r="D12" s="279"/>
      <c r="E12" s="279"/>
      <c r="F12" s="279"/>
      <c r="G12" s="279"/>
      <c r="H12" s="279"/>
      <c r="I12" s="280"/>
    </row>
    <row r="13" spans="2:15" ht="15.75" thickBot="1" x14ac:dyDescent="0.3"/>
    <row r="14" spans="2:15" x14ac:dyDescent="0.25">
      <c r="B14" s="146" t="s">
        <v>165</v>
      </c>
      <c r="C14" s="147">
        <f>C3/(1+(3/7)*(C10/C4)^(C5-1))</f>
        <v>10467.493955744156</v>
      </c>
      <c r="E14" s="148" t="s">
        <v>166</v>
      </c>
      <c r="F14" s="149">
        <v>36.11133885406219</v>
      </c>
      <c r="H14" s="146" t="s">
        <v>167</v>
      </c>
      <c r="I14" s="147">
        <f>F3/(1+(3/7)*(F14/F4)^(F5-1))</f>
        <v>7199.9089750735229</v>
      </c>
    </row>
    <row r="15" spans="2:15" ht="15.75" thickBot="1" x14ac:dyDescent="0.3">
      <c r="B15" s="150" t="s">
        <v>168</v>
      </c>
      <c r="C15" s="151">
        <f>C3/(1+(3*C5/7)*(C10/C4)^(C5-1))</f>
        <v>9985.2589280769898</v>
      </c>
      <c r="E15" s="71"/>
      <c r="F15" s="71"/>
      <c r="H15" s="152" t="s">
        <v>169</v>
      </c>
      <c r="I15" s="153">
        <f>F14/I14</f>
        <v>5.0155271377848821E-3</v>
      </c>
    </row>
    <row r="16" spans="2:15" ht="15.75" thickBot="1" x14ac:dyDescent="0.3">
      <c r="B16" s="152" t="s">
        <v>170</v>
      </c>
      <c r="C16" s="153">
        <f>C10/C14</f>
        <v>5.0155271378198437E-3</v>
      </c>
    </row>
    <row r="17" spans="2:12" ht="15.75" thickBot="1" x14ac:dyDescent="0.3"/>
    <row r="18" spans="2:12" ht="15.75" thickBot="1" x14ac:dyDescent="0.3">
      <c r="B18" s="283" t="s">
        <v>171</v>
      </c>
      <c r="C18" s="284"/>
      <c r="D18" s="154">
        <f>I14/C14</f>
        <v>0.6878350257964555</v>
      </c>
      <c r="H18" s="148" t="s">
        <v>172</v>
      </c>
      <c r="I18" s="149">
        <f>(I15-C16)*10000000</f>
        <v>-3.496161693483657E-7</v>
      </c>
    </row>
    <row r="19" spans="2:12" ht="15.75" thickBot="1" x14ac:dyDescent="0.3"/>
    <row r="20" spans="2:12" ht="15.75" thickBot="1" x14ac:dyDescent="0.3">
      <c r="B20" s="155" t="s">
        <v>276</v>
      </c>
      <c r="C20" s="162">
        <f>IF(I4/I3&gt;110,1.9,1.7)</f>
        <v>1.7</v>
      </c>
    </row>
    <row r="21" spans="2:12" ht="15.75" thickBot="1" x14ac:dyDescent="0.3">
      <c r="B21" s="155" t="s">
        <v>173</v>
      </c>
      <c r="C21" s="156">
        <f>C20*I3*D18*SQRT(F3/C10)</f>
        <v>0.5341895942716528</v>
      </c>
    </row>
    <row r="22" spans="2:12" ht="15.75" thickBot="1" x14ac:dyDescent="0.3"/>
    <row r="23" spans="2:12" ht="15.75" thickBot="1" x14ac:dyDescent="0.3">
      <c r="B23" s="144" t="s">
        <v>174</v>
      </c>
      <c r="C23" s="157">
        <f>2*C21*I3</f>
        <v>3.4188134033385782E-2</v>
      </c>
    </row>
    <row r="24" spans="2:12" ht="15.75" thickBot="1" x14ac:dyDescent="0.3"/>
    <row r="25" spans="2:12" ht="15.75" thickBot="1" x14ac:dyDescent="0.3">
      <c r="B25" s="278" t="s">
        <v>289</v>
      </c>
      <c r="C25" s="279"/>
      <c r="D25" s="279"/>
      <c r="E25" s="279"/>
      <c r="F25" s="279"/>
      <c r="G25" s="279"/>
      <c r="H25" s="279"/>
      <c r="I25" s="280"/>
    </row>
    <row r="26" spans="2:12" ht="15.75" thickBot="1" x14ac:dyDescent="0.3">
      <c r="B26" s="5"/>
      <c r="C26" s="5"/>
      <c r="D26" s="5"/>
      <c r="E26" s="5"/>
      <c r="F26" s="5"/>
      <c r="G26" s="5"/>
      <c r="H26" s="5"/>
      <c r="I26" s="5"/>
      <c r="K26">
        <f>(C32*PI()^2*F31/(12*(1-C31^2)))^(1/2)*I3</f>
        <v>0.28297598897536885</v>
      </c>
      <c r="L26">
        <f>(I31/(1.9*F31))^(-1/2)*I3</f>
        <v>5.9448194775914773E-2</v>
      </c>
    </row>
    <row r="27" spans="2:12" ht="15.75" thickBot="1" x14ac:dyDescent="0.3">
      <c r="B27" s="144" t="s">
        <v>269</v>
      </c>
      <c r="C27" s="157">
        <f>C10*(C23+'Falha Local Painel - Gerard'!N10)/('Falha Local Painel - Gerard'!N10+'Falha Local Painel - Boeing'!I4*'Falha Local Painel - Boeing'!I3)</f>
        <v>47.631945931441365</v>
      </c>
      <c r="D27" s="71" t="s">
        <v>9</v>
      </c>
      <c r="E27" s="201"/>
      <c r="F27" s="71"/>
      <c r="G27" s="71"/>
      <c r="H27" s="71"/>
      <c r="I27" s="71"/>
    </row>
    <row r="28" spans="2:12" ht="15.75" thickBot="1" x14ac:dyDescent="0.3">
      <c r="B28" s="71"/>
      <c r="C28" s="71"/>
      <c r="D28" s="71"/>
      <c r="E28" s="71"/>
      <c r="F28" s="71"/>
      <c r="G28" s="71"/>
      <c r="H28" s="71"/>
      <c r="I28" s="71"/>
    </row>
    <row r="29" spans="2:12" ht="15.75" thickBot="1" x14ac:dyDescent="0.3">
      <c r="B29" s="278" t="s">
        <v>315</v>
      </c>
      <c r="C29" s="279"/>
      <c r="D29" s="279"/>
      <c r="E29" s="279"/>
      <c r="F29" s="279"/>
      <c r="G29" s="279"/>
      <c r="H29" s="279"/>
      <c r="I29" s="280"/>
    </row>
    <row r="30" spans="2:12" ht="15.75" thickBot="1" x14ac:dyDescent="0.3">
      <c r="E30" s="71"/>
      <c r="F30" s="71"/>
      <c r="G30" s="71"/>
      <c r="H30" s="71"/>
      <c r="I30" s="71"/>
    </row>
    <row r="31" spans="2:12" x14ac:dyDescent="0.25">
      <c r="B31" s="219" t="s">
        <v>311</v>
      </c>
      <c r="C31" s="220">
        <v>0.3</v>
      </c>
      <c r="D31" s="58"/>
      <c r="E31" s="224" t="s">
        <v>309</v>
      </c>
      <c r="F31" s="225">
        <f>F3/(1+(3*F5/7)*(I31/F4)^(F5-1))</f>
        <v>86.521115319299795</v>
      </c>
      <c r="G31" s="30" t="s">
        <v>9</v>
      </c>
      <c r="H31" s="229" t="s">
        <v>109</v>
      </c>
      <c r="I31" s="231">
        <f>C27</f>
        <v>47.631945931441365</v>
      </c>
    </row>
    <row r="32" spans="2:12" ht="15.75" thickBot="1" x14ac:dyDescent="0.3">
      <c r="B32" s="216" t="s">
        <v>308</v>
      </c>
      <c r="C32" s="221">
        <v>1</v>
      </c>
      <c r="D32" s="58"/>
      <c r="E32" s="217" t="s">
        <v>307</v>
      </c>
      <c r="F32" s="226">
        <f>C32*PI()^2*F31/(12*(1-C31^2))*(SQRT(C32)/2*I3/C33)^2</f>
        <v>2.0018852584147018</v>
      </c>
      <c r="G32" s="30" t="s">
        <v>9</v>
      </c>
      <c r="H32" s="230" t="s">
        <v>312</v>
      </c>
      <c r="I32" s="232">
        <f>I31-F32</f>
        <v>45.630060673026662</v>
      </c>
    </row>
    <row r="33" spans="2:9" ht="15.75" thickBot="1" x14ac:dyDescent="0.3">
      <c r="B33" s="222" t="s">
        <v>310</v>
      </c>
      <c r="C33" s="223">
        <v>0.1</v>
      </c>
      <c r="D33" s="58" t="s">
        <v>11</v>
      </c>
      <c r="E33" s="227" t="s">
        <v>314</v>
      </c>
      <c r="F33" s="228">
        <f>1/PI()*C33/I3*SQRT(12*F4*(1-C31^2)/(F3*C32))</f>
        <v>0.18986883575717606</v>
      </c>
      <c r="G33" s="30"/>
      <c r="H33" s="30"/>
      <c r="I33" s="71"/>
    </row>
    <row r="34" spans="2:9" ht="15.75" thickBot="1" x14ac:dyDescent="0.3">
      <c r="E34" s="71"/>
      <c r="I34" s="71"/>
    </row>
    <row r="35" spans="2:9" ht="15.75" thickBot="1" x14ac:dyDescent="0.3">
      <c r="B35" s="144" t="s">
        <v>313</v>
      </c>
      <c r="C35" s="157">
        <f>(F32*C23+C10*'Falha Local Painel - Gerard'!N10)/(I4*I3+'Falha Local Painel - Gerard'!N10)</f>
        <v>44.137577677994464</v>
      </c>
      <c r="D35" s="30" t="s">
        <v>9</v>
      </c>
      <c r="E35" s="218"/>
      <c r="I35" s="71"/>
    </row>
    <row r="36" spans="2:9" x14ac:dyDescent="0.25">
      <c r="B36" s="30"/>
      <c r="C36" s="30"/>
      <c r="D36" s="30"/>
      <c r="E36" s="71"/>
      <c r="I36" s="5"/>
    </row>
    <row r="37" spans="2:9" x14ac:dyDescent="0.25">
      <c r="B37" s="30"/>
      <c r="C37" s="30"/>
      <c r="E37" s="71"/>
      <c r="I37" s="5"/>
    </row>
    <row r="38" spans="2:9" x14ac:dyDescent="0.25">
      <c r="B38" s="30"/>
      <c r="C38" s="30"/>
      <c r="D38" s="30"/>
      <c r="E38" s="71"/>
      <c r="I38" s="5"/>
    </row>
    <row r="39" spans="2:9" x14ac:dyDescent="0.25">
      <c r="B39" s="30"/>
      <c r="C39" s="30"/>
      <c r="D39" s="30"/>
      <c r="E39" s="71"/>
      <c r="I39" s="5"/>
    </row>
    <row r="40" spans="2:9" x14ac:dyDescent="0.25">
      <c r="B40" s="30"/>
      <c r="C40" s="30"/>
      <c r="D40" s="30"/>
      <c r="E40" s="30"/>
    </row>
    <row r="41" spans="2:9" x14ac:dyDescent="0.25">
      <c r="E41" s="30"/>
    </row>
  </sheetData>
  <mergeCells count="9">
    <mergeCell ref="N2:O2"/>
    <mergeCell ref="B29:I29"/>
    <mergeCell ref="B25:I25"/>
    <mergeCell ref="B2:C2"/>
    <mergeCell ref="E2:F2"/>
    <mergeCell ref="H2:I2"/>
    <mergeCell ref="B8:I8"/>
    <mergeCell ref="B12:I12"/>
    <mergeCell ref="B18:C18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4"/>
  <sheetViews>
    <sheetView workbookViewId="0">
      <selection activeCell="A20" sqref="A20"/>
    </sheetView>
  </sheetViews>
  <sheetFormatPr defaultRowHeight="15" x14ac:dyDescent="0.25"/>
  <sheetData>
    <row r="1" spans="2:17" ht="15.75" thickBot="1" x14ac:dyDescent="0.3">
      <c r="D1" s="161"/>
    </row>
    <row r="2" spans="2:17" ht="15.75" thickBot="1" x14ac:dyDescent="0.3">
      <c r="B2" s="287" t="s">
        <v>185</v>
      </c>
      <c r="C2" s="288"/>
      <c r="E2" s="287" t="s">
        <v>151</v>
      </c>
      <c r="F2" s="288"/>
      <c r="H2" s="155" t="s">
        <v>186</v>
      </c>
      <c r="I2" s="156">
        <f>(H10*F10+H11*F11+H12*F12+H13*F13+H14*F14+H15*F15+H16*F16+H17*F17+H18*F18+H19*F19+H20*F20+H21*F21+H22*F22+H23*F23+H24*F24)/I4</f>
        <v>41.949728080912529</v>
      </c>
      <c r="K2" s="155" t="s">
        <v>187</v>
      </c>
      <c r="L2" s="156">
        <f>(N10*P10+N11*P11+N12*P12+N13*P13+N14*P14+N15*P15+N16*P16+N17*P17+N18*P18+N19*P19+N20*P20+N21*P21+N22*P22+N23*P23+N24*P24)/L4</f>
        <v>0.29721882640586794</v>
      </c>
      <c r="N2" s="155" t="s">
        <v>188</v>
      </c>
      <c r="O2" s="162">
        <f>2*(PI()^2)*F3/(12.5^2)</f>
        <v>1326.4748315064096</v>
      </c>
    </row>
    <row r="3" spans="2:17" ht="15.75" thickBot="1" x14ac:dyDescent="0.3">
      <c r="B3" s="140" t="s">
        <v>189</v>
      </c>
      <c r="C3" s="141">
        <v>5.2749999999999998E-2</v>
      </c>
      <c r="E3" s="140" t="s">
        <v>155</v>
      </c>
      <c r="F3" s="141">
        <v>10500</v>
      </c>
    </row>
    <row r="4" spans="2:17" ht="15.75" thickBot="1" x14ac:dyDescent="0.3">
      <c r="B4" s="140" t="s">
        <v>190</v>
      </c>
      <c r="C4" s="141">
        <v>2.65</v>
      </c>
      <c r="E4" s="142" t="s">
        <v>160</v>
      </c>
      <c r="F4" s="143">
        <v>67</v>
      </c>
      <c r="H4" s="155" t="s">
        <v>191</v>
      </c>
      <c r="I4" s="156">
        <f>SUM(F10:F24)</f>
        <v>0.17</v>
      </c>
      <c r="K4" s="155" t="s">
        <v>192</v>
      </c>
      <c r="L4" s="156">
        <f>SUM(P10:P24)</f>
        <v>0.1636</v>
      </c>
      <c r="N4" s="155" t="s">
        <v>193</v>
      </c>
      <c r="O4" s="156">
        <f>O2*(1-SQRT(1-2*I2/O2))</f>
        <v>42.634903149209251</v>
      </c>
    </row>
    <row r="5" spans="2:17" ht="15.75" thickBot="1" x14ac:dyDescent="0.3">
      <c r="B5" s="142" t="s">
        <v>194</v>
      </c>
      <c r="C5" s="143">
        <v>0.8</v>
      </c>
    </row>
    <row r="6" spans="2:17" ht="15.75" thickBot="1" x14ac:dyDescent="0.3">
      <c r="K6" s="155" t="s">
        <v>195</v>
      </c>
      <c r="L6" s="156">
        <f>SUM(Q10:Q24)</f>
        <v>1.9649737899348003E-2</v>
      </c>
    </row>
    <row r="7" spans="2:17" ht="15.75" thickBot="1" x14ac:dyDescent="0.3"/>
    <row r="8" spans="2:17" ht="15.75" thickBot="1" x14ac:dyDescent="0.3">
      <c r="B8" s="278" t="s">
        <v>196</v>
      </c>
      <c r="C8" s="279"/>
      <c r="D8" s="279"/>
      <c r="E8" s="279"/>
      <c r="F8" s="279"/>
      <c r="G8" s="279"/>
      <c r="H8" s="280"/>
      <c r="J8" s="278" t="s">
        <v>197</v>
      </c>
      <c r="K8" s="279"/>
      <c r="L8" s="279"/>
      <c r="M8" s="279"/>
      <c r="N8" s="279"/>
      <c r="O8" s="279"/>
      <c r="P8" s="279"/>
      <c r="Q8" s="280"/>
    </row>
    <row r="9" spans="2:17" ht="15.75" thickBot="1" x14ac:dyDescent="0.3">
      <c r="B9" s="163"/>
      <c r="C9" s="164" t="s">
        <v>198</v>
      </c>
      <c r="D9" s="164" t="s">
        <v>199</v>
      </c>
      <c r="E9" s="164" t="s">
        <v>200</v>
      </c>
      <c r="F9" s="164" t="s">
        <v>201</v>
      </c>
      <c r="G9" s="164" t="s">
        <v>202</v>
      </c>
      <c r="H9" s="165" t="s">
        <v>203</v>
      </c>
      <c r="J9" s="289"/>
      <c r="K9" s="290"/>
      <c r="L9" s="166" t="s">
        <v>198</v>
      </c>
      <c r="M9" s="166" t="s">
        <v>199</v>
      </c>
      <c r="N9" s="166" t="s">
        <v>204</v>
      </c>
      <c r="O9" s="167" t="s">
        <v>205</v>
      </c>
      <c r="P9" s="168" t="s">
        <v>201</v>
      </c>
      <c r="Q9" s="169" t="s">
        <v>206</v>
      </c>
    </row>
    <row r="10" spans="2:17" x14ac:dyDescent="0.25">
      <c r="B10" s="139" t="s">
        <v>207</v>
      </c>
      <c r="C10" s="166">
        <v>0.04</v>
      </c>
      <c r="D10" s="166">
        <f>1/2</f>
        <v>0.5</v>
      </c>
      <c r="E10" s="170" t="s">
        <v>208</v>
      </c>
      <c r="F10" s="171">
        <f t="shared" ref="F10:F24" si="0">C10*D10</f>
        <v>0.02</v>
      </c>
      <c r="G10" s="171">
        <f>IF(D10=0,0,$C$3/((D10/(10*C10*IF(E10="N",$C$4,1)))^$C$5))</f>
        <v>4.4125989119351727E-2</v>
      </c>
      <c r="H10" s="172">
        <f t="shared" ref="H10:H24" si="1">IF(G10*SQRT($F$4*$F$3)&gt;$F$4,$F$4,G10*SQRT($F$4*$F$3))</f>
        <v>37.010632272874872</v>
      </c>
      <c r="J10" s="285" t="s">
        <v>207</v>
      </c>
      <c r="K10" s="286"/>
      <c r="L10" s="166">
        <v>0.04</v>
      </c>
      <c r="M10" s="166">
        <f>1/2</f>
        <v>0.5</v>
      </c>
      <c r="N10" s="13">
        <v>0.02</v>
      </c>
      <c r="O10" s="173" t="s">
        <v>209</v>
      </c>
      <c r="P10" s="174">
        <f t="shared" ref="P10:P24" si="2">L10*M10</f>
        <v>0.02</v>
      </c>
      <c r="Q10" s="175">
        <f t="shared" ref="Q10:Q24" si="3">IF(O10="H",(M10*(L10^3))/12,(L10*(M10^3))/12)+P10*($L$2-N10)^2</f>
        <v>1.5396722209436015E-3</v>
      </c>
    </row>
    <row r="11" spans="2:17" x14ac:dyDescent="0.25">
      <c r="B11" s="140" t="s">
        <v>210</v>
      </c>
      <c r="C11" s="13">
        <v>0.04</v>
      </c>
      <c r="D11" s="13">
        <f>9/8</f>
        <v>1.125</v>
      </c>
      <c r="E11" s="173" t="s">
        <v>211</v>
      </c>
      <c r="F11" s="174">
        <f t="shared" si="0"/>
        <v>4.4999999999999998E-2</v>
      </c>
      <c r="G11" s="174">
        <f t="shared" ref="G11:G24" si="4">IF(D11=0,0,$C$3/((D11/(10*C11*IF(E11="N",$C$4,1)))^$C$5))</f>
        <v>5.0297353948795899E-2</v>
      </c>
      <c r="H11" s="175">
        <f t="shared" si="1"/>
        <v>42.186858775277344</v>
      </c>
      <c r="J11" s="285" t="s">
        <v>210</v>
      </c>
      <c r="K11" s="286"/>
      <c r="L11" s="13">
        <v>0.04</v>
      </c>
      <c r="M11" s="13">
        <f>9/8-2*L11</f>
        <v>1.0449999999999999</v>
      </c>
      <c r="N11" s="13">
        <f>9/16</f>
        <v>0.5625</v>
      </c>
      <c r="O11" s="173" t="s">
        <v>212</v>
      </c>
      <c r="P11" s="174">
        <f t="shared" si="2"/>
        <v>4.1799999999999997E-2</v>
      </c>
      <c r="Q11" s="175">
        <f t="shared" si="3"/>
        <v>6.7455245077867971E-3</v>
      </c>
    </row>
    <row r="12" spans="2:17" x14ac:dyDescent="0.25">
      <c r="B12" s="140" t="s">
        <v>213</v>
      </c>
      <c r="C12" s="13">
        <v>0.04</v>
      </c>
      <c r="D12" s="13">
        <f>1</f>
        <v>1</v>
      </c>
      <c r="E12" s="173" t="s">
        <v>211</v>
      </c>
      <c r="F12" s="174">
        <f t="shared" si="0"/>
        <v>0.04</v>
      </c>
      <c r="G12" s="174">
        <f t="shared" si="4"/>
        <v>5.5267161019388493E-2</v>
      </c>
      <c r="H12" s="175">
        <f t="shared" si="1"/>
        <v>46.355279826629364</v>
      </c>
      <c r="J12" s="285" t="s">
        <v>213</v>
      </c>
      <c r="K12" s="286"/>
      <c r="L12" s="13">
        <v>0.04</v>
      </c>
      <c r="M12" s="13">
        <f>1</f>
        <v>1</v>
      </c>
      <c r="N12" s="13">
        <v>0.02</v>
      </c>
      <c r="O12" s="173" t="s">
        <v>209</v>
      </c>
      <c r="P12" s="174">
        <f t="shared" si="2"/>
        <v>0.04</v>
      </c>
      <c r="Q12" s="175">
        <f t="shared" si="3"/>
        <v>3.079344441887203E-3</v>
      </c>
    </row>
    <row r="13" spans="2:17" x14ac:dyDescent="0.25">
      <c r="B13" s="140" t="s">
        <v>214</v>
      </c>
      <c r="C13" s="13">
        <v>0.04</v>
      </c>
      <c r="D13" s="13">
        <f>9/8</f>
        <v>1.125</v>
      </c>
      <c r="E13" s="173" t="s">
        <v>211</v>
      </c>
      <c r="F13" s="174">
        <f t="shared" si="0"/>
        <v>4.4999999999999998E-2</v>
      </c>
      <c r="G13" s="174">
        <f>IF(D13=0,0,$C$3/((D13/(10*C13*IF(E13="N",$C$4,1)))^$C$5))</f>
        <v>5.0297353948795899E-2</v>
      </c>
      <c r="H13" s="175">
        <f t="shared" si="1"/>
        <v>42.186858775277344</v>
      </c>
      <c r="J13" s="285" t="s">
        <v>214</v>
      </c>
      <c r="K13" s="286"/>
      <c r="L13" s="13">
        <v>0.04</v>
      </c>
      <c r="M13" s="13">
        <f>9/8-2*L13</f>
        <v>1.0449999999999999</v>
      </c>
      <c r="N13" s="13">
        <f>9/16</f>
        <v>0.5625</v>
      </c>
      <c r="O13" s="173" t="s">
        <v>212</v>
      </c>
      <c r="P13" s="174">
        <f t="shared" si="2"/>
        <v>4.1799999999999997E-2</v>
      </c>
      <c r="Q13" s="175">
        <f t="shared" si="3"/>
        <v>6.7455245077867971E-3</v>
      </c>
    </row>
    <row r="14" spans="2:17" x14ac:dyDescent="0.25">
      <c r="B14" s="140" t="s">
        <v>215</v>
      </c>
      <c r="C14" s="13">
        <v>0.04</v>
      </c>
      <c r="D14" s="13">
        <f>1/2</f>
        <v>0.5</v>
      </c>
      <c r="E14" s="173" t="s">
        <v>208</v>
      </c>
      <c r="F14" s="174">
        <f t="shared" si="0"/>
        <v>0.02</v>
      </c>
      <c r="G14" s="174">
        <f t="shared" si="4"/>
        <v>4.4125989119351727E-2</v>
      </c>
      <c r="H14" s="175">
        <f t="shared" si="1"/>
        <v>37.010632272874872</v>
      </c>
      <c r="J14" s="285" t="s">
        <v>215</v>
      </c>
      <c r="K14" s="286"/>
      <c r="L14" s="13">
        <v>0.04</v>
      </c>
      <c r="M14" s="13">
        <f>1/2</f>
        <v>0.5</v>
      </c>
      <c r="N14" s="13">
        <v>0.02</v>
      </c>
      <c r="O14" s="173" t="s">
        <v>209</v>
      </c>
      <c r="P14" s="174">
        <f t="shared" si="2"/>
        <v>0.02</v>
      </c>
      <c r="Q14" s="175">
        <f t="shared" si="3"/>
        <v>1.5396722209436015E-3</v>
      </c>
    </row>
    <row r="15" spans="2:17" x14ac:dyDescent="0.25">
      <c r="B15" s="140" t="s">
        <v>216</v>
      </c>
      <c r="C15" s="13"/>
      <c r="D15" s="13"/>
      <c r="E15" s="173"/>
      <c r="F15" s="174">
        <f t="shared" si="0"/>
        <v>0</v>
      </c>
      <c r="G15" s="174">
        <f t="shared" si="4"/>
        <v>0</v>
      </c>
      <c r="H15" s="175">
        <f t="shared" si="1"/>
        <v>0</v>
      </c>
      <c r="J15" s="285" t="s">
        <v>216</v>
      </c>
      <c r="K15" s="286"/>
      <c r="L15" s="13"/>
      <c r="M15" s="13"/>
      <c r="N15" s="13"/>
      <c r="O15" s="173"/>
      <c r="P15" s="174">
        <f t="shared" si="2"/>
        <v>0</v>
      </c>
      <c r="Q15" s="175">
        <f t="shared" si="3"/>
        <v>0</v>
      </c>
    </row>
    <row r="16" spans="2:17" x14ac:dyDescent="0.25">
      <c r="B16" s="140" t="s">
        <v>217</v>
      </c>
      <c r="C16" s="13"/>
      <c r="D16" s="13"/>
      <c r="E16" s="173"/>
      <c r="F16" s="174">
        <f t="shared" si="0"/>
        <v>0</v>
      </c>
      <c r="G16" s="174">
        <f t="shared" si="4"/>
        <v>0</v>
      </c>
      <c r="H16" s="175">
        <f t="shared" si="1"/>
        <v>0</v>
      </c>
      <c r="J16" s="285" t="s">
        <v>217</v>
      </c>
      <c r="K16" s="286"/>
      <c r="L16" s="13"/>
      <c r="M16" s="13"/>
      <c r="N16" s="13"/>
      <c r="O16" s="173"/>
      <c r="P16" s="174">
        <f t="shared" si="2"/>
        <v>0</v>
      </c>
      <c r="Q16" s="175">
        <f t="shared" si="3"/>
        <v>0</v>
      </c>
    </row>
    <row r="17" spans="2:17" x14ac:dyDescent="0.25">
      <c r="B17" s="140" t="s">
        <v>218</v>
      </c>
      <c r="C17" s="13"/>
      <c r="D17" s="13"/>
      <c r="E17" s="173"/>
      <c r="F17" s="174">
        <f t="shared" si="0"/>
        <v>0</v>
      </c>
      <c r="G17" s="174">
        <f t="shared" si="4"/>
        <v>0</v>
      </c>
      <c r="H17" s="175">
        <f t="shared" si="1"/>
        <v>0</v>
      </c>
      <c r="J17" s="285" t="s">
        <v>218</v>
      </c>
      <c r="K17" s="286"/>
      <c r="L17" s="13"/>
      <c r="M17" s="13"/>
      <c r="N17" s="13"/>
      <c r="O17" s="173"/>
      <c r="P17" s="174">
        <f t="shared" si="2"/>
        <v>0</v>
      </c>
      <c r="Q17" s="175">
        <f t="shared" si="3"/>
        <v>0</v>
      </c>
    </row>
    <row r="18" spans="2:17" x14ac:dyDescent="0.25">
      <c r="B18" s="140" t="s">
        <v>219</v>
      </c>
      <c r="C18" s="13"/>
      <c r="D18" s="13"/>
      <c r="E18" s="173"/>
      <c r="F18" s="174">
        <f t="shared" si="0"/>
        <v>0</v>
      </c>
      <c r="G18" s="174">
        <f t="shared" si="4"/>
        <v>0</v>
      </c>
      <c r="H18" s="175">
        <f t="shared" si="1"/>
        <v>0</v>
      </c>
      <c r="J18" s="285" t="s">
        <v>219</v>
      </c>
      <c r="K18" s="286"/>
      <c r="L18" s="13"/>
      <c r="M18" s="13"/>
      <c r="N18" s="13"/>
      <c r="O18" s="173"/>
      <c r="P18" s="174">
        <f t="shared" si="2"/>
        <v>0</v>
      </c>
      <c r="Q18" s="175">
        <f t="shared" si="3"/>
        <v>0</v>
      </c>
    </row>
    <row r="19" spans="2:17" x14ac:dyDescent="0.25">
      <c r="B19" s="140" t="s">
        <v>220</v>
      </c>
      <c r="C19" s="13"/>
      <c r="D19" s="13"/>
      <c r="E19" s="173"/>
      <c r="F19" s="174">
        <f t="shared" si="0"/>
        <v>0</v>
      </c>
      <c r="G19" s="174">
        <f t="shared" si="4"/>
        <v>0</v>
      </c>
      <c r="H19" s="175">
        <f t="shared" si="1"/>
        <v>0</v>
      </c>
      <c r="J19" s="285" t="s">
        <v>220</v>
      </c>
      <c r="K19" s="286"/>
      <c r="L19" s="13"/>
      <c r="M19" s="13"/>
      <c r="N19" s="13"/>
      <c r="O19" s="173"/>
      <c r="P19" s="174">
        <f t="shared" si="2"/>
        <v>0</v>
      </c>
      <c r="Q19" s="175">
        <f t="shared" si="3"/>
        <v>0</v>
      </c>
    </row>
    <row r="20" spans="2:17" x14ac:dyDescent="0.25">
      <c r="B20" s="140" t="s">
        <v>221</v>
      </c>
      <c r="C20" s="13"/>
      <c r="D20" s="13"/>
      <c r="E20" s="173"/>
      <c r="F20" s="174">
        <f t="shared" si="0"/>
        <v>0</v>
      </c>
      <c r="G20" s="174">
        <f t="shared" si="4"/>
        <v>0</v>
      </c>
      <c r="H20" s="175">
        <f t="shared" si="1"/>
        <v>0</v>
      </c>
      <c r="J20" s="285" t="s">
        <v>221</v>
      </c>
      <c r="K20" s="286"/>
      <c r="L20" s="13"/>
      <c r="M20" s="13"/>
      <c r="N20" s="13"/>
      <c r="O20" s="173"/>
      <c r="P20" s="174">
        <f t="shared" si="2"/>
        <v>0</v>
      </c>
      <c r="Q20" s="175">
        <f t="shared" si="3"/>
        <v>0</v>
      </c>
    </row>
    <row r="21" spans="2:17" x14ac:dyDescent="0.25">
      <c r="B21" s="140" t="s">
        <v>222</v>
      </c>
      <c r="C21" s="13"/>
      <c r="D21" s="13"/>
      <c r="E21" s="173"/>
      <c r="F21" s="174">
        <f t="shared" si="0"/>
        <v>0</v>
      </c>
      <c r="G21" s="174">
        <f t="shared" si="4"/>
        <v>0</v>
      </c>
      <c r="H21" s="175">
        <f t="shared" si="1"/>
        <v>0</v>
      </c>
      <c r="J21" s="285" t="s">
        <v>222</v>
      </c>
      <c r="K21" s="286"/>
      <c r="L21" s="13"/>
      <c r="M21" s="13"/>
      <c r="N21" s="13"/>
      <c r="O21" s="173"/>
      <c r="P21" s="174">
        <f t="shared" si="2"/>
        <v>0</v>
      </c>
      <c r="Q21" s="175">
        <f t="shared" si="3"/>
        <v>0</v>
      </c>
    </row>
    <row r="22" spans="2:17" x14ac:dyDescent="0.25">
      <c r="B22" s="140" t="s">
        <v>223</v>
      </c>
      <c r="C22" s="13"/>
      <c r="D22" s="13"/>
      <c r="E22" s="173"/>
      <c r="F22" s="174">
        <f t="shared" si="0"/>
        <v>0</v>
      </c>
      <c r="G22" s="174">
        <f t="shared" si="4"/>
        <v>0</v>
      </c>
      <c r="H22" s="175">
        <f t="shared" si="1"/>
        <v>0</v>
      </c>
      <c r="J22" s="285" t="s">
        <v>223</v>
      </c>
      <c r="K22" s="286"/>
      <c r="L22" s="13"/>
      <c r="M22" s="13"/>
      <c r="N22" s="13"/>
      <c r="O22" s="173"/>
      <c r="P22" s="174">
        <f t="shared" si="2"/>
        <v>0</v>
      </c>
      <c r="Q22" s="175">
        <f t="shared" si="3"/>
        <v>0</v>
      </c>
    </row>
    <row r="23" spans="2:17" x14ac:dyDescent="0.25">
      <c r="B23" s="140" t="s">
        <v>224</v>
      </c>
      <c r="C23" s="13"/>
      <c r="D23" s="13"/>
      <c r="E23" s="173"/>
      <c r="F23" s="174">
        <f t="shared" si="0"/>
        <v>0</v>
      </c>
      <c r="G23" s="174">
        <f t="shared" si="4"/>
        <v>0</v>
      </c>
      <c r="H23" s="175">
        <f t="shared" si="1"/>
        <v>0</v>
      </c>
      <c r="J23" s="285" t="s">
        <v>224</v>
      </c>
      <c r="K23" s="286"/>
      <c r="L23" s="13"/>
      <c r="M23" s="13"/>
      <c r="N23" s="13"/>
      <c r="O23" s="173"/>
      <c r="P23" s="174">
        <f t="shared" si="2"/>
        <v>0</v>
      </c>
      <c r="Q23" s="175">
        <f t="shared" si="3"/>
        <v>0</v>
      </c>
    </row>
    <row r="24" spans="2:17" ht="15.75" thickBot="1" x14ac:dyDescent="0.3">
      <c r="B24" s="142" t="s">
        <v>225</v>
      </c>
      <c r="C24" s="176"/>
      <c r="D24" s="176"/>
      <c r="E24" s="177"/>
      <c r="F24" s="178">
        <f t="shared" si="0"/>
        <v>0</v>
      </c>
      <c r="G24" s="178">
        <f t="shared" si="4"/>
        <v>0</v>
      </c>
      <c r="H24" s="179">
        <f t="shared" si="1"/>
        <v>0</v>
      </c>
      <c r="J24" s="291" t="s">
        <v>225</v>
      </c>
      <c r="K24" s="292"/>
      <c r="L24" s="176"/>
      <c r="M24" s="176"/>
      <c r="N24" s="176"/>
      <c r="O24" s="177"/>
      <c r="P24" s="178">
        <f t="shared" si="2"/>
        <v>0</v>
      </c>
      <c r="Q24" s="179">
        <f t="shared" si="3"/>
        <v>0</v>
      </c>
    </row>
  </sheetData>
  <mergeCells count="20">
    <mergeCell ref="J23:K23"/>
    <mergeCell ref="J24:K24"/>
    <mergeCell ref="J17:K17"/>
    <mergeCell ref="J18:K18"/>
    <mergeCell ref="J19:K19"/>
    <mergeCell ref="J20:K20"/>
    <mergeCell ref="J21:K21"/>
    <mergeCell ref="J22:K22"/>
    <mergeCell ref="J16:K16"/>
    <mergeCell ref="B2:C2"/>
    <mergeCell ref="E2:F2"/>
    <mergeCell ref="B8:H8"/>
    <mergeCell ref="J8:Q8"/>
    <mergeCell ref="J9:K9"/>
    <mergeCell ref="J10:K10"/>
    <mergeCell ref="J11:K11"/>
    <mergeCell ref="J12:K12"/>
    <mergeCell ref="J13:K13"/>
    <mergeCell ref="J14:K14"/>
    <mergeCell ref="J15:K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39"/>
  <sheetViews>
    <sheetView topLeftCell="A5" workbookViewId="0">
      <selection activeCell="I28" sqref="I28"/>
    </sheetView>
  </sheetViews>
  <sheetFormatPr defaultRowHeight="15" x14ac:dyDescent="0.25"/>
  <cols>
    <col min="9" max="9" width="12" bestFit="1" customWidth="1"/>
    <col min="11" max="11" width="10.28515625" customWidth="1"/>
    <col min="12" max="12" width="9.5703125" customWidth="1"/>
  </cols>
  <sheetData>
    <row r="1" spans="2:12" ht="15.75" thickBot="1" x14ac:dyDescent="0.3"/>
    <row r="2" spans="2:12" ht="15.75" thickBot="1" x14ac:dyDescent="0.3">
      <c r="B2" s="293" t="s">
        <v>151</v>
      </c>
      <c r="C2" s="294"/>
      <c r="E2" s="293" t="s">
        <v>152</v>
      </c>
      <c r="F2" s="294"/>
      <c r="H2" s="295" t="s">
        <v>153</v>
      </c>
      <c r="I2" s="296"/>
      <c r="K2" s="137" t="s">
        <v>154</v>
      </c>
      <c r="L2" s="138">
        <v>4</v>
      </c>
    </row>
    <row r="3" spans="2:12" ht="15.75" thickBot="1" x14ac:dyDescent="0.3">
      <c r="B3" s="204" t="s">
        <v>155</v>
      </c>
      <c r="C3" s="205">
        <v>10500</v>
      </c>
      <c r="E3" s="204" t="s">
        <v>155</v>
      </c>
      <c r="F3" s="205">
        <v>10700</v>
      </c>
      <c r="H3" s="204" t="s">
        <v>156</v>
      </c>
      <c r="I3" s="205">
        <v>3.2000000000000001E-2</v>
      </c>
    </row>
    <row r="4" spans="2:12" x14ac:dyDescent="0.25">
      <c r="B4" s="193" t="s">
        <v>157</v>
      </c>
      <c r="C4" s="206">
        <v>70</v>
      </c>
      <c r="E4" s="193" t="s">
        <v>157</v>
      </c>
      <c r="F4" s="206">
        <v>39</v>
      </c>
      <c r="H4" s="193" t="s">
        <v>158</v>
      </c>
      <c r="I4" s="206" t="s">
        <v>294</v>
      </c>
      <c r="K4" s="300" t="s">
        <v>76</v>
      </c>
      <c r="L4" s="301"/>
    </row>
    <row r="5" spans="2:12" x14ac:dyDescent="0.25">
      <c r="B5" s="193" t="s">
        <v>7</v>
      </c>
      <c r="C5" s="206">
        <v>9.1999999999999993</v>
      </c>
      <c r="E5" s="193" t="s">
        <v>7</v>
      </c>
      <c r="F5" s="206">
        <v>11.5</v>
      </c>
      <c r="H5" s="193" t="s">
        <v>159</v>
      </c>
      <c r="I5" s="206">
        <v>20</v>
      </c>
      <c r="K5" s="192"/>
      <c r="L5" s="141" t="s">
        <v>130</v>
      </c>
    </row>
    <row r="6" spans="2:12" ht="15.75" thickBot="1" x14ac:dyDescent="0.3">
      <c r="B6" s="207" t="s">
        <v>160</v>
      </c>
      <c r="C6" s="208">
        <v>67</v>
      </c>
      <c r="E6" s="207" t="s">
        <v>160</v>
      </c>
      <c r="F6" s="208">
        <v>40</v>
      </c>
      <c r="H6" s="207" t="s">
        <v>161</v>
      </c>
      <c r="I6" s="208">
        <v>2</v>
      </c>
      <c r="K6" s="193"/>
      <c r="L6" s="141" t="s">
        <v>131</v>
      </c>
    </row>
    <row r="7" spans="2:12" x14ac:dyDescent="0.25">
      <c r="K7" s="209"/>
      <c r="L7" s="141" t="s">
        <v>77</v>
      </c>
    </row>
    <row r="8" spans="2:12" ht="15.75" thickBot="1" x14ac:dyDescent="0.3">
      <c r="K8" s="210"/>
      <c r="L8" s="196" t="s">
        <v>138</v>
      </c>
    </row>
    <row r="9" spans="2:12" ht="15.75" thickBot="1" x14ac:dyDescent="0.3">
      <c r="B9" s="278" t="s">
        <v>162</v>
      </c>
      <c r="C9" s="279"/>
      <c r="D9" s="279"/>
      <c r="E9" s="279"/>
      <c r="F9" s="279"/>
      <c r="G9" s="279"/>
      <c r="H9" s="279"/>
      <c r="I9" s="280"/>
    </row>
    <row r="10" spans="2:12" ht="15.75" thickBot="1" x14ac:dyDescent="0.3">
      <c r="K10" s="295" t="s">
        <v>306</v>
      </c>
      <c r="L10" s="296"/>
    </row>
    <row r="11" spans="2:12" ht="15.75" thickBot="1" x14ac:dyDescent="0.3">
      <c r="B11" s="202" t="s">
        <v>163</v>
      </c>
      <c r="C11" s="203">
        <v>30</v>
      </c>
      <c r="K11" s="211" t="s">
        <v>290</v>
      </c>
      <c r="L11" s="212">
        <f>'Propriedades painel'!L6</f>
        <v>1.9649737899348003E-2</v>
      </c>
    </row>
    <row r="12" spans="2:12" ht="15.75" thickBot="1" x14ac:dyDescent="0.3">
      <c r="K12" s="192" t="s">
        <v>291</v>
      </c>
      <c r="L12" s="213">
        <f>'Propriedades painel'!I4</f>
        <v>0.17</v>
      </c>
    </row>
    <row r="13" spans="2:12" ht="15.75" thickBot="1" x14ac:dyDescent="0.3">
      <c r="B13" s="278" t="s">
        <v>164</v>
      </c>
      <c r="C13" s="279"/>
      <c r="D13" s="279"/>
      <c r="E13" s="279"/>
      <c r="F13" s="279"/>
      <c r="G13" s="279"/>
      <c r="H13" s="279"/>
      <c r="I13" s="280"/>
      <c r="K13" s="192" t="s">
        <v>280</v>
      </c>
      <c r="L13" s="213">
        <f>'Propriedades painel'!I2</f>
        <v>41.949728080912529</v>
      </c>
    </row>
    <row r="14" spans="2:12" ht="15.75" thickBot="1" x14ac:dyDescent="0.3">
      <c r="K14" s="192" t="s">
        <v>293</v>
      </c>
      <c r="L14" s="213">
        <f>'Propriedades painel'!O2</f>
        <v>1326.4748315064096</v>
      </c>
    </row>
    <row r="15" spans="2:12" ht="15.75" thickBot="1" x14ac:dyDescent="0.3">
      <c r="B15" s="146" t="s">
        <v>165</v>
      </c>
      <c r="C15" s="147">
        <f>C3/(1+(3/7)*(C11/C4)^(C5-1))</f>
        <v>10495.678603671096</v>
      </c>
      <c r="E15" s="148" t="s">
        <v>166</v>
      </c>
      <c r="F15" s="149">
        <v>29.820570084663604</v>
      </c>
      <c r="H15" s="146" t="s">
        <v>167</v>
      </c>
      <c r="I15" s="147">
        <f>F3/(1+(3/7)*(F15/F4)^(F5-1))</f>
        <v>10432.903966686499</v>
      </c>
      <c r="K15" s="214" t="s">
        <v>292</v>
      </c>
      <c r="L15" s="215">
        <f>'Propriedades painel'!O4</f>
        <v>42.634903149209251</v>
      </c>
    </row>
    <row r="16" spans="2:12" ht="15.75" thickBot="1" x14ac:dyDescent="0.3">
      <c r="B16" s="150" t="s">
        <v>168</v>
      </c>
      <c r="C16" s="151">
        <f>C3/(1+(3*C5/7)*(C11/C4)^(C5-1))</f>
        <v>10460.376874087709</v>
      </c>
      <c r="E16" s="71"/>
      <c r="F16" s="71"/>
      <c r="H16" s="152" t="s">
        <v>169</v>
      </c>
      <c r="I16" s="153">
        <f>F15/I15</f>
        <v>2.8583192349785087E-3</v>
      </c>
    </row>
    <row r="17" spans="2:12" ht="15.75" thickBot="1" x14ac:dyDescent="0.3">
      <c r="B17" s="152" t="s">
        <v>170</v>
      </c>
      <c r="C17" s="153">
        <f>C11/C15</f>
        <v>2.8583192314508214E-3</v>
      </c>
    </row>
    <row r="18" spans="2:12" ht="15.75" thickBot="1" x14ac:dyDescent="0.3"/>
    <row r="19" spans="2:12" ht="15.75" thickBot="1" x14ac:dyDescent="0.3">
      <c r="B19" s="283" t="s">
        <v>171</v>
      </c>
      <c r="C19" s="284"/>
      <c r="D19" s="154">
        <f>I15/C15</f>
        <v>0.99401900159531942</v>
      </c>
      <c r="H19" s="148" t="s">
        <v>172</v>
      </c>
      <c r="I19" s="149">
        <f>(I16-C17)*10000000</f>
        <v>3.5276872568934525E-5</v>
      </c>
    </row>
    <row r="20" spans="2:12" ht="15.75" thickBot="1" x14ac:dyDescent="0.3"/>
    <row r="21" spans="2:12" ht="15.75" thickBot="1" x14ac:dyDescent="0.3">
      <c r="B21" s="155" t="s">
        <v>173</v>
      </c>
      <c r="C21" s="156">
        <f>1.7*I3*D19*SQRT(F3/C11)</f>
        <v>1.0212330176385189</v>
      </c>
    </row>
    <row r="22" spans="2:12" ht="15.75" thickBot="1" x14ac:dyDescent="0.3"/>
    <row r="23" spans="2:12" ht="15.75" thickBot="1" x14ac:dyDescent="0.3">
      <c r="B23" s="144" t="s">
        <v>174</v>
      </c>
      <c r="C23" s="157">
        <f>2*C21*I3</f>
        <v>6.5358913128865215E-2</v>
      </c>
      <c r="K23" s="300" t="s">
        <v>295</v>
      </c>
      <c r="L23" s="301"/>
    </row>
    <row r="24" spans="2:12" ht="15.75" thickBot="1" x14ac:dyDescent="0.3">
      <c r="K24" t="s">
        <v>296</v>
      </c>
    </row>
    <row r="25" spans="2:12" ht="15.75" thickBot="1" x14ac:dyDescent="0.3">
      <c r="B25" s="278" t="s">
        <v>175</v>
      </c>
      <c r="C25" s="279"/>
      <c r="D25" s="279"/>
      <c r="E25" s="279"/>
      <c r="F25" s="279"/>
      <c r="G25" s="279"/>
      <c r="H25" s="279"/>
      <c r="I25" s="280"/>
      <c r="K25" t="s">
        <v>297</v>
      </c>
    </row>
    <row r="26" spans="2:12" ht="15.75" thickBot="1" x14ac:dyDescent="0.3">
      <c r="K26" t="s">
        <v>298</v>
      </c>
    </row>
    <row r="27" spans="2:12" ht="15.75" thickBot="1" x14ac:dyDescent="0.3">
      <c r="B27" s="155" t="s">
        <v>176</v>
      </c>
      <c r="C27" s="156">
        <f>SQRT(L11/L12)</f>
        <v>0.33998043109210929</v>
      </c>
      <c r="E27" s="158" t="s">
        <v>177</v>
      </c>
      <c r="F27" s="154">
        <f>C23/L12</f>
        <v>0.38446419487567773</v>
      </c>
      <c r="H27" s="202" t="s">
        <v>178</v>
      </c>
      <c r="I27" s="203">
        <f>9/16+I3/2</f>
        <v>0.57850000000000001</v>
      </c>
      <c r="K27" t="s">
        <v>299</v>
      </c>
    </row>
    <row r="28" spans="2:12" ht="15.75" thickBot="1" x14ac:dyDescent="0.3">
      <c r="K28" t="s">
        <v>300</v>
      </c>
    </row>
    <row r="29" spans="2:12" ht="15.75" thickBot="1" x14ac:dyDescent="0.3">
      <c r="B29" s="144" t="s">
        <v>179</v>
      </c>
      <c r="C29" s="157">
        <f>C27*SQRT(1+F27*(1+(I27/C27)^2))/(1+F27)</f>
        <v>0.3880923775455376</v>
      </c>
      <c r="E29" s="144" t="s">
        <v>180</v>
      </c>
      <c r="F29" s="145">
        <f>I5/(C29*SQRT(I6))</f>
        <v>36.440127253134605</v>
      </c>
      <c r="K29" t="s">
        <v>301</v>
      </c>
    </row>
    <row r="30" spans="2:12" ht="15.75" thickBot="1" x14ac:dyDescent="0.3">
      <c r="K30" t="s">
        <v>302</v>
      </c>
    </row>
    <row r="31" spans="2:12" ht="15.75" thickBot="1" x14ac:dyDescent="0.3">
      <c r="B31" s="278" t="s">
        <v>181</v>
      </c>
      <c r="C31" s="279"/>
      <c r="D31" s="279"/>
      <c r="E31" s="279"/>
      <c r="F31" s="279"/>
      <c r="G31" s="279"/>
      <c r="H31" s="279"/>
      <c r="I31" s="280"/>
      <c r="K31" t="s">
        <v>303</v>
      </c>
    </row>
    <row r="32" spans="2:12" ht="15.75" thickBot="1" x14ac:dyDescent="0.3"/>
    <row r="33" spans="2:11" ht="15.75" thickBot="1" x14ac:dyDescent="0.3">
      <c r="B33" s="144" t="s">
        <v>163</v>
      </c>
      <c r="C33" s="159">
        <f>L15*(1-L15*F29^2/(4*PI()^2*C3))</f>
        <v>36.811976819373363</v>
      </c>
      <c r="E33" t="s">
        <v>182</v>
      </c>
      <c r="F33" s="160">
        <v>0.1</v>
      </c>
      <c r="K33" t="s">
        <v>304</v>
      </c>
    </row>
    <row r="34" spans="2:11" ht="15.75" thickBot="1" x14ac:dyDescent="0.3">
      <c r="K34" t="s">
        <v>305</v>
      </c>
    </row>
    <row r="35" spans="2:11" ht="15.75" thickBot="1" x14ac:dyDescent="0.3">
      <c r="C35" s="297" t="str">
        <f>IF(ABS(C33-C11)&gt;F33,"É necessário mais uma iteração","Não é necessário mais iteração")</f>
        <v>É necessário mais uma iteração</v>
      </c>
      <c r="D35" s="298"/>
      <c r="E35" s="298"/>
      <c r="F35" s="298"/>
      <c r="G35" s="298"/>
      <c r="H35" s="299"/>
    </row>
    <row r="36" spans="2:11" ht="15.75" thickBot="1" x14ac:dyDescent="0.3"/>
    <row r="37" spans="2:11" ht="15.75" thickBot="1" x14ac:dyDescent="0.3">
      <c r="E37" s="144" t="s">
        <v>183</v>
      </c>
      <c r="F37" s="145">
        <f>IF(C35="Não é necessário mais iteração",C33*(C23+L12),0)</f>
        <v>0</v>
      </c>
      <c r="G37" t="s">
        <v>73</v>
      </c>
    </row>
    <row r="38" spans="2:11" ht="15.75" thickBot="1" x14ac:dyDescent="0.3"/>
    <row r="39" spans="2:11" ht="15.75" thickBot="1" x14ac:dyDescent="0.3">
      <c r="E39" s="144" t="s">
        <v>184</v>
      </c>
      <c r="F39" s="159">
        <f>F37*L2</f>
        <v>0</v>
      </c>
    </row>
  </sheetData>
  <mergeCells count="12">
    <mergeCell ref="B25:I25"/>
    <mergeCell ref="B31:I31"/>
    <mergeCell ref="C35:H35"/>
    <mergeCell ref="K4:L4"/>
    <mergeCell ref="K23:L23"/>
    <mergeCell ref="K10:L10"/>
    <mergeCell ref="B19:C19"/>
    <mergeCell ref="B2:C2"/>
    <mergeCell ref="E2:F2"/>
    <mergeCell ref="H2:I2"/>
    <mergeCell ref="B9:I9"/>
    <mergeCell ref="B13:I13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87"/>
  <sheetViews>
    <sheetView topLeftCell="K33" zoomScale="95" zoomScaleNormal="85" workbookViewId="0">
      <selection activeCell="Y41" sqref="Y41"/>
    </sheetView>
  </sheetViews>
  <sheetFormatPr defaultRowHeight="15" x14ac:dyDescent="0.25"/>
  <sheetData>
    <row r="1" spans="1:1" x14ac:dyDescent="0.25">
      <c r="A1" t="s">
        <v>227</v>
      </c>
    </row>
    <row r="33" spans="1:25" s="188" customFormat="1" x14ac:dyDescent="0.25">
      <c r="A33" s="187" t="s">
        <v>228</v>
      </c>
    </row>
    <row r="34" spans="1:25" s="4" customFormat="1" x14ac:dyDescent="0.25">
      <c r="A34" s="189" t="s">
        <v>253</v>
      </c>
    </row>
    <row r="35" spans="1:25" x14ac:dyDescent="0.25">
      <c r="A35" t="s">
        <v>235</v>
      </c>
      <c r="E35" t="s">
        <v>247</v>
      </c>
    </row>
    <row r="37" spans="1:25" x14ac:dyDescent="0.25">
      <c r="J37" t="s">
        <v>249</v>
      </c>
    </row>
    <row r="40" spans="1:25" x14ac:dyDescent="0.25">
      <c r="A40" t="s">
        <v>236</v>
      </c>
      <c r="E40" t="s">
        <v>248</v>
      </c>
      <c r="Y40">
        <f>(2-0.125)/0.125</f>
        <v>15</v>
      </c>
    </row>
    <row r="44" spans="1:25" s="4" customFormat="1" x14ac:dyDescent="0.25">
      <c r="A44" s="189" t="s">
        <v>33</v>
      </c>
    </row>
    <row r="45" spans="1:25" x14ac:dyDescent="0.25">
      <c r="A45" t="s">
        <v>37</v>
      </c>
      <c r="H45" t="s">
        <v>237</v>
      </c>
    </row>
    <row r="48" spans="1:25" x14ac:dyDescent="0.25">
      <c r="Q48" t="s">
        <v>250</v>
      </c>
    </row>
    <row r="50" spans="1:1" x14ac:dyDescent="0.25">
      <c r="A50" t="s">
        <v>39</v>
      </c>
    </row>
    <row r="55" spans="1:1" x14ac:dyDescent="0.25">
      <c r="A55" t="s">
        <v>238</v>
      </c>
    </row>
    <row r="60" spans="1:1" x14ac:dyDescent="0.25">
      <c r="A60" t="s">
        <v>80</v>
      </c>
    </row>
    <row r="68" spans="1:17" x14ac:dyDescent="0.25">
      <c r="N68">
        <f>0.375/0.125</f>
        <v>3</v>
      </c>
    </row>
    <row r="73" spans="1:17" x14ac:dyDescent="0.25">
      <c r="Q73" t="s">
        <v>251</v>
      </c>
    </row>
    <row r="74" spans="1:17" x14ac:dyDescent="0.25">
      <c r="Q74" t="s">
        <v>252</v>
      </c>
    </row>
    <row r="77" spans="1:17" s="4" customFormat="1" x14ac:dyDescent="0.25">
      <c r="A77" s="4" t="s">
        <v>243</v>
      </c>
      <c r="E77" s="4" t="s">
        <v>245</v>
      </c>
    </row>
    <row r="78" spans="1:17" x14ac:dyDescent="0.25">
      <c r="A78" t="s">
        <v>238</v>
      </c>
    </row>
    <row r="82" spans="1:1" x14ac:dyDescent="0.25">
      <c r="A82" t="s">
        <v>44</v>
      </c>
    </row>
    <row r="87" spans="1:1" x14ac:dyDescent="0.25">
      <c r="A87" t="s">
        <v>45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Flambagem</vt:lpstr>
      <vt:lpstr>Falha de placas</vt:lpstr>
      <vt:lpstr>Falha de colunas</vt:lpstr>
      <vt:lpstr>Falha Local Painel - Gerard</vt:lpstr>
      <vt:lpstr>Falha Local Painel - Boeing</vt:lpstr>
      <vt:lpstr>Propriedades painel</vt:lpstr>
      <vt:lpstr>Falha Painel - Carga de Falha</vt:lpstr>
      <vt:lpstr>Tabelas e Fórmulas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Francisco Castro</cp:lastModifiedBy>
  <dcterms:created xsi:type="dcterms:W3CDTF">2018-11-22T18:55:03Z</dcterms:created>
  <dcterms:modified xsi:type="dcterms:W3CDTF">2019-11-20T18:38:46Z</dcterms:modified>
</cp:coreProperties>
</file>