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92" i="1" l="1"/>
  <c r="B93" i="1"/>
  <c r="B90" i="1"/>
  <c r="B30" i="1"/>
  <c r="B69" i="1" s="1"/>
  <c r="B87" i="1"/>
  <c r="B88" i="1" s="1"/>
  <c r="D15" i="1"/>
  <c r="D16" i="1"/>
  <c r="D17" i="1"/>
  <c r="D18" i="1"/>
  <c r="D19" i="1"/>
  <c r="D20" i="1"/>
  <c r="D14" i="1"/>
  <c r="D5" i="1"/>
  <c r="D6" i="1"/>
  <c r="D7" i="1"/>
  <c r="D8" i="1"/>
  <c r="D4" i="1"/>
  <c r="C9" i="1"/>
  <c r="B9" i="1"/>
  <c r="D21" i="1" l="1"/>
  <c r="B47" i="1" s="1"/>
  <c r="D9" i="1"/>
  <c r="B64" i="1" s="1"/>
  <c r="B35" i="1" l="1"/>
  <c r="B39" i="1" s="1"/>
  <c r="B29" i="1"/>
  <c r="B31" i="1" s="1"/>
  <c r="B65" i="1" s="1"/>
  <c r="B48" i="1" l="1"/>
  <c r="B42" i="1"/>
  <c r="B51" i="1" s="1"/>
  <c r="B40" i="1"/>
  <c r="B70" i="1" l="1"/>
  <c r="B72" i="1" s="1"/>
  <c r="B49" i="1"/>
  <c r="B41" i="1"/>
  <c r="B50" i="1" s="1"/>
  <c r="B52" i="1" l="1"/>
  <c r="B58" i="1" l="1"/>
  <c r="B59" i="1" s="1"/>
  <c r="C52" i="1"/>
  <c r="C47" i="1"/>
  <c r="C48" i="1"/>
  <c r="C51" i="1"/>
  <c r="C49" i="1"/>
  <c r="C50" i="1"/>
  <c r="B60" i="1" l="1"/>
  <c r="B91" i="1" l="1"/>
  <c r="B67" i="1"/>
  <c r="B71" i="1" s="1"/>
  <c r="B73" i="1" s="1"/>
  <c r="B89" i="1" s="1"/>
  <c r="B77" i="1"/>
  <c r="B78" i="1" l="1"/>
  <c r="B79" i="1" s="1"/>
  <c r="B94" i="1"/>
  <c r="B95" i="1" s="1"/>
  <c r="B96" i="1" l="1"/>
  <c r="B81" i="1"/>
  <c r="B80" i="1"/>
</calcChain>
</file>

<file path=xl/sharedStrings.xml><?xml version="1.0" encoding="utf-8"?>
<sst xmlns="http://schemas.openxmlformats.org/spreadsheetml/2006/main" count="89" uniqueCount="84">
  <si>
    <t>Экономия на работниках</t>
  </si>
  <si>
    <t>Прямой экономический эффект</t>
  </si>
  <si>
    <t>Минимальная выручка в месяц</t>
  </si>
  <si>
    <t>Годовая экономия на себестоимости продукции</t>
  </si>
  <si>
    <t>Косвенный экономический эффект</t>
  </si>
  <si>
    <t>Годовой экономический эффект</t>
  </si>
  <si>
    <t>Срок окупаемости</t>
  </si>
  <si>
    <t>Коэффициент экономического эффекта</t>
  </si>
  <si>
    <t>Срок окупаемости (месяцев)</t>
  </si>
  <si>
    <t>Этапы работ</t>
  </si>
  <si>
    <t>Минимальное время (ч)</t>
  </si>
  <si>
    <t>Максимальное время (ч)</t>
  </si>
  <si>
    <t>Время ожидаемое (ч)</t>
  </si>
  <si>
    <t>Определение целей и задач разработки</t>
  </si>
  <si>
    <t>Разработка структуры интернет-магазина</t>
  </si>
  <si>
    <t>Написание кода программы на языках JS, HTML, PHP</t>
  </si>
  <si>
    <t xml:space="preserve">Наполнение контентом </t>
  </si>
  <si>
    <t>Исправление ошибок</t>
  </si>
  <si>
    <t>Итого</t>
  </si>
  <si>
    <t>Расчетная трудоемкость выполнения работы</t>
  </si>
  <si>
    <t>Материалы</t>
  </si>
  <si>
    <t>Сумма, руб.</t>
  </si>
  <si>
    <t>Node.js</t>
  </si>
  <si>
    <t>Vue.js</t>
  </si>
  <si>
    <t>Покупка домена</t>
  </si>
  <si>
    <t>JS</t>
  </si>
  <si>
    <t>Бумага А4</t>
  </si>
  <si>
    <t>Хостинг сервера</t>
  </si>
  <si>
    <t>–</t>
  </si>
  <si>
    <t>Количество</t>
  </si>
  <si>
    <t>Эл.энергия (кВт)</t>
  </si>
  <si>
    <t>Цена за 1ед. руб.</t>
  </si>
  <si>
    <t>Материальные затраты</t>
  </si>
  <si>
    <t>Таблица выполнения этапов работ по времени</t>
  </si>
  <si>
    <t>Балансовая стоимость компьютера</t>
  </si>
  <si>
    <t>Норма амортизации</t>
  </si>
  <si>
    <t>Фактическое время работы оборудования</t>
  </si>
  <si>
    <t>Действительное время работы оборудования</t>
  </si>
  <si>
    <t>Число смен</t>
  </si>
  <si>
    <t xml:space="preserve">Коэффициент, учитывающий плановые простои </t>
  </si>
  <si>
    <t xml:space="preserve">Годовой фонд рабочего времени </t>
  </si>
  <si>
    <t>Стоимость амортизационных отчислений</t>
  </si>
  <si>
    <t>Число работников</t>
  </si>
  <si>
    <t>Месячный оклад</t>
  </si>
  <si>
    <t xml:space="preserve">Длительность смены </t>
  </si>
  <si>
    <t xml:space="preserve">Среднее число рабочих дней </t>
  </si>
  <si>
    <t>Заработная плата работника</t>
  </si>
  <si>
    <t xml:space="preserve">Полная заработная плата работника </t>
  </si>
  <si>
    <t xml:space="preserve">Отчисления на социальные нужды </t>
  </si>
  <si>
    <t xml:space="preserve">Прочие расходы </t>
  </si>
  <si>
    <t>Наименование</t>
  </si>
  <si>
    <t>Структура себестоимости, %</t>
  </si>
  <si>
    <t>1. Материальные затраты (в том числе затраты на электроэнергию)</t>
  </si>
  <si>
    <t>2. Амортизационные отчисления</t>
  </si>
  <si>
    <t>3. Затраты на оплату труда</t>
  </si>
  <si>
    <t>4.Отчисления во внебюджетные фонды</t>
  </si>
  <si>
    <t>5. Прочие расходы</t>
  </si>
  <si>
    <t>Смета затрат на создание интернет-магазина</t>
  </si>
  <si>
    <t>Планируемый размер прибыли</t>
  </si>
  <si>
    <t xml:space="preserve">Уровень рентабельности </t>
  </si>
  <si>
    <t xml:space="preserve">Цена реализации проекта </t>
  </si>
  <si>
    <t>НДС</t>
  </si>
  <si>
    <t>Основные показатели при расчете цены программного продукта</t>
  </si>
  <si>
    <t xml:space="preserve">Цена создания интернет-магазина </t>
  </si>
  <si>
    <t>Годовые текущие затраты покупателя</t>
  </si>
  <si>
    <t>Время занятости компьютеров решением задач</t>
  </si>
  <si>
    <t>Стоимость одного часа эксплуатации</t>
  </si>
  <si>
    <t>Число компьютеров, участвующих в решении задач</t>
  </si>
  <si>
    <t>Рыночная цена проекта</t>
  </si>
  <si>
    <t>Планируемый срок использования интернет-магазина</t>
  </si>
  <si>
    <t xml:space="preserve">Годовая экономия на текущих расходах </t>
  </si>
  <si>
    <t>Затраты на решение задач без применения интернет-магазина</t>
  </si>
  <si>
    <t>Величина затрачиваемого времени на решение задач без использования разработки интернет-магазина</t>
  </si>
  <si>
    <t>Стоимость одного часа работы рабочего</t>
  </si>
  <si>
    <t>Эксплуатационные расходы заказчика программного продукта</t>
  </si>
  <si>
    <t>Срок окупаемости затрат программного продукта</t>
  </si>
  <si>
    <t>Капитальные затраты на приобретение и внедрение проекта интернет-магазина</t>
  </si>
  <si>
    <t>Годовая экономия на текущих расходах</t>
  </si>
  <si>
    <t>Срок окупаемости капитальных затрат</t>
  </si>
  <si>
    <t>Срок окупаемости капитальных затрат (месяцев)</t>
  </si>
  <si>
    <t>Минимальная цена заказа</t>
  </si>
  <si>
    <t>Примерное минимальное количество клиентов в месяц</t>
  </si>
  <si>
    <t xml:space="preserve">Минимальный годовой прирост выручки </t>
  </si>
  <si>
    <t>Срок окупаемости затрат программного продукта через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</si>
</sst>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78" formatCode="_-* #,##0\ _₽_-;\-* #,##0\ _₽_-;_-* &quot;-&quot;??\ _₽_-;_-@_-"/>
  </numFmts>
  <fonts count="8" x14ac:knownFonts="1">
    <font>
      <sz val="11"/>
      <color theme="1"/>
      <name val="Times New Roman"/>
      <family val="2"/>
      <scheme val="minor"/>
    </font>
    <font>
      <sz val="11"/>
      <color theme="1"/>
      <name val="Times New Roman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2"/>
      <scheme val="minor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sz val="12"/>
      <color theme="1"/>
      <name val="Times New Roman"/>
      <family val="1"/>
      <charset val="204"/>
      <scheme val="minor"/>
    </font>
    <font>
      <b/>
      <sz val="12"/>
      <color theme="1"/>
      <name val="Times New Roman"/>
      <family val="1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43" fontId="3" fillId="0" borderId="0" xfId="1" applyFont="1"/>
    <xf numFmtId="43" fontId="3" fillId="0" borderId="0" xfId="1" applyFont="1" applyFill="1"/>
    <xf numFmtId="43" fontId="5" fillId="0" borderId="6" xfId="1" applyFont="1" applyBorder="1" applyAlignment="1">
      <alignment horizontal="center" vertical="center" wrapText="1"/>
    </xf>
    <xf numFmtId="43" fontId="5" fillId="0" borderId="18" xfId="1" applyFont="1" applyBorder="1" applyAlignment="1">
      <alignment horizontal="center" vertical="center" wrapText="1"/>
    </xf>
    <xf numFmtId="43" fontId="5" fillId="0" borderId="7" xfId="1" applyFont="1" applyBorder="1" applyAlignment="1">
      <alignment horizontal="center" vertical="center" wrapText="1"/>
    </xf>
    <xf numFmtId="43" fontId="4" fillId="0" borderId="15" xfId="1" applyFont="1" applyBorder="1" applyAlignment="1">
      <alignment horizontal="left" vertical="center" wrapText="1"/>
    </xf>
    <xf numFmtId="43" fontId="4" fillId="2" borderId="3" xfId="1" applyFont="1" applyFill="1" applyBorder="1" applyAlignment="1">
      <alignment horizontal="center" vertical="center" wrapText="1"/>
    </xf>
    <xf numFmtId="43" fontId="4" fillId="0" borderId="16" xfId="1" applyFont="1" applyBorder="1" applyAlignment="1">
      <alignment horizontal="center" vertical="center" wrapText="1"/>
    </xf>
    <xf numFmtId="43" fontId="4" fillId="0" borderId="8" xfId="1" applyFont="1" applyBorder="1" applyAlignment="1">
      <alignment horizontal="left" vertical="center" wrapText="1"/>
    </xf>
    <xf numFmtId="43" fontId="4" fillId="2" borderId="2" xfId="1" applyFont="1" applyFill="1" applyBorder="1" applyAlignment="1">
      <alignment horizontal="center" vertical="center" wrapText="1"/>
    </xf>
    <xf numFmtId="43" fontId="4" fillId="0" borderId="9" xfId="1" applyFont="1" applyBorder="1" applyAlignment="1">
      <alignment horizontal="center" vertical="center" wrapText="1"/>
    </xf>
    <xf numFmtId="43" fontId="3" fillId="0" borderId="0" xfId="1" applyFont="1" applyBorder="1"/>
    <xf numFmtId="43" fontId="4" fillId="3" borderId="6" xfId="1" applyFont="1" applyFill="1" applyBorder="1" applyAlignment="1">
      <alignment horizontal="left" vertical="center" wrapText="1"/>
    </xf>
    <xf numFmtId="43" fontId="4" fillId="3" borderId="18" xfId="1" applyFont="1" applyFill="1" applyBorder="1" applyAlignment="1">
      <alignment horizontal="center" vertical="center"/>
    </xf>
    <xf numFmtId="43" fontId="4" fillId="3" borderId="7" xfId="1" applyFont="1" applyFill="1" applyBorder="1" applyAlignment="1">
      <alignment horizontal="center" vertical="center" wrapText="1"/>
    </xf>
    <xf numFmtId="43" fontId="4" fillId="0" borderId="0" xfId="1" applyFont="1" applyBorder="1" applyAlignment="1">
      <alignment horizontal="justify" vertical="center" wrapText="1"/>
    </xf>
    <xf numFmtId="43" fontId="4" fillId="0" borderId="0" xfId="1" applyFont="1" applyBorder="1" applyAlignment="1">
      <alignment horizontal="center" vertical="center" wrapText="1"/>
    </xf>
    <xf numFmtId="43" fontId="4" fillId="0" borderId="0" xfId="1" applyFont="1" applyFill="1" applyBorder="1" applyAlignment="1">
      <alignment horizontal="left" vertical="center" wrapText="1"/>
    </xf>
    <xf numFmtId="43" fontId="4" fillId="0" borderId="0" xfId="1" applyFont="1" applyBorder="1" applyAlignment="1">
      <alignment horizontal="center" vertical="center"/>
    </xf>
    <xf numFmtId="43" fontId="4" fillId="2" borderId="15" xfId="1" applyFont="1" applyFill="1" applyBorder="1" applyAlignment="1">
      <alignment vertical="center" wrapText="1"/>
    </xf>
    <xf numFmtId="43" fontId="4" fillId="2" borderId="8" xfId="1" applyFont="1" applyFill="1" applyBorder="1" applyAlignment="1">
      <alignment vertical="center" wrapText="1"/>
    </xf>
    <xf numFmtId="43" fontId="4" fillId="3" borderId="6" xfId="1" applyFont="1" applyFill="1" applyBorder="1" applyAlignment="1">
      <alignment vertical="center" wrapText="1"/>
    </xf>
    <xf numFmtId="43" fontId="4" fillId="3" borderId="18" xfId="1" applyFont="1" applyFill="1" applyBorder="1" applyAlignment="1">
      <alignment horizontal="center" vertical="center" wrapText="1"/>
    </xf>
    <xf numFmtId="43" fontId="4" fillId="0" borderId="4" xfId="1" applyFont="1" applyBorder="1"/>
    <xf numFmtId="43" fontId="3" fillId="2" borderId="5" xfId="1" applyFont="1" applyFill="1" applyBorder="1"/>
    <xf numFmtId="43" fontId="3" fillId="0" borderId="6" xfId="1" applyFont="1" applyBorder="1"/>
    <xf numFmtId="43" fontId="3" fillId="0" borderId="7" xfId="1" applyFont="1" applyBorder="1"/>
    <xf numFmtId="43" fontId="3" fillId="0" borderId="4" xfId="1" applyFont="1" applyBorder="1"/>
    <xf numFmtId="43" fontId="3" fillId="0" borderId="8" xfId="1" applyFont="1" applyBorder="1"/>
    <xf numFmtId="43" fontId="3" fillId="2" borderId="9" xfId="1" applyFont="1" applyFill="1" applyBorder="1"/>
    <xf numFmtId="43" fontId="3" fillId="0" borderId="5" xfId="1" applyFont="1" applyBorder="1"/>
    <xf numFmtId="43" fontId="3" fillId="0" borderId="10" xfId="1" applyFont="1" applyBorder="1"/>
    <xf numFmtId="43" fontId="3" fillId="0" borderId="11" xfId="1" applyFont="1" applyBorder="1"/>
    <xf numFmtId="43" fontId="3" fillId="3" borderId="12" xfId="1" applyFont="1" applyFill="1" applyBorder="1"/>
    <xf numFmtId="43" fontId="3" fillId="3" borderId="13" xfId="1" applyFont="1" applyFill="1" applyBorder="1"/>
    <xf numFmtId="43" fontId="3" fillId="0" borderId="9" xfId="1" applyFont="1" applyBorder="1"/>
    <xf numFmtId="43" fontId="3" fillId="0" borderId="9" xfId="1" applyFont="1" applyFill="1" applyBorder="1"/>
    <xf numFmtId="43" fontId="3" fillId="0" borderId="8" xfId="1" applyFont="1" applyFill="1" applyBorder="1"/>
    <xf numFmtId="43" fontId="3" fillId="0" borderId="6" xfId="1" applyFont="1" applyFill="1" applyBorder="1"/>
    <xf numFmtId="43" fontId="3" fillId="0" borderId="7" xfId="1" applyFont="1" applyFill="1" applyBorder="1"/>
    <xf numFmtId="43" fontId="7" fillId="0" borderId="6" xfId="1" applyFont="1" applyBorder="1" applyAlignment="1">
      <alignment horizontal="center" vertical="center" wrapText="1"/>
    </xf>
    <xf numFmtId="43" fontId="7" fillId="0" borderId="18" xfId="1" applyFont="1" applyBorder="1" applyAlignment="1">
      <alignment horizontal="center" vertical="center" wrapText="1"/>
    </xf>
    <xf numFmtId="43" fontId="7" fillId="0" borderId="7" xfId="1" applyFont="1" applyBorder="1" applyAlignment="1">
      <alignment horizontal="center" vertical="center" wrapText="1"/>
    </xf>
    <xf numFmtId="43" fontId="6" fillId="0" borderId="15" xfId="1" applyFont="1" applyBorder="1" applyAlignment="1">
      <alignment horizontal="left" vertical="center" wrapText="1"/>
    </xf>
    <xf numFmtId="43" fontId="6" fillId="0" borderId="3" xfId="1" applyFont="1" applyBorder="1" applyAlignment="1">
      <alignment horizontal="center" vertical="center" wrapText="1"/>
    </xf>
    <xf numFmtId="43" fontId="6" fillId="0" borderId="8" xfId="1" applyFont="1" applyBorder="1" applyAlignment="1">
      <alignment horizontal="left" vertical="center" wrapText="1"/>
    </xf>
    <xf numFmtId="43" fontId="6" fillId="0" borderId="2" xfId="1" applyFont="1" applyBorder="1" applyAlignment="1">
      <alignment horizontal="center" vertical="center" wrapText="1"/>
    </xf>
    <xf numFmtId="43" fontId="6" fillId="3" borderId="6" xfId="1" applyFont="1" applyFill="1" applyBorder="1" applyAlignment="1">
      <alignment horizontal="left" vertical="center" wrapText="1"/>
    </xf>
    <xf numFmtId="43" fontId="6" fillId="3" borderId="18" xfId="1" applyFont="1" applyFill="1" applyBorder="1" applyAlignment="1">
      <alignment horizontal="center" vertical="center" wrapText="1"/>
    </xf>
    <xf numFmtId="43" fontId="3" fillId="0" borderId="15" xfId="1" applyFont="1" applyBorder="1"/>
    <xf numFmtId="43" fontId="3" fillId="2" borderId="16" xfId="1" applyFont="1" applyFill="1" applyBorder="1"/>
    <xf numFmtId="43" fontId="3" fillId="3" borderId="6" xfId="1" applyFont="1" applyFill="1" applyBorder="1"/>
    <xf numFmtId="43" fontId="3" fillId="3" borderId="7" xfId="1" applyFont="1" applyFill="1" applyBorder="1"/>
    <xf numFmtId="43" fontId="3" fillId="0" borderId="8" xfId="1" applyFont="1" applyBorder="1" applyAlignment="1">
      <alignment wrapText="1"/>
    </xf>
    <xf numFmtId="43" fontId="3" fillId="0" borderId="16" xfId="1" applyFont="1" applyBorder="1"/>
    <xf numFmtId="43" fontId="3" fillId="0" borderId="5" xfId="1" applyFont="1" applyBorder="1" applyAlignment="1">
      <alignment horizontal="center" vertical="center"/>
    </xf>
    <xf numFmtId="43" fontId="3" fillId="0" borderId="9" xfId="1" applyFont="1" applyBorder="1" applyAlignment="1">
      <alignment horizontal="center" vertical="center"/>
    </xf>
    <xf numFmtId="43" fontId="3" fillId="2" borderId="9" xfId="1" applyFont="1" applyFill="1" applyBorder="1" applyAlignment="1">
      <alignment horizontal="center" vertical="center"/>
    </xf>
    <xf numFmtId="43" fontId="3" fillId="0" borderId="7" xfId="1" applyFont="1" applyBorder="1" applyAlignment="1">
      <alignment horizontal="center" vertical="center"/>
    </xf>
    <xf numFmtId="43" fontId="3" fillId="0" borderId="16" xfId="1" applyFont="1" applyBorder="1" applyAlignment="1">
      <alignment horizontal="center" vertical="center"/>
    </xf>
    <xf numFmtId="43" fontId="3" fillId="3" borderId="7" xfId="1" applyFont="1" applyFill="1" applyBorder="1" applyAlignment="1">
      <alignment horizontal="center" vertical="center"/>
    </xf>
    <xf numFmtId="43" fontId="3" fillId="0" borderId="4" xfId="1" applyFont="1" applyBorder="1" applyAlignment="1">
      <alignment horizontal="left" vertical="center"/>
    </xf>
    <xf numFmtId="43" fontId="3" fillId="0" borderId="8" xfId="1" applyFont="1" applyBorder="1" applyAlignment="1">
      <alignment horizontal="left" vertical="center"/>
    </xf>
    <xf numFmtId="43" fontId="3" fillId="0" borderId="8" xfId="1" applyFont="1" applyBorder="1" applyAlignment="1">
      <alignment horizontal="left" vertical="center" wrapText="1"/>
    </xf>
    <xf numFmtId="43" fontId="3" fillId="0" borderId="6" xfId="1" applyFont="1" applyBorder="1" applyAlignment="1">
      <alignment horizontal="left" vertical="center"/>
    </xf>
    <xf numFmtId="43" fontId="3" fillId="0" borderId="15" xfId="1" applyFont="1" applyBorder="1" applyAlignment="1">
      <alignment horizontal="left" vertical="center"/>
    </xf>
    <xf numFmtId="43" fontId="3" fillId="3" borderId="6" xfId="1" applyFont="1" applyFill="1" applyBorder="1" applyAlignment="1">
      <alignment horizontal="left" vertical="center"/>
    </xf>
    <xf numFmtId="43" fontId="3" fillId="0" borderId="15" xfId="1" applyFont="1" applyBorder="1" applyAlignment="1">
      <alignment wrapText="1"/>
    </xf>
    <xf numFmtId="43" fontId="3" fillId="0" borderId="4" xfId="1" applyFont="1" applyFill="1" applyBorder="1"/>
    <xf numFmtId="43" fontId="3" fillId="0" borderId="5" xfId="1" applyFont="1" applyFill="1" applyBorder="1"/>
    <xf numFmtId="43" fontId="3" fillId="3" borderId="8" xfId="1" applyFont="1" applyFill="1" applyBorder="1"/>
    <xf numFmtId="43" fontId="3" fillId="3" borderId="9" xfId="1" applyFont="1" applyFill="1" applyBorder="1"/>
    <xf numFmtId="43" fontId="7" fillId="0" borderId="12" xfId="1" applyFont="1" applyBorder="1" applyAlignment="1">
      <alignment horizontal="center"/>
    </xf>
    <xf numFmtId="43" fontId="7" fillId="0" borderId="13" xfId="1" applyFont="1" applyBorder="1" applyAlignment="1">
      <alignment horizontal="center"/>
    </xf>
    <xf numFmtId="43" fontId="7" fillId="0" borderId="12" xfId="1" applyFont="1" applyBorder="1" applyAlignment="1">
      <alignment horizontal="center" vertical="center"/>
    </xf>
    <xf numFmtId="43" fontId="7" fillId="0" borderId="13" xfId="1" applyFont="1" applyBorder="1" applyAlignment="1">
      <alignment horizontal="center" vertical="center"/>
    </xf>
    <xf numFmtId="43" fontId="7" fillId="0" borderId="14" xfId="1" applyFont="1" applyBorder="1" applyAlignment="1">
      <alignment horizontal="center"/>
    </xf>
    <xf numFmtId="43" fontId="7" fillId="0" borderId="1" xfId="1" applyFont="1" applyBorder="1" applyAlignment="1">
      <alignment horizontal="center"/>
    </xf>
    <xf numFmtId="43" fontId="7" fillId="0" borderId="4" xfId="1" applyFont="1" applyBorder="1" applyAlignment="1">
      <alignment horizontal="center"/>
    </xf>
    <xf numFmtId="43" fontId="7" fillId="0" borderId="17" xfId="1" applyFont="1" applyBorder="1" applyAlignment="1">
      <alignment horizontal="center"/>
    </xf>
    <xf numFmtId="43" fontId="7" fillId="0" borderId="5" xfId="1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43" fontId="2" fillId="0" borderId="17" xfId="1" applyFont="1" applyBorder="1" applyAlignment="1">
      <alignment horizontal="center"/>
    </xf>
    <xf numFmtId="43" fontId="2" fillId="0" borderId="5" xfId="1" applyFont="1" applyBorder="1" applyAlignment="1">
      <alignment horizontal="center"/>
    </xf>
    <xf numFmtId="178" fontId="3" fillId="2" borderId="9" xfId="1" applyNumberFormat="1" applyFont="1" applyFill="1" applyBorder="1"/>
    <xf numFmtId="9" fontId="6" fillId="0" borderId="16" xfId="2" applyFont="1" applyBorder="1" applyAlignment="1">
      <alignment horizontal="center" vertical="center" wrapText="1"/>
    </xf>
    <xf numFmtId="9" fontId="6" fillId="0" borderId="9" xfId="2" applyFont="1" applyBorder="1" applyAlignment="1">
      <alignment horizontal="center" vertical="center" wrapText="1"/>
    </xf>
    <xf numFmtId="9" fontId="6" fillId="3" borderId="7" xfId="2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Для лаб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topLeftCell="A79" zoomScale="90" zoomScaleNormal="90" workbookViewId="0">
      <selection activeCell="D58" sqref="D58"/>
    </sheetView>
  </sheetViews>
  <sheetFormatPr defaultRowHeight="15.6" x14ac:dyDescent="0.3"/>
  <cols>
    <col min="1" max="1" width="57.44140625" style="1" bestFit="1" customWidth="1"/>
    <col min="2" max="2" width="16.21875" style="1" bestFit="1" customWidth="1"/>
    <col min="3" max="3" width="19.44140625" style="1" bestFit="1" customWidth="1"/>
    <col min="4" max="4" width="23.33203125" style="1" bestFit="1" customWidth="1"/>
    <col min="5" max="5" width="13.33203125" style="1" bestFit="1" customWidth="1"/>
    <col min="6" max="6" width="8.88671875" style="1"/>
    <col min="7" max="7" width="25.5546875" style="1" customWidth="1"/>
    <col min="8" max="8" width="18.88671875" style="1" customWidth="1"/>
    <col min="9" max="9" width="20" style="1" customWidth="1"/>
    <col min="10" max="10" width="17.88671875" style="1" customWidth="1"/>
    <col min="11" max="16384" width="8.88671875" style="1"/>
  </cols>
  <sheetData>
    <row r="1" spans="1:5" ht="16.2" thickBot="1" x14ac:dyDescent="0.35">
      <c r="E1" s="2"/>
    </row>
    <row r="2" spans="1:5" x14ac:dyDescent="0.3">
      <c r="A2" s="82" t="s">
        <v>33</v>
      </c>
      <c r="B2" s="83"/>
      <c r="C2" s="83"/>
      <c r="D2" s="84"/>
    </row>
    <row r="3" spans="1:5" ht="31.8" thickBot="1" x14ac:dyDescent="0.35">
      <c r="A3" s="3" t="s">
        <v>9</v>
      </c>
      <c r="B3" s="4" t="s">
        <v>10</v>
      </c>
      <c r="C3" s="4" t="s">
        <v>11</v>
      </c>
      <c r="D3" s="5" t="s">
        <v>12</v>
      </c>
    </row>
    <row r="4" spans="1:5" x14ac:dyDescent="0.3">
      <c r="A4" s="6" t="s">
        <v>13</v>
      </c>
      <c r="B4" s="7">
        <v>6</v>
      </c>
      <c r="C4" s="7">
        <v>12</v>
      </c>
      <c r="D4" s="8">
        <f>(3*B4+2*C4)/5</f>
        <v>8.4</v>
      </c>
    </row>
    <row r="5" spans="1:5" x14ac:dyDescent="0.3">
      <c r="A5" s="9" t="s">
        <v>14</v>
      </c>
      <c r="B5" s="10">
        <v>4</v>
      </c>
      <c r="C5" s="10">
        <v>7</v>
      </c>
      <c r="D5" s="11">
        <f t="shared" ref="D5:D9" si="0">(3*B5+2*C5)/5</f>
        <v>5.2</v>
      </c>
    </row>
    <row r="6" spans="1:5" ht="31.2" x14ac:dyDescent="0.3">
      <c r="A6" s="9" t="s">
        <v>15</v>
      </c>
      <c r="B6" s="10">
        <v>120</v>
      </c>
      <c r="C6" s="10">
        <v>192</v>
      </c>
      <c r="D6" s="11">
        <f t="shared" si="0"/>
        <v>148.80000000000001</v>
      </c>
    </row>
    <row r="7" spans="1:5" x14ac:dyDescent="0.3">
      <c r="A7" s="9" t="s">
        <v>16</v>
      </c>
      <c r="B7" s="10">
        <v>7</v>
      </c>
      <c r="C7" s="10">
        <v>18</v>
      </c>
      <c r="D7" s="11">
        <f t="shared" si="0"/>
        <v>11.4</v>
      </c>
    </row>
    <row r="8" spans="1:5" x14ac:dyDescent="0.3">
      <c r="A8" s="9" t="s">
        <v>17</v>
      </c>
      <c r="B8" s="10">
        <v>15</v>
      </c>
      <c r="C8" s="10">
        <v>20</v>
      </c>
      <c r="D8" s="11">
        <f t="shared" si="0"/>
        <v>17</v>
      </c>
    </row>
    <row r="9" spans="1:5" ht="16.2" thickBot="1" x14ac:dyDescent="0.35">
      <c r="A9" s="13" t="s">
        <v>18</v>
      </c>
      <c r="B9" s="14">
        <f>SUM(B4:B8)</f>
        <v>152</v>
      </c>
      <c r="C9" s="14">
        <f>SUM(C4:C8)</f>
        <v>249</v>
      </c>
      <c r="D9" s="15">
        <f t="shared" si="0"/>
        <v>190.8</v>
      </c>
    </row>
    <row r="10" spans="1:5" x14ac:dyDescent="0.3">
      <c r="A10" s="18"/>
      <c r="B10" s="19"/>
      <c r="C10" s="19"/>
      <c r="D10" s="17"/>
    </row>
    <row r="11" spans="1:5" ht="16.2" thickBot="1" x14ac:dyDescent="0.35">
      <c r="A11" s="18"/>
      <c r="B11" s="19"/>
      <c r="C11" s="19"/>
      <c r="D11" s="17"/>
    </row>
    <row r="12" spans="1:5" x14ac:dyDescent="0.3">
      <c r="A12" s="82" t="s">
        <v>32</v>
      </c>
      <c r="B12" s="83"/>
      <c r="C12" s="83"/>
      <c r="D12" s="84"/>
    </row>
    <row r="13" spans="1:5" ht="16.2" thickBot="1" x14ac:dyDescent="0.35">
      <c r="A13" s="3" t="s">
        <v>20</v>
      </c>
      <c r="B13" s="4" t="s">
        <v>29</v>
      </c>
      <c r="C13" s="4" t="s">
        <v>31</v>
      </c>
      <c r="D13" s="5" t="s">
        <v>21</v>
      </c>
    </row>
    <row r="14" spans="1:5" x14ac:dyDescent="0.3">
      <c r="A14" s="20" t="s">
        <v>22</v>
      </c>
      <c r="B14" s="7">
        <v>1</v>
      </c>
      <c r="C14" s="7">
        <v>10000</v>
      </c>
      <c r="D14" s="8">
        <f>B14*C14</f>
        <v>10000</v>
      </c>
    </row>
    <row r="15" spans="1:5" x14ac:dyDescent="0.3">
      <c r="A15" s="21" t="s">
        <v>23</v>
      </c>
      <c r="B15" s="10">
        <v>1</v>
      </c>
      <c r="C15" s="10">
        <v>10500</v>
      </c>
      <c r="D15" s="11">
        <f t="shared" ref="D15:D20" si="1">B15*C15</f>
        <v>10500</v>
      </c>
    </row>
    <row r="16" spans="1:5" x14ac:dyDescent="0.3">
      <c r="A16" s="21" t="s">
        <v>24</v>
      </c>
      <c r="B16" s="10">
        <v>1</v>
      </c>
      <c r="C16" s="10">
        <v>9000</v>
      </c>
      <c r="D16" s="11">
        <f t="shared" si="1"/>
        <v>9000</v>
      </c>
    </row>
    <row r="17" spans="1:10" x14ac:dyDescent="0.3">
      <c r="A17" s="21" t="s">
        <v>25</v>
      </c>
      <c r="B17" s="10">
        <v>1</v>
      </c>
      <c r="C17" s="10">
        <v>6000</v>
      </c>
      <c r="D17" s="11">
        <f t="shared" si="1"/>
        <v>6000</v>
      </c>
    </row>
    <row r="18" spans="1:10" x14ac:dyDescent="0.3">
      <c r="A18" s="21" t="s">
        <v>30</v>
      </c>
      <c r="B18" s="10">
        <v>150</v>
      </c>
      <c r="C18" s="10">
        <v>5.7</v>
      </c>
      <c r="D18" s="11">
        <f t="shared" si="1"/>
        <v>855</v>
      </c>
    </row>
    <row r="19" spans="1:10" x14ac:dyDescent="0.3">
      <c r="A19" s="21" t="s">
        <v>26</v>
      </c>
      <c r="B19" s="10">
        <v>3</v>
      </c>
      <c r="C19" s="10">
        <v>750</v>
      </c>
      <c r="D19" s="11">
        <f t="shared" si="1"/>
        <v>2250</v>
      </c>
    </row>
    <row r="20" spans="1:10" x14ac:dyDescent="0.3">
      <c r="A20" s="21" t="s">
        <v>27</v>
      </c>
      <c r="B20" s="10">
        <v>1</v>
      </c>
      <c r="C20" s="10">
        <v>1000</v>
      </c>
      <c r="D20" s="11">
        <f t="shared" si="1"/>
        <v>1000</v>
      </c>
    </row>
    <row r="21" spans="1:10" ht="16.2" thickBot="1" x14ac:dyDescent="0.35">
      <c r="A21" s="22" t="s">
        <v>18</v>
      </c>
      <c r="B21" s="23" t="s">
        <v>28</v>
      </c>
      <c r="C21" s="23" t="s">
        <v>28</v>
      </c>
      <c r="D21" s="15">
        <f>SUM(D14:D20)</f>
        <v>39605</v>
      </c>
    </row>
    <row r="23" spans="1:10" ht="16.2" thickBot="1" x14ac:dyDescent="0.35">
      <c r="G23" s="12"/>
      <c r="H23" s="12"/>
      <c r="I23" s="12"/>
      <c r="J23" s="12"/>
    </row>
    <row r="24" spans="1:10" x14ac:dyDescent="0.3">
      <c r="A24" s="24" t="s">
        <v>34</v>
      </c>
      <c r="B24" s="25">
        <v>50000</v>
      </c>
      <c r="G24" s="16"/>
      <c r="H24" s="17"/>
      <c r="I24" s="17"/>
      <c r="J24" s="17"/>
    </row>
    <row r="25" spans="1:10" ht="16.2" thickBot="1" x14ac:dyDescent="0.35">
      <c r="A25" s="26" t="s">
        <v>35</v>
      </c>
      <c r="B25" s="27">
        <v>0.13</v>
      </c>
      <c r="G25" s="12"/>
      <c r="H25" s="12"/>
      <c r="I25" s="12"/>
      <c r="J25" s="12"/>
    </row>
    <row r="26" spans="1:10" x14ac:dyDescent="0.3">
      <c r="A26" s="28" t="s">
        <v>38</v>
      </c>
      <c r="B26" s="25">
        <v>1</v>
      </c>
      <c r="G26" s="12"/>
      <c r="H26" s="12"/>
      <c r="I26" s="12"/>
      <c r="J26" s="12"/>
    </row>
    <row r="27" spans="1:10" x14ac:dyDescent="0.3">
      <c r="A27" s="29" t="s">
        <v>39</v>
      </c>
      <c r="B27" s="30">
        <v>0.93</v>
      </c>
      <c r="G27" s="12"/>
      <c r="H27" s="12"/>
      <c r="I27" s="12"/>
      <c r="J27" s="12"/>
    </row>
    <row r="28" spans="1:10" ht="16.2" thickBot="1" x14ac:dyDescent="0.35">
      <c r="A28" s="26" t="s">
        <v>40</v>
      </c>
      <c r="B28" s="27">
        <v>2256</v>
      </c>
    </row>
    <row r="29" spans="1:10" x14ac:dyDescent="0.3">
      <c r="A29" s="28" t="s">
        <v>36</v>
      </c>
      <c r="B29" s="31">
        <f>D9</f>
        <v>190.8</v>
      </c>
    </row>
    <row r="30" spans="1:10" ht="16.2" thickBot="1" x14ac:dyDescent="0.35">
      <c r="A30" s="32" t="s">
        <v>37</v>
      </c>
      <c r="B30" s="33">
        <f>B26*B27*B28</f>
        <v>2098.08</v>
      </c>
    </row>
    <row r="31" spans="1:10" ht="16.2" thickBot="1" x14ac:dyDescent="0.35">
      <c r="A31" s="34" t="s">
        <v>41</v>
      </c>
      <c r="B31" s="35">
        <f>(B24*B25*B29)/B30</f>
        <v>591.11187371310916</v>
      </c>
    </row>
    <row r="33" spans="1:3" ht="16.2" thickBot="1" x14ac:dyDescent="0.35"/>
    <row r="34" spans="1:3" x14ac:dyDescent="0.3">
      <c r="A34" s="28" t="s">
        <v>42</v>
      </c>
      <c r="B34" s="25">
        <v>1</v>
      </c>
    </row>
    <row r="35" spans="1:3" x14ac:dyDescent="0.3">
      <c r="A35" s="29" t="s">
        <v>19</v>
      </c>
      <c r="B35" s="36">
        <f>D9</f>
        <v>190.8</v>
      </c>
    </row>
    <row r="36" spans="1:3" x14ac:dyDescent="0.3">
      <c r="A36" s="29" t="s">
        <v>43</v>
      </c>
      <c r="B36" s="30">
        <v>18000</v>
      </c>
    </row>
    <row r="37" spans="1:3" x14ac:dyDescent="0.3">
      <c r="A37" s="29" t="s">
        <v>44</v>
      </c>
      <c r="B37" s="37">
        <v>8</v>
      </c>
    </row>
    <row r="38" spans="1:3" ht="16.2" thickBot="1" x14ac:dyDescent="0.35">
      <c r="A38" s="26" t="s">
        <v>45</v>
      </c>
      <c r="B38" s="27">
        <v>21</v>
      </c>
    </row>
    <row r="39" spans="1:3" x14ac:dyDescent="0.3">
      <c r="A39" s="28" t="s">
        <v>46</v>
      </c>
      <c r="B39" s="31">
        <f>B36*B34*B35/(B37*B38)</f>
        <v>20442.857142857141</v>
      </c>
    </row>
    <row r="40" spans="1:3" x14ac:dyDescent="0.3">
      <c r="A40" s="38" t="s">
        <v>47</v>
      </c>
      <c r="B40" s="37">
        <f>B39*1.2</f>
        <v>24531.428571428569</v>
      </c>
    </row>
    <row r="41" spans="1:3" x14ac:dyDescent="0.3">
      <c r="A41" s="38" t="s">
        <v>48</v>
      </c>
      <c r="B41" s="37">
        <f>B40*0.3</f>
        <v>7359.4285714285706</v>
      </c>
    </row>
    <row r="42" spans="1:3" ht="16.2" thickBot="1" x14ac:dyDescent="0.35">
      <c r="A42" s="39" t="s">
        <v>49</v>
      </c>
      <c r="B42" s="40">
        <f>B39*0.2</f>
        <v>4088.5714285714284</v>
      </c>
    </row>
    <row r="44" spans="1:3" ht="16.2" thickBot="1" x14ac:dyDescent="0.35"/>
    <row r="45" spans="1:3" x14ac:dyDescent="0.3">
      <c r="A45" s="79" t="s">
        <v>57</v>
      </c>
      <c r="B45" s="80"/>
      <c r="C45" s="81"/>
    </row>
    <row r="46" spans="1:3" ht="31.8" thickBot="1" x14ac:dyDescent="0.35">
      <c r="A46" s="41" t="s">
        <v>50</v>
      </c>
      <c r="B46" s="42" t="s">
        <v>21</v>
      </c>
      <c r="C46" s="43" t="s">
        <v>51</v>
      </c>
    </row>
    <row r="47" spans="1:3" ht="31.2" x14ac:dyDescent="0.3">
      <c r="A47" s="44" t="s">
        <v>52</v>
      </c>
      <c r="B47" s="45">
        <f>D21</f>
        <v>39605</v>
      </c>
      <c r="C47" s="86">
        <f>B47/$B$52</f>
        <v>0.51991754529817613</v>
      </c>
    </row>
    <row r="48" spans="1:3" x14ac:dyDescent="0.3">
      <c r="A48" s="46" t="s">
        <v>53</v>
      </c>
      <c r="B48" s="47">
        <f>B31</f>
        <v>591.11187371310916</v>
      </c>
      <c r="C48" s="87">
        <f t="shared" ref="C48:C52" si="2">B48/$B$52</f>
        <v>7.7598645215888199E-3</v>
      </c>
    </row>
    <row r="49" spans="1:3" x14ac:dyDescent="0.3">
      <c r="A49" s="46" t="s">
        <v>54</v>
      </c>
      <c r="B49" s="47">
        <f>B40</f>
        <v>24531.428571428569</v>
      </c>
      <c r="C49" s="87">
        <f t="shared" si="2"/>
        <v>0.322038129668342</v>
      </c>
    </row>
    <row r="50" spans="1:3" x14ac:dyDescent="0.3">
      <c r="A50" s="46" t="s">
        <v>55</v>
      </c>
      <c r="B50" s="47">
        <f>B41</f>
        <v>7359.4285714285706</v>
      </c>
      <c r="C50" s="87">
        <f t="shared" si="2"/>
        <v>9.6611438900502597E-2</v>
      </c>
    </row>
    <row r="51" spans="1:3" x14ac:dyDescent="0.3">
      <c r="A51" s="46" t="s">
        <v>56</v>
      </c>
      <c r="B51" s="47">
        <f>B42</f>
        <v>4088.5714285714284</v>
      </c>
      <c r="C51" s="87">
        <f t="shared" si="2"/>
        <v>5.3673021611390342E-2</v>
      </c>
    </row>
    <row r="52" spans="1:3" ht="16.2" thickBot="1" x14ac:dyDescent="0.35">
      <c r="A52" s="48" t="s">
        <v>18</v>
      </c>
      <c r="B52" s="49">
        <f>SUM(B47:B51)</f>
        <v>76175.540445141683</v>
      </c>
      <c r="C52" s="88">
        <f t="shared" si="2"/>
        <v>1</v>
      </c>
    </row>
    <row r="54" spans="1:3" ht="16.2" thickBot="1" x14ac:dyDescent="0.35"/>
    <row r="55" spans="1:3" ht="16.2" thickBot="1" x14ac:dyDescent="0.35">
      <c r="A55" s="77" t="s">
        <v>62</v>
      </c>
      <c r="B55" s="78"/>
    </row>
    <row r="56" spans="1:3" x14ac:dyDescent="0.3">
      <c r="A56" s="50" t="s">
        <v>59</v>
      </c>
      <c r="B56" s="51">
        <v>0.25</v>
      </c>
    </row>
    <row r="57" spans="1:3" x14ac:dyDescent="0.3">
      <c r="A57" s="29" t="s">
        <v>61</v>
      </c>
      <c r="B57" s="36">
        <v>0.2</v>
      </c>
    </row>
    <row r="58" spans="1:3" x14ac:dyDescent="0.3">
      <c r="A58" s="29" t="s">
        <v>58</v>
      </c>
      <c r="B58" s="36">
        <f>B52*B56</f>
        <v>19043.885111285421</v>
      </c>
    </row>
    <row r="59" spans="1:3" x14ac:dyDescent="0.3">
      <c r="A59" s="29" t="s">
        <v>63</v>
      </c>
      <c r="B59" s="36">
        <f>B52+B58</f>
        <v>95219.425556427101</v>
      </c>
    </row>
    <row r="60" spans="1:3" ht="16.2" thickBot="1" x14ac:dyDescent="0.35">
      <c r="A60" s="52" t="s">
        <v>60</v>
      </c>
      <c r="B60" s="53">
        <f>B59+B59*B57</f>
        <v>114263.31066771252</v>
      </c>
    </row>
    <row r="62" spans="1:3" ht="16.2" thickBot="1" x14ac:dyDescent="0.35"/>
    <row r="63" spans="1:3" ht="16.2" thickBot="1" x14ac:dyDescent="0.35">
      <c r="A63" s="75" t="s">
        <v>74</v>
      </c>
      <c r="B63" s="76"/>
    </row>
    <row r="64" spans="1:3" x14ac:dyDescent="0.3">
      <c r="A64" s="62" t="s">
        <v>65</v>
      </c>
      <c r="B64" s="56">
        <f>D9</f>
        <v>190.8</v>
      </c>
    </row>
    <row r="65" spans="1:2" x14ac:dyDescent="0.3">
      <c r="A65" s="63" t="s">
        <v>66</v>
      </c>
      <c r="B65" s="57">
        <f>B31/(B37*B38)</f>
        <v>3.5185230578161262</v>
      </c>
    </row>
    <row r="66" spans="1:2" x14ac:dyDescent="0.3">
      <c r="A66" s="63" t="s">
        <v>67</v>
      </c>
      <c r="B66" s="58">
        <v>1</v>
      </c>
    </row>
    <row r="67" spans="1:2" x14ac:dyDescent="0.3">
      <c r="A67" s="63" t="s">
        <v>68</v>
      </c>
      <c r="B67" s="57">
        <f>B60</f>
        <v>114263.31066771252</v>
      </c>
    </row>
    <row r="68" spans="1:2" ht="31.2" x14ac:dyDescent="0.3">
      <c r="A68" s="64" t="s">
        <v>69</v>
      </c>
      <c r="B68" s="58">
        <v>4</v>
      </c>
    </row>
    <row r="69" spans="1:2" ht="46.8" x14ac:dyDescent="0.3">
      <c r="A69" s="64" t="s">
        <v>72</v>
      </c>
      <c r="B69" s="57">
        <f>B30</f>
        <v>2098.08</v>
      </c>
    </row>
    <row r="70" spans="1:2" ht="16.2" thickBot="1" x14ac:dyDescent="0.35">
      <c r="A70" s="65" t="s">
        <v>73</v>
      </c>
      <c r="B70" s="59">
        <f>B40/(B37*B38)</f>
        <v>146.0204081632653</v>
      </c>
    </row>
    <row r="71" spans="1:2" x14ac:dyDescent="0.3">
      <c r="A71" s="66" t="s">
        <v>64</v>
      </c>
      <c r="B71" s="60">
        <f>(B64*B65)/B66+B67/B68</f>
        <v>29237.161866359445</v>
      </c>
    </row>
    <row r="72" spans="1:2" ht="31.2" x14ac:dyDescent="0.3">
      <c r="A72" s="64" t="s">
        <v>71</v>
      </c>
      <c r="B72" s="57">
        <f>B69*B70</f>
        <v>306362.49795918365</v>
      </c>
    </row>
    <row r="73" spans="1:2" ht="16.2" thickBot="1" x14ac:dyDescent="0.35">
      <c r="A73" s="67" t="s">
        <v>70</v>
      </c>
      <c r="B73" s="61">
        <f>B72-B71</f>
        <v>277125.33609282417</v>
      </c>
    </row>
    <row r="75" spans="1:2" ht="16.2" thickBot="1" x14ac:dyDescent="0.35"/>
    <row r="76" spans="1:2" ht="16.2" thickBot="1" x14ac:dyDescent="0.35">
      <c r="A76" s="73" t="s">
        <v>75</v>
      </c>
      <c r="B76" s="74"/>
    </row>
    <row r="77" spans="1:2" ht="31.2" x14ac:dyDescent="0.3">
      <c r="A77" s="68" t="s">
        <v>76</v>
      </c>
      <c r="B77" s="55">
        <f>B60</f>
        <v>114263.31066771252</v>
      </c>
    </row>
    <row r="78" spans="1:2" ht="16.2" thickBot="1" x14ac:dyDescent="0.35">
      <c r="A78" s="32" t="s">
        <v>77</v>
      </c>
      <c r="B78" s="33">
        <f>B73</f>
        <v>277125.33609282417</v>
      </c>
    </row>
    <row r="79" spans="1:2" x14ac:dyDescent="0.3">
      <c r="A79" s="28" t="s">
        <v>78</v>
      </c>
      <c r="B79" s="31">
        <f>B77/B78</f>
        <v>0.41231636298111551</v>
      </c>
    </row>
    <row r="80" spans="1:2" x14ac:dyDescent="0.3">
      <c r="A80" s="71" t="s">
        <v>79</v>
      </c>
      <c r="B80" s="72">
        <f>B79*12</f>
        <v>4.9477963557733862</v>
      </c>
    </row>
    <row r="81" spans="1:2" ht="16.2" thickBot="1" x14ac:dyDescent="0.35">
      <c r="A81" s="52" t="s">
        <v>7</v>
      </c>
      <c r="B81" s="53">
        <f>1/B79</f>
        <v>2.4253221307295072</v>
      </c>
    </row>
    <row r="83" spans="1:2" ht="16.2" thickBot="1" x14ac:dyDescent="0.35"/>
    <row r="84" spans="1:2" ht="16.2" thickBot="1" x14ac:dyDescent="0.35">
      <c r="A84" s="73" t="s">
        <v>83</v>
      </c>
      <c r="B84" s="74"/>
    </row>
    <row r="85" spans="1:2" x14ac:dyDescent="0.3">
      <c r="A85" s="28" t="s">
        <v>80</v>
      </c>
      <c r="B85" s="25">
        <v>490</v>
      </c>
    </row>
    <row r="86" spans="1:2" ht="31.2" x14ac:dyDescent="0.3">
      <c r="A86" s="54" t="s">
        <v>81</v>
      </c>
      <c r="B86" s="85">
        <v>30</v>
      </c>
    </row>
    <row r="87" spans="1:2" x14ac:dyDescent="0.3">
      <c r="A87" s="38" t="s">
        <v>2</v>
      </c>
      <c r="B87" s="37">
        <f>B86*B85</f>
        <v>14700</v>
      </c>
    </row>
    <row r="88" spans="1:2" ht="16.2" thickBot="1" x14ac:dyDescent="0.35">
      <c r="A88" s="39" t="s">
        <v>82</v>
      </c>
      <c r="B88" s="40">
        <f>12*B87</f>
        <v>176400</v>
      </c>
    </row>
    <row r="89" spans="1:2" x14ac:dyDescent="0.3">
      <c r="A89" s="69" t="s">
        <v>3</v>
      </c>
      <c r="B89" s="31">
        <f>B73</f>
        <v>277125.33609282417</v>
      </c>
    </row>
    <row r="90" spans="1:2" ht="16.2" thickBot="1" x14ac:dyDescent="0.35">
      <c r="A90" s="26" t="s">
        <v>0</v>
      </c>
      <c r="B90" s="27">
        <f>-(B40+B41+B42)</f>
        <v>-35979.428571428565</v>
      </c>
    </row>
    <row r="91" spans="1:2" x14ac:dyDescent="0.3">
      <c r="A91" s="69" t="s">
        <v>1</v>
      </c>
      <c r="B91" s="70">
        <f>B90-B60</f>
        <v>-150242.73923914108</v>
      </c>
    </row>
    <row r="92" spans="1:2" x14ac:dyDescent="0.3">
      <c r="A92" s="38" t="s">
        <v>4</v>
      </c>
      <c r="B92" s="37">
        <f>B89+B88</f>
        <v>453525.33609282417</v>
      </c>
    </row>
    <row r="93" spans="1:2" ht="16.2" thickBot="1" x14ac:dyDescent="0.35">
      <c r="A93" s="52" t="s">
        <v>5</v>
      </c>
      <c r="B93" s="53">
        <f>B92+B91</f>
        <v>303282.59685368312</v>
      </c>
    </row>
    <row r="94" spans="1:2" x14ac:dyDescent="0.3">
      <c r="A94" s="69" t="s">
        <v>6</v>
      </c>
      <c r="B94" s="70">
        <f>B60/B93</f>
        <v>0.3767552502290073</v>
      </c>
    </row>
    <row r="95" spans="1:2" x14ac:dyDescent="0.3">
      <c r="A95" s="71" t="s">
        <v>8</v>
      </c>
      <c r="B95" s="72">
        <f>12*B94</f>
        <v>4.5210630027480878</v>
      </c>
    </row>
    <row r="96" spans="1:2" ht="16.2" thickBot="1" x14ac:dyDescent="0.35">
      <c r="A96" s="52" t="s">
        <v>7</v>
      </c>
      <c r="B96" s="53">
        <f>1/B94</f>
        <v>2.6542430381319408</v>
      </c>
    </row>
  </sheetData>
  <mergeCells count="7">
    <mergeCell ref="A76:B76"/>
    <mergeCell ref="A84:B84"/>
    <mergeCell ref="A12:D12"/>
    <mergeCell ref="A2:D2"/>
    <mergeCell ref="A45:C45"/>
    <mergeCell ref="A55:B55"/>
    <mergeCell ref="A63:B6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2022-06-12T20:50:47Z</dcterms:modified>
</cp:coreProperties>
</file>