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chi\Documents\Projects\Environmental\FoE\HIF1 inquiry\Analysis\"/>
    </mc:Choice>
  </mc:AlternateContent>
  <xr:revisionPtr revIDLastSave="0" documentId="13_ncr:1_{3267CC98-02FC-4FD2-B7CA-215EB4FC86AC}" xr6:coauthVersionLast="47" xr6:coauthVersionMax="47" xr10:uidLastSave="{00000000-0000-0000-0000-000000000000}"/>
  <bookViews>
    <workbookView xWindow="-96" yWindow="0" windowWidth="11712" windowHeight="13776" xr2:uid="{FA2FED22-AD2E-411F-927A-B429138BAD2F}"/>
  </bookViews>
  <sheets>
    <sheet name="HIF1 costs" sheetId="3" r:id="rId1"/>
    <sheet name="Inputs&gt;&gt;" sheetId="1" r:id="rId2"/>
    <sheet name="bcis tpi" sheetId="2" r:id="rId3"/>
  </sheets>
  <definedNames>
    <definedName name="ExternalData_1" localSheetId="2" hidden="1">'bcis tpi'!$A$3:$B$89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8" i="3" l="1"/>
  <c r="I150" i="3"/>
  <c r="G149" i="3"/>
  <c r="H149" i="3" s="1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G7" i="2"/>
  <c r="G6" i="2"/>
  <c r="G5" i="2"/>
  <c r="G4" i="2"/>
  <c r="K51" i="3"/>
  <c r="J51" i="3"/>
  <c r="I51" i="3"/>
  <c r="H51" i="3"/>
  <c r="G51" i="3"/>
  <c r="F51" i="3"/>
  <c r="D145" i="3"/>
  <c r="F131" i="3"/>
  <c r="F140" i="3"/>
  <c r="F139" i="3"/>
  <c r="F152" i="3"/>
  <c r="F151" i="3"/>
  <c r="F150" i="3"/>
  <c r="D152" i="3"/>
  <c r="D151" i="3"/>
  <c r="D150" i="3"/>
  <c r="F21" i="3"/>
  <c r="M28" i="3" s="1"/>
  <c r="D19" i="3"/>
  <c r="D18" i="3"/>
  <c r="D17" i="3"/>
  <c r="D30" i="3" s="1"/>
  <c r="D16" i="3"/>
  <c r="D29" i="3" s="1"/>
  <c r="D15" i="3"/>
  <c r="D28" i="3" s="1"/>
  <c r="D14" i="3"/>
  <c r="D27" i="3" s="1"/>
  <c r="F65" i="3"/>
  <c r="F69" i="3" s="1"/>
  <c r="G64" i="3"/>
  <c r="G65" i="3" s="1"/>
  <c r="G69" i="3" s="1"/>
  <c r="K50" i="3"/>
  <c r="J50" i="3"/>
  <c r="I50" i="3"/>
  <c r="H50" i="3"/>
  <c r="G50" i="3"/>
  <c r="F50" i="3"/>
  <c r="L49" i="3"/>
  <c r="F18" i="3" s="1"/>
  <c r="L48" i="3"/>
  <c r="F17" i="3" s="1"/>
  <c r="L47" i="3"/>
  <c r="F16" i="3" s="1"/>
  <c r="L46" i="3"/>
  <c r="F15" i="3" s="1"/>
  <c r="L45" i="3"/>
  <c r="F14" i="3" s="1"/>
  <c r="G77" i="3" l="1"/>
  <c r="G76" i="3"/>
  <c r="G74" i="3"/>
  <c r="G73" i="3"/>
  <c r="G75" i="3"/>
  <c r="F76" i="3"/>
  <c r="F73" i="3"/>
  <c r="F74" i="3"/>
  <c r="F77" i="3"/>
  <c r="F75" i="3"/>
  <c r="G66" i="3" a="1"/>
  <c r="G66" i="3" s="1"/>
  <c r="F66" i="3" a="1"/>
  <c r="F66" i="3" s="1"/>
  <c r="H64" i="3"/>
  <c r="L50" i="3"/>
  <c r="K52" i="3" s="1"/>
  <c r="I52" i="3" l="1"/>
  <c r="G52" i="3"/>
  <c r="F130" i="3"/>
  <c r="F133" i="3" s="1"/>
  <c r="F145" i="3" s="1"/>
  <c r="G150" i="3" s="1"/>
  <c r="J52" i="3"/>
  <c r="H52" i="3"/>
  <c r="F52" i="3"/>
  <c r="G151" i="3"/>
  <c r="G152" i="3"/>
  <c r="E36" i="3"/>
  <c r="F19" i="3"/>
  <c r="G78" i="3"/>
  <c r="F78" i="3"/>
  <c r="I64" i="3"/>
  <c r="H65" i="3"/>
  <c r="M50" i="3"/>
  <c r="M46" i="3"/>
  <c r="M49" i="3"/>
  <c r="M48" i="3"/>
  <c r="M47" i="3"/>
  <c r="M45" i="3"/>
  <c r="K53" i="3" l="1"/>
  <c r="J53" i="3"/>
  <c r="I53" i="3"/>
  <c r="H53" i="3"/>
  <c r="G53" i="3"/>
  <c r="F53" i="3"/>
  <c r="H66" i="3" a="1"/>
  <c r="H66" i="3" s="1"/>
  <c r="H69" i="3"/>
  <c r="J64" i="3"/>
  <c r="I65" i="3"/>
  <c r="I66" i="3" l="1" a="1"/>
  <c r="I66" i="3" s="1"/>
  <c r="I69" i="3"/>
  <c r="H76" i="3"/>
  <c r="H74" i="3"/>
  <c r="H77" i="3"/>
  <c r="H75" i="3"/>
  <c r="H73" i="3"/>
  <c r="K64" i="3"/>
  <c r="J65" i="3"/>
  <c r="K65" i="3" l="1"/>
  <c r="K66" i="3" s="1" a="1"/>
  <c r="K66" i="3" s="1"/>
  <c r="J66" i="3" a="1"/>
  <c r="J66" i="3" s="1"/>
  <c r="J69" i="3"/>
  <c r="H78" i="3"/>
  <c r="I73" i="3"/>
  <c r="I75" i="3"/>
  <c r="I76" i="3"/>
  <c r="I74" i="3"/>
  <c r="I77" i="3"/>
  <c r="K69" i="3" l="1"/>
  <c r="K75" i="3" s="1"/>
  <c r="F67" i="3"/>
  <c r="I78" i="3"/>
  <c r="J76" i="3"/>
  <c r="J74" i="3"/>
  <c r="J77" i="3"/>
  <c r="J75" i="3"/>
  <c r="J73" i="3"/>
  <c r="K77" i="3" l="1"/>
  <c r="K73" i="3"/>
  <c r="K76" i="3"/>
  <c r="K74" i="3"/>
  <c r="L75" i="3"/>
  <c r="J78" i="3"/>
  <c r="L76" i="3" l="1"/>
  <c r="L77" i="3"/>
  <c r="L73" i="3"/>
  <c r="L74" i="3"/>
  <c r="K78" i="3"/>
  <c r="L78" i="3" l="1"/>
  <c r="M74" i="3" l="1"/>
  <c r="M77" i="3"/>
  <c r="M75" i="3"/>
  <c r="M76" i="3"/>
  <c r="M78" i="3"/>
  <c r="M73" i="3"/>
  <c r="H150" i="3" l="1"/>
  <c r="F134" i="3"/>
  <c r="F141" i="3" s="1"/>
  <c r="H152" i="3" l="1"/>
  <c r="H151" i="3"/>
  <c r="D149" i="3"/>
  <c r="F35" i="3" s="1"/>
  <c r="F149" i="3"/>
  <c r="E14" i="2" l="1"/>
  <c r="E18" i="2" s="1"/>
  <c r="E22" i="2" s="1"/>
  <c r="E26" i="2" s="1"/>
  <c r="E30" i="2" s="1"/>
  <c r="E34" i="2" s="1"/>
  <c r="E38" i="2" s="1"/>
  <c r="E42" i="2" s="1"/>
  <c r="E46" i="2" s="1"/>
  <c r="E50" i="2" s="1"/>
  <c r="E54" i="2" s="1"/>
  <c r="E58" i="2" s="1"/>
  <c r="E62" i="2" s="1"/>
  <c r="E66" i="2" s="1"/>
  <c r="E70" i="2" s="1"/>
  <c r="E74" i="2" s="1"/>
  <c r="E78" i="2" s="1"/>
  <c r="E82" i="2" s="1"/>
  <c r="E86" i="2" s="1"/>
  <c r="E11" i="2"/>
  <c r="E15" i="2" s="1"/>
  <c r="E19" i="2" s="1"/>
  <c r="E23" i="2" s="1"/>
  <c r="E27" i="2" s="1"/>
  <c r="E31" i="2" s="1"/>
  <c r="E35" i="2" s="1"/>
  <c r="E39" i="2" s="1"/>
  <c r="E43" i="2" s="1"/>
  <c r="E47" i="2" s="1"/>
  <c r="E51" i="2" s="1"/>
  <c r="E55" i="2" s="1"/>
  <c r="E59" i="2" s="1"/>
  <c r="E63" i="2" s="1"/>
  <c r="E67" i="2" s="1"/>
  <c r="E71" i="2" s="1"/>
  <c r="E75" i="2" s="1"/>
  <c r="E79" i="2" s="1"/>
  <c r="E83" i="2" s="1"/>
  <c r="E87" i="2" s="1"/>
  <c r="D11" i="2"/>
  <c r="E10" i="2"/>
  <c r="D10" i="2"/>
  <c r="G10" i="2" s="1"/>
  <c r="E9" i="2"/>
  <c r="E13" i="2" s="1"/>
  <c r="E17" i="2" s="1"/>
  <c r="E21" i="2" s="1"/>
  <c r="E25" i="2" s="1"/>
  <c r="E29" i="2" s="1"/>
  <c r="E33" i="2" s="1"/>
  <c r="E37" i="2" s="1"/>
  <c r="E41" i="2" s="1"/>
  <c r="E45" i="2" s="1"/>
  <c r="E49" i="2" s="1"/>
  <c r="E53" i="2" s="1"/>
  <c r="E57" i="2" s="1"/>
  <c r="E61" i="2" s="1"/>
  <c r="E65" i="2" s="1"/>
  <c r="E69" i="2" s="1"/>
  <c r="E73" i="2" s="1"/>
  <c r="E77" i="2" s="1"/>
  <c r="E81" i="2" s="1"/>
  <c r="E85" i="2" s="1"/>
  <c r="E89" i="2" s="1"/>
  <c r="D9" i="2"/>
  <c r="G9" i="2" s="1"/>
  <c r="E8" i="2"/>
  <c r="E12" i="2" s="1"/>
  <c r="E16" i="2" s="1"/>
  <c r="E20" i="2" s="1"/>
  <c r="E24" i="2" s="1"/>
  <c r="E28" i="2" s="1"/>
  <c r="E32" i="2" s="1"/>
  <c r="E36" i="2" s="1"/>
  <c r="E40" i="2" s="1"/>
  <c r="E44" i="2" s="1"/>
  <c r="E48" i="2" s="1"/>
  <c r="E52" i="2" s="1"/>
  <c r="E56" i="2" s="1"/>
  <c r="E60" i="2" s="1"/>
  <c r="E64" i="2" s="1"/>
  <c r="E68" i="2" s="1"/>
  <c r="E72" i="2" s="1"/>
  <c r="E76" i="2" s="1"/>
  <c r="E80" i="2" s="1"/>
  <c r="E84" i="2" s="1"/>
  <c r="E88" i="2" s="1"/>
  <c r="D8" i="2"/>
  <c r="D14" i="2" l="1"/>
  <c r="G14" i="2" s="1"/>
  <c r="G8" i="2"/>
  <c r="G11" i="2"/>
  <c r="D15" i="2"/>
  <c r="D12" i="2"/>
  <c r="D13" i="2"/>
  <c r="D18" i="2" l="1"/>
  <c r="D22" i="2" s="1"/>
  <c r="D16" i="2"/>
  <c r="G12" i="2"/>
  <c r="D17" i="2"/>
  <c r="G13" i="2"/>
  <c r="G15" i="2"/>
  <c r="D19" i="2"/>
  <c r="G18" i="2" l="1"/>
  <c r="D26" i="2"/>
  <c r="G22" i="2"/>
  <c r="D23" i="2"/>
  <c r="G19" i="2"/>
  <c r="D21" i="2"/>
  <c r="G17" i="2"/>
  <c r="D20" i="2"/>
  <c r="G16" i="2"/>
  <c r="D24" i="2" l="1"/>
  <c r="G20" i="2"/>
  <c r="D25" i="2"/>
  <c r="G21" i="2"/>
  <c r="D27" i="2"/>
  <c r="G23" i="2"/>
  <c r="D30" i="2"/>
  <c r="G26" i="2"/>
  <c r="D34" i="2" l="1"/>
  <c r="G30" i="2"/>
  <c r="D31" i="2"/>
  <c r="G27" i="2"/>
  <c r="D29" i="2"/>
  <c r="G25" i="2"/>
  <c r="D28" i="2"/>
  <c r="G24" i="2"/>
  <c r="D32" i="2" l="1"/>
  <c r="G28" i="2"/>
  <c r="D33" i="2"/>
  <c r="G29" i="2"/>
  <c r="D35" i="2"/>
  <c r="G31" i="2"/>
  <c r="D38" i="2"/>
  <c r="G34" i="2"/>
  <c r="D42" i="2" l="1"/>
  <c r="G38" i="2"/>
  <c r="D39" i="2"/>
  <c r="G35" i="2"/>
  <c r="D37" i="2"/>
  <c r="G33" i="2"/>
  <c r="D36" i="2"/>
  <c r="G32" i="2"/>
  <c r="D40" i="2" l="1"/>
  <c r="G36" i="2"/>
  <c r="D41" i="2"/>
  <c r="G37" i="2"/>
  <c r="D43" i="2"/>
  <c r="G39" i="2"/>
  <c r="D46" i="2"/>
  <c r="G42" i="2"/>
  <c r="D47" i="2" l="1"/>
  <c r="G43" i="2"/>
  <c r="D50" i="2"/>
  <c r="G46" i="2"/>
  <c r="D45" i="2"/>
  <c r="G41" i="2"/>
  <c r="D44" i="2"/>
  <c r="G40" i="2"/>
  <c r="D48" i="2" l="1"/>
  <c r="G44" i="2"/>
  <c r="D49" i="2"/>
  <c r="G45" i="2"/>
  <c r="D54" i="2"/>
  <c r="G50" i="2"/>
  <c r="D51" i="2"/>
  <c r="G47" i="2"/>
  <c r="D55" i="2" l="1"/>
  <c r="G51" i="2"/>
  <c r="D58" i="2"/>
  <c r="G54" i="2"/>
  <c r="D53" i="2"/>
  <c r="G49" i="2"/>
  <c r="D52" i="2"/>
  <c r="G48" i="2"/>
  <c r="D56" i="2" l="1"/>
  <c r="G52" i="2"/>
  <c r="D62" i="2"/>
  <c r="G58" i="2"/>
  <c r="D57" i="2"/>
  <c r="G53" i="2"/>
  <c r="D59" i="2"/>
  <c r="G55" i="2"/>
  <c r="D63" i="2" l="1"/>
  <c r="G59" i="2"/>
  <c r="D66" i="2"/>
  <c r="G62" i="2"/>
  <c r="D61" i="2"/>
  <c r="G57" i="2"/>
  <c r="D60" i="2"/>
  <c r="G56" i="2"/>
  <c r="D70" i="2" l="1"/>
  <c r="G66" i="2"/>
  <c r="D64" i="2"/>
  <c r="G60" i="2"/>
  <c r="D65" i="2"/>
  <c r="G61" i="2"/>
  <c r="D67" i="2"/>
  <c r="G63" i="2"/>
  <c r="D71" i="2" l="1"/>
  <c r="G67" i="2"/>
  <c r="D68" i="2"/>
  <c r="G64" i="2"/>
  <c r="D69" i="2"/>
  <c r="G65" i="2"/>
  <c r="D74" i="2"/>
  <c r="G70" i="2"/>
  <c r="D78" i="2" l="1"/>
  <c r="G74" i="2"/>
  <c r="D72" i="2"/>
  <c r="G68" i="2"/>
  <c r="D75" i="2"/>
  <c r="G71" i="2"/>
  <c r="D73" i="2"/>
  <c r="G69" i="2"/>
  <c r="D77" i="2" l="1"/>
  <c r="G73" i="2"/>
  <c r="D76" i="2"/>
  <c r="G72" i="2"/>
  <c r="D79" i="2"/>
  <c r="G75" i="2"/>
  <c r="D82" i="2"/>
  <c r="G78" i="2"/>
  <c r="D86" i="2" l="1"/>
  <c r="G86" i="2" s="1"/>
  <c r="G82" i="2"/>
  <c r="D83" i="2"/>
  <c r="G79" i="2"/>
  <c r="D80" i="2"/>
  <c r="G76" i="2"/>
  <c r="D81" i="2"/>
  <c r="G77" i="2"/>
  <c r="D87" i="2" l="1"/>
  <c r="G87" i="2" s="1"/>
  <c r="G83" i="2"/>
  <c r="D85" i="2"/>
  <c r="G81" i="2"/>
  <c r="D84" i="2"/>
  <c r="G80" i="2"/>
  <c r="D88" i="2" l="1"/>
  <c r="G88" i="2" s="1"/>
  <c r="G84" i="2"/>
  <c r="D89" i="2"/>
  <c r="G85" i="2"/>
  <c r="G89" i="2" l="1"/>
  <c r="K85" i="3"/>
  <c r="K86" i="3" s="1"/>
  <c r="J85" i="3"/>
  <c r="J86" i="3" s="1"/>
  <c r="G85" i="3"/>
  <c r="G86" i="3" s="1"/>
  <c r="F85" i="3"/>
  <c r="F86" i="3" s="1"/>
  <c r="I85" i="3"/>
  <c r="I86" i="3" s="1"/>
  <c r="H85" i="3"/>
  <c r="H86" i="3" s="1"/>
  <c r="J87" i="3" l="1"/>
  <c r="I87" i="3"/>
  <c r="F87" i="3"/>
  <c r="K87" i="3"/>
  <c r="G87" i="3"/>
  <c r="H87" i="3"/>
  <c r="H91" i="3" l="1"/>
  <c r="H93" i="3"/>
  <c r="H95" i="3"/>
  <c r="H92" i="3"/>
  <c r="H94" i="3"/>
  <c r="J95" i="3"/>
  <c r="J94" i="3"/>
  <c r="J91" i="3"/>
  <c r="J93" i="3"/>
  <c r="J92" i="3"/>
  <c r="G93" i="3"/>
  <c r="G94" i="3"/>
  <c r="G95" i="3"/>
  <c r="G91" i="3"/>
  <c r="G92" i="3"/>
  <c r="K93" i="3"/>
  <c r="K95" i="3"/>
  <c r="K92" i="3"/>
  <c r="K94" i="3"/>
  <c r="K91" i="3"/>
  <c r="K96" i="3" s="1"/>
  <c r="F91" i="3"/>
  <c r="F94" i="3"/>
  <c r="F93" i="3"/>
  <c r="L93" i="3" s="1"/>
  <c r="F92" i="3"/>
  <c r="L92" i="3" s="1"/>
  <c r="F95" i="3"/>
  <c r="I93" i="3"/>
  <c r="I91" i="3"/>
  <c r="I95" i="3"/>
  <c r="I92" i="3"/>
  <c r="I94" i="3"/>
  <c r="H96" i="3" l="1"/>
  <c r="F96" i="3"/>
  <c r="L91" i="3"/>
  <c r="L94" i="3"/>
  <c r="E28" i="3"/>
  <c r="G15" i="3"/>
  <c r="H15" i="3" s="1"/>
  <c r="I15" i="3" s="1"/>
  <c r="G16" i="3"/>
  <c r="H16" i="3" s="1"/>
  <c r="I16" i="3" s="1"/>
  <c r="E29" i="3"/>
  <c r="J96" i="3"/>
  <c r="L95" i="3"/>
  <c r="I96" i="3"/>
  <c r="G96" i="3"/>
  <c r="G17" i="3" l="1"/>
  <c r="H17" i="3" s="1"/>
  <c r="I17" i="3" s="1"/>
  <c r="E30" i="3"/>
  <c r="G18" i="3"/>
  <c r="H18" i="3" s="1"/>
  <c r="I18" i="3" s="1"/>
  <c r="L96" i="3"/>
  <c r="G14" i="3"/>
  <c r="H14" i="3" s="1"/>
  <c r="I14" i="3" s="1"/>
  <c r="E27" i="3"/>
  <c r="G27" i="3" s="1" a="1"/>
  <c r="G27" i="3" s="1"/>
  <c r="M91" i="3"/>
  <c r="M96" i="3" l="1"/>
  <c r="E31" i="3"/>
  <c r="L28" i="3" s="1"/>
  <c r="G19" i="3"/>
  <c r="H19" i="3" s="1"/>
  <c r="M92" i="3"/>
  <c r="M93" i="3"/>
  <c r="M95" i="3"/>
  <c r="M94" i="3"/>
  <c r="F22" i="3" l="1"/>
  <c r="F23" i="3"/>
  <c r="I19" i="3"/>
  <c r="I152" i="3"/>
  <c r="J152" i="3" s="1"/>
  <c r="I151" i="3"/>
  <c r="I149" i="3"/>
  <c r="J151" i="3" l="1"/>
  <c r="H36" i="3"/>
  <c r="J150" i="3"/>
  <c r="G36" i="3"/>
  <c r="J149" i="3"/>
  <c r="F3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65ED3-86F2-4A6F-B4CF-D04E5AE65348}" keepAlive="1" name="Query - bcis tpi" description="Connection to the 'bcis tpi' query in the workbook." type="5" refreshedVersion="8" background="1" saveData="1">
    <dbPr connection="Provider=Microsoft.Mashup.OleDb.1;Data Source=$Workbook$;Location=&quot;bcis tpi&quot;;Extended Properties=&quot;&quot;" command="SELECT * FROM [bcis tp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<sst xmlns="http://schemas.openxmlformats.org/spreadsheetml/2006/main" count="163" uniqueCount="91">
  <si>
    <t>Column1</t>
  </si>
  <si>
    <t>Column2</t>
  </si>
  <si>
    <t>Year</t>
  </si>
  <si>
    <t>Quarter</t>
  </si>
  <si>
    <t>A</t>
  </si>
  <si>
    <t>Methodology</t>
  </si>
  <si>
    <t>END</t>
  </si>
  <si>
    <t>B</t>
  </si>
  <si>
    <t>Section</t>
  </si>
  <si>
    <t>Total</t>
  </si>
  <si>
    <t>%</t>
  </si>
  <si>
    <t>£000s</t>
  </si>
  <si>
    <t>C</t>
  </si>
  <si>
    <t>D</t>
  </si>
  <si>
    <t>E</t>
  </si>
  <si>
    <t>Overall</t>
  </si>
  <si>
    <t>Stripping out the inflation profile</t>
  </si>
  <si>
    <t>Profile of spend over time</t>
  </si>
  <si>
    <t>Source: Email from Greg O'Broin, Jan 19 2023, 6:21pm</t>
  </si>
  <si>
    <t>Source: Amendments to the Grant Determination Agreement, 15 March 2022, paragraphs 25-27.</t>
  </si>
  <si>
    <t>Quantified Risk and Contingency fund</t>
  </si>
  <si>
    <t>Inflation</t>
  </si>
  <si>
    <t>Deflated spend profile</t>
  </si>
  <si>
    <t>Goal-seek inflation rate</t>
  </si>
  <si>
    <t>Goal-seek inflation allowance</t>
  </si>
  <si>
    <t>Explanation: to strip out the impact of inflation over time, we assume that the OCC has applied a constant inflation rate over time</t>
  </si>
  <si>
    <t>To calculate this assumed inflation rate, we use the goal-seek function in Excel. We set the 'goal-seek inflation allowance' cell to 0 by changing the 'goal-seek inflation rate' cell.</t>
  </si>
  <si>
    <t>Calculate deflated spend profile</t>
  </si>
  <si>
    <t>Inflation factors</t>
  </si>
  <si>
    <t>Inflation factor assumed by OCC</t>
  </si>
  <si>
    <t>Table 2 HIF1's deflated spend profile</t>
  </si>
  <si>
    <t>Allowance for inflation in HIF1</t>
  </si>
  <si>
    <t>Construction inflation as measured by the BCIS TPI</t>
  </si>
  <si>
    <t>Source: BCIS (2023), 'Construction inflation: is the worst really over', September, slide 10.</t>
  </si>
  <si>
    <t>Construction inflation rate (%) as measured by BCIS TPI</t>
  </si>
  <si>
    <t>Table 3 HIF1's spend profile with BCIS TPI construction inflation</t>
  </si>
  <si>
    <t>Construction inflation index (BCIS TPI)</t>
  </si>
  <si>
    <t>Construction inflation factor (BCIS TPI)</t>
  </si>
  <si>
    <t>HIF1 budget</t>
  </si>
  <si>
    <t>% difference</t>
  </si>
  <si>
    <t>Forecast</t>
  </si>
  <si>
    <t>Inflation allowance in HIF1</t>
  </si>
  <si>
    <t>Likely inflation allowance required</t>
  </si>
  <si>
    <t>Additional amount required</t>
  </si>
  <si>
    <t>Additional inflation allowance required</t>
  </si>
  <si>
    <t>Results</t>
  </si>
  <si>
    <t>Contingency</t>
  </si>
  <si>
    <t>Table 1 HIF1's spend profile as of revised grant determination agreement</t>
  </si>
  <si>
    <t>RCF table</t>
  </si>
  <si>
    <t xml:space="preserve">UK Road Cost </t>
  </si>
  <si>
    <t>P-value</t>
  </si>
  <si>
    <t xml:space="preserve">Level of certainty of the estimate </t>
  </si>
  <si>
    <t>Roads (FBC)</t>
  </si>
  <si>
    <t>Roads (OBC)</t>
  </si>
  <si>
    <t>Roads (SOC)</t>
  </si>
  <si>
    <t>N</t>
  </si>
  <si>
    <t>Mean</t>
  </si>
  <si>
    <t>Source: DfT (2021), 'TAG: optimism bias workbook', 19 May, https://www.gov.uk/government/publications/tag-optimism-bias-workbook</t>
  </si>
  <si>
    <t>Contingency allowed for by OCC</t>
  </si>
  <si>
    <t>P-value assumed by the OCC</t>
  </si>
  <si>
    <t>Contingency assumed by OCC</t>
  </si>
  <si>
    <t>P-value assumed by OCC</t>
  </si>
  <si>
    <t>Contingency assuming P80/P90/P95</t>
  </si>
  <si>
    <t>Contingency (%)</t>
  </si>
  <si>
    <t>Extra contingency needed</t>
  </si>
  <si>
    <t>Contingency (£)</t>
  </si>
  <si>
    <t>Updating HIF1 costs for inflation and higher contingency</t>
  </si>
  <si>
    <t>This workbook adjusts the OCC's estimates of HIF1 costs to reflect the latest construction inflation estimates, based on the BCIS TPI index.</t>
  </si>
  <si>
    <t xml:space="preserve">We first remove the OCC's inflation assumptions. Next, we overlay the inflation rates based on the BCIS TPI index. </t>
  </si>
  <si>
    <t xml:space="preserve">We also calculate the amount of contingency that the OCC provides, and re-calculate the costs for the P80 level (usually what is assumed in large projects), and also the P90/P95. </t>
  </si>
  <si>
    <t>£m</t>
  </si>
  <si>
    <t>Inflation funding required</t>
  </si>
  <si>
    <t>Inflation funding available</t>
  </si>
  <si>
    <t>P80</t>
  </si>
  <si>
    <t>P90</t>
  </si>
  <si>
    <t>Available funding (pre-inflation)</t>
  </si>
  <si>
    <t>Degree of certainty</t>
  </si>
  <si>
    <t>Inflation uplift</t>
  </si>
  <si>
    <t>Same table as left, but transposed</t>
  </si>
  <si>
    <t>Impact of inflation</t>
  </si>
  <si>
    <t>Impact of inflation + risk assumptions</t>
  </si>
  <si>
    <t xml:space="preserve">RCF uplifts are applied on real values. So we use real HIF costs as a starting point. </t>
  </si>
  <si>
    <t>HIF1 costs excluding inflation and contingency</t>
  </si>
  <si>
    <t>HIF1 costs</t>
  </si>
  <si>
    <t>Inflation allowance</t>
  </si>
  <si>
    <t>HIF1 costs (with BCIS TPI inflation)</t>
  </si>
  <si>
    <t>Inflation uplift by section, at P62 level of contingency</t>
  </si>
  <si>
    <t>Overall (£m)</t>
  </si>
  <si>
    <t>Date</t>
  </si>
  <si>
    <t xml:space="preserve">Data extracted using https://www.graphreader.com/ from slide 10 of : https://bcis-production-2021.s3.eu-west-2.amazonaws.com/2023/09/Construction-Outlook_Final-slide-deck-no-video.pdf </t>
  </si>
  <si>
    <t>Inflation rate assumed by 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</si>
</sst>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 tint="-0.499984740745262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6"/>
      <color theme="0"/>
      <name val="Arial"/>
      <family val="2"/>
    </font>
    <font>
      <sz val="16"/>
      <color theme="1"/>
      <name val="Arial"/>
      <family val="2"/>
    </font>
    <font>
      <b/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8" fillId="0" borderId="1" xfId="1" applyNumberFormat="1" applyFont="1" applyBorder="1"/>
    <xf numFmtId="164" fontId="9" fillId="0" borderId="1" xfId="1" applyNumberFormat="1" applyFont="1" applyBorder="1"/>
    <xf numFmtId="165" fontId="9" fillId="0" borderId="1" xfId="2" applyNumberFormat="1" applyFont="1" applyBorder="1"/>
    <xf numFmtId="164" fontId="5" fillId="0" borderId="1" xfId="1" applyNumberFormat="1" applyFont="1" applyBorder="1"/>
    <xf numFmtId="165" fontId="5" fillId="0" borderId="1" xfId="2" applyNumberFormat="1" applyFont="1" applyBorder="1"/>
    <xf numFmtId="0" fontId="11" fillId="0" borderId="0" xfId="0" applyFont="1"/>
    <xf numFmtId="0" fontId="7" fillId="0" borderId="0" xfId="0" applyFont="1" applyAlignment="1">
      <alignment horizontal="center"/>
    </xf>
    <xf numFmtId="0" fontId="13" fillId="2" borderId="0" xfId="0" applyFont="1" applyFill="1"/>
    <xf numFmtId="0" fontId="9" fillId="0" borderId="0" xfId="0" applyFont="1"/>
    <xf numFmtId="0" fontId="5" fillId="0" borderId="0" xfId="0" applyFont="1"/>
    <xf numFmtId="0" fontId="14" fillId="0" borderId="0" xfId="0" applyFont="1"/>
    <xf numFmtId="0" fontId="15" fillId="0" borderId="0" xfId="3" applyFont="1"/>
    <xf numFmtId="164" fontId="8" fillId="0" borderId="0" xfId="1" applyNumberFormat="1" applyFont="1"/>
    <xf numFmtId="0" fontId="16" fillId="0" borderId="0" xfId="0" applyFont="1"/>
    <xf numFmtId="0" fontId="17" fillId="2" borderId="0" xfId="0" applyFont="1" applyFill="1"/>
    <xf numFmtId="0" fontId="18" fillId="0" borderId="0" xfId="0" applyFont="1"/>
    <xf numFmtId="0" fontId="10" fillId="3" borderId="0" xfId="0" applyFont="1" applyFill="1" applyAlignment="1">
      <alignment horizontal="center" vertical="center"/>
    </xf>
    <xf numFmtId="0" fontId="10" fillId="3" borderId="0" xfId="0" applyFont="1" applyFill="1"/>
    <xf numFmtId="0" fontId="11" fillId="3" borderId="0" xfId="0" applyFont="1" applyFill="1"/>
    <xf numFmtId="1" fontId="8" fillId="0" borderId="0" xfId="0" applyNumberFormat="1" applyFont="1"/>
    <xf numFmtId="1" fontId="9" fillId="0" borderId="0" xfId="0" applyNumberFormat="1" applyFont="1"/>
    <xf numFmtId="43" fontId="9" fillId="0" borderId="0" xfId="1" applyFont="1"/>
    <xf numFmtId="164" fontId="9" fillId="0" borderId="0" xfId="1" applyNumberFormat="1" applyFont="1"/>
    <xf numFmtId="10" fontId="8" fillId="0" borderId="0" xfId="2" applyNumberFormat="1" applyFont="1"/>
    <xf numFmtId="0" fontId="7" fillId="0" borderId="0" xfId="0" applyFont="1"/>
    <xf numFmtId="0" fontId="5" fillId="4" borderId="0" xfId="0" applyFont="1" applyFill="1"/>
    <xf numFmtId="0" fontId="9" fillId="4" borderId="0" xfId="0" applyFont="1" applyFill="1"/>
    <xf numFmtId="0" fontId="9" fillId="0" borderId="0" xfId="0" applyFont="1" applyAlignment="1">
      <alignment wrapText="1"/>
    </xf>
    <xf numFmtId="164" fontId="9" fillId="0" borderId="0" xfId="0" applyNumberFormat="1" applyFont="1"/>
    <xf numFmtId="9" fontId="9" fillId="0" borderId="0" xfId="2" applyFont="1"/>
    <xf numFmtId="0" fontId="5" fillId="0" borderId="2" xfId="0" applyFont="1" applyBorder="1"/>
    <xf numFmtId="164" fontId="9" fillId="0" borderId="2" xfId="0" applyNumberFormat="1" applyFont="1" applyBorder="1"/>
    <xf numFmtId="9" fontId="9" fillId="0" borderId="2" xfId="2" applyFont="1" applyBorder="1"/>
    <xf numFmtId="0" fontId="6" fillId="0" borderId="2" xfId="0" applyFont="1" applyBorder="1"/>
    <xf numFmtId="0" fontId="7" fillId="0" borderId="2" xfId="0" applyFont="1" applyBorder="1"/>
    <xf numFmtId="0" fontId="5" fillId="5" borderId="13" xfId="4" applyFont="1" applyFill="1" applyBorder="1" applyAlignment="1">
      <alignment horizontal="center" wrapText="1"/>
    </xf>
    <xf numFmtId="0" fontId="5" fillId="5" borderId="1" xfId="4" applyFont="1" applyFill="1" applyBorder="1" applyAlignment="1">
      <alignment horizontal="center" wrapText="1"/>
    </xf>
    <xf numFmtId="0" fontId="5" fillId="5" borderId="12" xfId="4" applyFont="1" applyFill="1" applyBorder="1" applyAlignment="1">
      <alignment horizontal="center"/>
    </xf>
    <xf numFmtId="0" fontId="9" fillId="5" borderId="3" xfId="4" applyFont="1" applyFill="1" applyBorder="1" applyAlignment="1">
      <alignment horizontal="center"/>
    </xf>
    <xf numFmtId="9" fontId="9" fillId="5" borderId="1" xfId="4" applyNumberFormat="1" applyFont="1" applyFill="1" applyBorder="1" applyAlignment="1">
      <alignment horizontal="center"/>
    </xf>
    <xf numFmtId="9" fontId="9" fillId="0" borderId="1" xfId="6" applyFont="1" applyBorder="1" applyAlignment="1">
      <alignment horizontal="center"/>
    </xf>
    <xf numFmtId="0" fontId="9" fillId="5" borderId="4" xfId="4" applyFont="1" applyFill="1" applyBorder="1" applyAlignment="1">
      <alignment horizontal="center"/>
    </xf>
    <xf numFmtId="9" fontId="9" fillId="0" borderId="5" xfId="6" applyFont="1" applyBorder="1" applyAlignment="1">
      <alignment horizontal="center"/>
    </xf>
    <xf numFmtId="0" fontId="5" fillId="5" borderId="6" xfId="4" applyFont="1" applyFill="1" applyBorder="1" applyAlignment="1">
      <alignment horizontal="center"/>
    </xf>
    <xf numFmtId="0" fontId="9" fillId="5" borderId="7" xfId="4" applyFont="1" applyFill="1" applyBorder="1" applyAlignment="1">
      <alignment horizontal="center"/>
    </xf>
    <xf numFmtId="0" fontId="9" fillId="5" borderId="7" xfId="5" applyNumberFormat="1" applyFont="1" applyFill="1" applyBorder="1" applyAlignment="1">
      <alignment horizontal="center"/>
    </xf>
    <xf numFmtId="0" fontId="9" fillId="5" borderId="8" xfId="5" applyNumberFormat="1" applyFont="1" applyFill="1" applyBorder="1" applyAlignment="1">
      <alignment horizontal="center"/>
    </xf>
    <xf numFmtId="0" fontId="5" fillId="5" borderId="4" xfId="4" applyFont="1" applyFill="1" applyBorder="1" applyAlignment="1">
      <alignment horizontal="center"/>
    </xf>
    <xf numFmtId="0" fontId="9" fillId="5" borderId="5" xfId="4" applyFont="1" applyFill="1" applyBorder="1" applyAlignment="1">
      <alignment horizontal="center"/>
    </xf>
    <xf numFmtId="9" fontId="9" fillId="5" borderId="5" xfId="6" applyFont="1" applyFill="1" applyBorder="1" applyAlignment="1">
      <alignment horizontal="center"/>
    </xf>
    <xf numFmtId="9" fontId="9" fillId="5" borderId="11" xfId="6" applyFont="1" applyFill="1" applyBorder="1" applyAlignment="1">
      <alignment horizontal="center"/>
    </xf>
    <xf numFmtId="9" fontId="9" fillId="0" borderId="0" xfId="1" applyNumberFormat="1" applyFont="1"/>
    <xf numFmtId="0" fontId="7" fillId="4" borderId="0" xfId="0" applyFont="1" applyFill="1"/>
    <xf numFmtId="43" fontId="9" fillId="4" borderId="0" xfId="1" applyFont="1" applyFill="1"/>
    <xf numFmtId="0" fontId="9" fillId="0" borderId="0" xfId="0" applyFont="1" applyAlignment="1">
      <alignment horizontal="center" vertical="center"/>
    </xf>
    <xf numFmtId="9" fontId="9" fillId="0" borderId="0" xfId="2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43" fontId="5" fillId="0" borderId="2" xfId="1" applyFont="1" applyBorder="1" applyAlignment="1">
      <alignment wrapText="1"/>
    </xf>
    <xf numFmtId="43" fontId="5" fillId="0" borderId="0" xfId="1" applyFont="1" applyAlignment="1">
      <alignment wrapText="1"/>
    </xf>
    <xf numFmtId="164" fontId="9" fillId="0" borderId="2" xfId="1" applyNumberFormat="1" applyFont="1" applyBorder="1"/>
    <xf numFmtId="0" fontId="5" fillId="0" borderId="1" xfId="0" applyFont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/>
    </xf>
    <xf numFmtId="164" fontId="9" fillId="0" borderId="1" xfId="0" applyNumberFormat="1" applyFont="1" applyBorder="1"/>
    <xf numFmtId="43" fontId="9" fillId="0" borderId="0" xfId="0" applyNumberFormat="1" applyFont="1"/>
    <xf numFmtId="1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19" fillId="0" borderId="0" xfId="0" applyFont="1"/>
    <xf numFmtId="165" fontId="9" fillId="0" borderId="0" xfId="2" applyNumberFormat="1" applyFont="1"/>
    <xf numFmtId="1" fontId="8" fillId="0" borderId="0" xfId="1" applyNumberFormat="1" applyFont="1" applyAlignment="1">
      <alignment horizontal="center" vertical="center"/>
    </xf>
    <xf numFmtId="43" fontId="7" fillId="0" borderId="2" xfId="1" applyFont="1" applyBorder="1" applyAlignment="1">
      <alignment wrapText="1"/>
    </xf>
    <xf numFmtId="0" fontId="9" fillId="0" borderId="2" xfId="0" applyFont="1" applyBorder="1" applyAlignment="1">
      <alignment horizontal="center" vertical="center"/>
    </xf>
    <xf numFmtId="9" fontId="9" fillId="0" borderId="2" xfId="2" applyFont="1" applyBorder="1" applyAlignment="1">
      <alignment horizontal="center" vertical="center"/>
    </xf>
    <xf numFmtId="164" fontId="7" fillId="0" borderId="0" xfId="1" applyNumberFormat="1" applyFont="1"/>
    <xf numFmtId="164" fontId="7" fillId="0" borderId="2" xfId="1" applyNumberFormat="1" applyFont="1" applyBorder="1"/>
    <xf numFmtId="0" fontId="6" fillId="0" borderId="0" xfId="0" applyFont="1" applyAlignment="1">
      <alignment horizontal="center"/>
    </xf>
    <xf numFmtId="164" fontId="5" fillId="0" borderId="0" xfId="1" applyNumberFormat="1" applyFont="1" applyBorder="1"/>
    <xf numFmtId="165" fontId="5" fillId="0" borderId="0" xfId="2" applyNumberFormat="1" applyFont="1" applyBorder="1"/>
    <xf numFmtId="43" fontId="0" fillId="0" borderId="0" xfId="1" applyFont="1"/>
    <xf numFmtId="0" fontId="5" fillId="6" borderId="9" xfId="4" applyFont="1" applyFill="1" applyBorder="1" applyAlignment="1">
      <alignment horizontal="center" wrapText="1"/>
    </xf>
    <xf numFmtId="0" fontId="5" fillId="6" borderId="10" xfId="4" applyFont="1" applyFill="1" applyBorder="1" applyAlignment="1">
      <alignment horizontal="center" wrapText="1"/>
    </xf>
    <xf numFmtId="0" fontId="5" fillId="6" borderId="14" xfId="4" applyFont="1" applyFill="1" applyBorder="1" applyAlignment="1">
      <alignment horizontal="center" wrapText="1"/>
    </xf>
  </cellXfs>
  <cellStyles count="7">
    <cellStyle name="Comma" xfId="1" builtinId="3"/>
    <cellStyle name="Comma 2" xfId="5" xr:uid="{CC8F84F8-2DD7-4CE4-A174-888467A17E66}"/>
    <cellStyle name="Hyperlink" xfId="3" builtinId="8"/>
    <cellStyle name="Normal" xfId="0" builtinId="0"/>
    <cellStyle name="Normal 2" xfId="4" xr:uid="{D422D2AD-4279-45F8-BB44-6D1019C0034D}"/>
    <cellStyle name="Percent" xfId="2" builtinId="5"/>
    <cellStyle name="Percent 2" xfId="6" xr:uid="{E5458250-AE40-4744-8DDB-18C0643E9F8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v>%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'HIF1 costs'!$F$52:$K$52</c:f>
              <c:numCache>
                <c:formatCode>0%</c:formatCode>
                <c:ptCount val="6"/>
                <c:pt idx="0">
                  <c:v>5.4342981401693705E-2</c:v>
                </c:pt>
                <c:pt idx="1">
                  <c:v>1.215575575034779E-2</c:v>
                </c:pt>
                <c:pt idx="2">
                  <c:v>9.184348789151664E-2</c:v>
                </c:pt>
                <c:pt idx="3">
                  <c:v>0.35859479463525978</c:v>
                </c:pt>
                <c:pt idx="4">
                  <c:v>0.43794486689447454</c:v>
                </c:pt>
                <c:pt idx="5">
                  <c:v>4.5118113426707546E-2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E-4A65-8C4B-D1A30D4F9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1868512"/>
        <c:axId val="1435876415"/>
      </c:barChart>
      <c:lineChart>
        <c:grouping val="standard"/>
        <c:varyColors val="0"/>
        <c:ser>
          <c:idx val="0"/>
          <c:order val="0"/>
          <c:tx>
            <c:v>£m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'HIF1 costs'!$F$44:$K$44</c:f>
              <c:numCache>
                <c:formatCode>General</c:formatCode>
                <c:ptCount val="6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</c:numCache>
            </c:numRef>
          </c:cat>
          <c:val>
            <c:numRef>
              <c:f>'HIF1 costs'!$F$51:$K$51</c:f>
              <c:numCache>
                <c:formatCode>_(* #,##0_);_(* \(#,##0\);_(* "-"??_);_(@_)</c:formatCode>
                <c:ptCount val="6"/>
                <c:pt idx="0">
                  <c:v>16.094000000000001</c:v>
                </c:pt>
                <c:pt idx="1">
                  <c:v>3.6</c:v>
                </c:pt>
                <c:pt idx="2">
                  <c:v>27.2</c:v>
                </c:pt>
                <c:pt idx="3">
                  <c:v>106.2</c:v>
                </c:pt>
                <c:pt idx="4">
                  <c:v>129.69999999999999</c:v>
                </c:pt>
                <c:pt idx="5">
                  <c:v>13.362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E-4A65-8C4B-D1A30D4F9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876672"/>
        <c:axId val="1257541344"/>
      </c:lineChart>
      <c:catAx>
        <c:axId val="125187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7541344"/>
        <c:crosses val="autoZero"/>
        <c:auto val="1"/>
        <c:lblAlgn val="ctr"/>
        <c:lblOffset val="100"/>
        <c:noMultiLvlLbl val="0"/>
      </c:catAx>
      <c:valAx>
        <c:axId val="1257541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£m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876672"/>
        <c:crosses val="autoZero"/>
        <c:crossBetween val="between"/>
      </c:valAx>
      <c:valAx>
        <c:axId val="14358764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% of total spend</a:t>
                </a:r>
              </a:p>
            </c:rich>
          </c:tx>
          <c:layout>
            <c:manualLayout>
              <c:xMode val="edge"/>
              <c:yMode val="edge"/>
              <c:x val="0.94305555555555554"/>
              <c:y val="0.2006403127058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868512"/>
        <c:crosses val="max"/>
        <c:crossBetween val="between"/>
      </c:valAx>
      <c:catAx>
        <c:axId val="1251868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58764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BCIS TPI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'bcis tpi'!$G$64:$G$87</c:f>
              <c:strCache>
                <c:ptCount val="24"/>
                <c:pt idx="0">
                  <c:v>2022Q1</c:v>
                </c:pt>
                <c:pt idx="1">
                  <c:v>2022Q2</c:v>
                </c:pt>
                <c:pt idx="2">
                  <c:v>2022Q3</c:v>
                </c:pt>
                <c:pt idx="3">
                  <c:v>2022Q4</c:v>
                </c:pt>
                <c:pt idx="4">
                  <c:v>2023Q1</c:v>
                </c:pt>
                <c:pt idx="5">
                  <c:v>2023Q2</c:v>
                </c:pt>
                <c:pt idx="6">
                  <c:v>2023Q3</c:v>
                </c:pt>
                <c:pt idx="7">
                  <c:v>2023Q4</c:v>
                </c:pt>
                <c:pt idx="8">
                  <c:v>2024Q1</c:v>
                </c:pt>
                <c:pt idx="9">
                  <c:v>2024Q2</c:v>
                </c:pt>
                <c:pt idx="10">
                  <c:v>2024Q3</c:v>
                </c:pt>
                <c:pt idx="11">
                  <c:v>2024Q4</c:v>
                </c:pt>
                <c:pt idx="12">
                  <c:v>2025Q1</c:v>
                </c:pt>
                <c:pt idx="13">
                  <c:v>2025Q2</c:v>
                </c:pt>
                <c:pt idx="14">
                  <c:v>2025Q3</c:v>
                </c:pt>
                <c:pt idx="15">
                  <c:v>2025Q4</c:v>
                </c:pt>
                <c:pt idx="16">
                  <c:v>2026Q1</c:v>
                </c:pt>
                <c:pt idx="17">
                  <c:v>2026Q2</c:v>
                </c:pt>
                <c:pt idx="18">
                  <c:v>2026Q3</c:v>
                </c:pt>
                <c:pt idx="19">
                  <c:v>2026Q4</c:v>
                </c:pt>
                <c:pt idx="20">
                  <c:v>2027Q1</c:v>
                </c:pt>
                <c:pt idx="21">
                  <c:v>2027Q2</c:v>
                </c:pt>
                <c:pt idx="22">
                  <c:v>2027Q3</c:v>
                </c:pt>
                <c:pt idx="23">
                  <c:v>2027Q4</c:v>
                </c:pt>
              </c:strCache>
            </c:strRef>
          </c:cat>
          <c:val>
            <c:numRef>
              <c:f>'bcis tpi'!$B$64:$B$87</c:f>
              <c:numCache>
                <c:formatCode>General</c:formatCode>
                <c:ptCount val="24"/>
                <c:pt idx="0">
                  <c:v>6.7160000000000002</c:v>
                </c:pt>
                <c:pt idx="1">
                  <c:v>10.141</c:v>
                </c:pt>
                <c:pt idx="2">
                  <c:v>9.4380000000000006</c:v>
                </c:pt>
                <c:pt idx="3">
                  <c:v>9.0879999999999992</c:v>
                </c:pt>
                <c:pt idx="4">
                  <c:v>8.2430000000000003</c:v>
                </c:pt>
                <c:pt idx="5">
                  <c:v>4.8129999999999997</c:v>
                </c:pt>
                <c:pt idx="6">
                  <c:v>4.077</c:v>
                </c:pt>
                <c:pt idx="7">
                  <c:v>3.5830000000000002</c:v>
                </c:pt>
                <c:pt idx="8">
                  <c:v>3</c:v>
                </c:pt>
                <c:pt idx="9">
                  <c:v>2.456</c:v>
                </c:pt>
                <c:pt idx="10">
                  <c:v>2.2509999999999999</c:v>
                </c:pt>
                <c:pt idx="11">
                  <c:v>3.2570000000000001</c:v>
                </c:pt>
                <c:pt idx="12">
                  <c:v>3.7429999999999999</c:v>
                </c:pt>
                <c:pt idx="13">
                  <c:v>4.1189999999999998</c:v>
                </c:pt>
                <c:pt idx="14">
                  <c:v>3.6760000000000002</c:v>
                </c:pt>
                <c:pt idx="15">
                  <c:v>3.573</c:v>
                </c:pt>
                <c:pt idx="16">
                  <c:v>3.5230000000000001</c:v>
                </c:pt>
                <c:pt idx="17">
                  <c:v>3.1930000000000001</c:v>
                </c:pt>
                <c:pt idx="18">
                  <c:v>3.7570000000000001</c:v>
                </c:pt>
                <c:pt idx="19">
                  <c:v>3.1970000000000001</c:v>
                </c:pt>
                <c:pt idx="20">
                  <c:v>3.7149999999999999</c:v>
                </c:pt>
                <c:pt idx="21">
                  <c:v>3.738</c:v>
                </c:pt>
                <c:pt idx="22">
                  <c:v>3.7290000000000001</c:v>
                </c:pt>
                <c:pt idx="23">
                  <c:v>3.5259999999999998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4-4E1C-BC2E-667C0598A19B}"/>
            </c:ext>
          </c:extLst>
        </c:ser>
        <c:ser>
          <c:idx val="1"/>
          <c:order val="1"/>
          <c:tx>
            <c:v>OCC inflation allowance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'bcis tpi'!$G$64:$G$87</c:f>
              <c:strCache>
                <c:ptCount val="24"/>
                <c:pt idx="0">
                  <c:v>2022Q1</c:v>
                </c:pt>
                <c:pt idx="1">
                  <c:v>2022Q2</c:v>
                </c:pt>
                <c:pt idx="2">
                  <c:v>2022Q3</c:v>
                </c:pt>
                <c:pt idx="3">
                  <c:v>2022Q4</c:v>
                </c:pt>
                <c:pt idx="4">
                  <c:v>2023Q1</c:v>
                </c:pt>
                <c:pt idx="5">
                  <c:v>2023Q2</c:v>
                </c:pt>
                <c:pt idx="6">
                  <c:v>2023Q3</c:v>
                </c:pt>
                <c:pt idx="7">
                  <c:v>2023Q4</c:v>
                </c:pt>
                <c:pt idx="8">
                  <c:v>2024Q1</c:v>
                </c:pt>
                <c:pt idx="9">
                  <c:v>2024Q2</c:v>
                </c:pt>
                <c:pt idx="10">
                  <c:v>2024Q3</c:v>
                </c:pt>
                <c:pt idx="11">
                  <c:v>2024Q4</c:v>
                </c:pt>
                <c:pt idx="12">
                  <c:v>2025Q1</c:v>
                </c:pt>
                <c:pt idx="13">
                  <c:v>2025Q2</c:v>
                </c:pt>
                <c:pt idx="14">
                  <c:v>2025Q3</c:v>
                </c:pt>
                <c:pt idx="15">
                  <c:v>2025Q4</c:v>
                </c:pt>
                <c:pt idx="16">
                  <c:v>2026Q1</c:v>
                </c:pt>
                <c:pt idx="17">
                  <c:v>2026Q2</c:v>
                </c:pt>
                <c:pt idx="18">
                  <c:v>2026Q3</c:v>
                </c:pt>
                <c:pt idx="19">
                  <c:v>2026Q4</c:v>
                </c:pt>
                <c:pt idx="20">
                  <c:v>2027Q1</c:v>
                </c:pt>
                <c:pt idx="21">
                  <c:v>2027Q2</c:v>
                </c:pt>
                <c:pt idx="22">
                  <c:v>2027Q3</c:v>
                </c:pt>
                <c:pt idx="23">
                  <c:v>2027Q4</c:v>
                </c:pt>
              </c:strCache>
            </c:strRef>
          </c:cat>
          <c:val>
            <c:numRef>
              <c:f>'bcis tpi'!$H$64:$H$87</c:f>
              <c:numCache>
                <c:formatCode>_(* #,##0.00_);_(* \(#,##0.00\);_(* "-"??_);_(@_)</c:formatCode>
                <c:ptCount val="24"/>
                <c:pt idx="0">
                  <c:v>2.2514745031290651</c:v>
                </c:pt>
                <c:pt idx="1">
                  <c:v>2.2514745031290651</c:v>
                </c:pt>
                <c:pt idx="2">
                  <c:v>2.2514745031290651</c:v>
                </c:pt>
                <c:pt idx="3">
                  <c:v>2.2514745031290651</c:v>
                </c:pt>
                <c:pt idx="4">
                  <c:v>2.2514745031290651</c:v>
                </c:pt>
                <c:pt idx="5">
                  <c:v>2.2514745031290651</c:v>
                </c:pt>
                <c:pt idx="6">
                  <c:v>2.2514745031290651</c:v>
                </c:pt>
                <c:pt idx="7">
                  <c:v>2.2514745031290651</c:v>
                </c:pt>
                <c:pt idx="8">
                  <c:v>2.2514745031290651</c:v>
                </c:pt>
                <c:pt idx="9">
                  <c:v>2.2514745031290651</c:v>
                </c:pt>
                <c:pt idx="10">
                  <c:v>2.2514745031290651</c:v>
                </c:pt>
                <c:pt idx="11">
                  <c:v>2.2514745031290651</c:v>
                </c:pt>
                <c:pt idx="12">
                  <c:v>2.2514745031290651</c:v>
                </c:pt>
                <c:pt idx="13">
                  <c:v>2.2514745031290651</c:v>
                </c:pt>
                <c:pt idx="14">
                  <c:v>2.2514745031290651</c:v>
                </c:pt>
                <c:pt idx="15">
                  <c:v>2.2514745031290651</c:v>
                </c:pt>
                <c:pt idx="16">
                  <c:v>2.2514745031290651</c:v>
                </c:pt>
                <c:pt idx="17">
                  <c:v>2.2514745031290651</c:v>
                </c:pt>
                <c:pt idx="18">
                  <c:v>2.2514745031290651</c:v>
                </c:pt>
                <c:pt idx="19">
                  <c:v>2.2514745031290651</c:v>
                </c:pt>
                <c:pt idx="20">
                  <c:v>2.2514745031290651</c:v>
                </c:pt>
                <c:pt idx="21">
                  <c:v>2.2514745031290651</c:v>
                </c:pt>
                <c:pt idx="22">
                  <c:v>2.2514745031290651</c:v>
                </c:pt>
                <c:pt idx="23">
                  <c:v>2.2514745031290651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C4-4E1C-BC2E-667C0598A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2844543"/>
        <c:axId val="1374591103"/>
      </c:lineChart>
      <c:catAx>
        <c:axId val="130284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74591103"/>
        <c:crosses val="autoZero"/>
        <c:auto val="1"/>
        <c:lblAlgn val="ctr"/>
        <c:lblOffset val="100"/>
        <c:noMultiLvlLbl val="0"/>
      </c:catAx>
      <c:valAx>
        <c:axId val="13745911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Inflation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0284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79169</xdr:colOff>
      <xdr:row>54</xdr:row>
      <xdr:rowOff>53440</xdr:rowOff>
    </xdr:from>
    <xdr:to>
      <xdr:col>20</xdr:col>
      <xdr:colOff>544286</xdr:colOff>
      <xdr:row>69</xdr:row>
      <xdr:rowOff>128648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5F5CF-D33B-222C-7A98-65015668A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0.22099</cdr:x>
      <cdr:y>0.15175</cdr:y>
    </cdr:from>
    <cdr:to>
      <cdr:x>0.39116</cdr:x>
      <cdr:y>0.54561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97646F-C74C-9F98-9EDF-FA31A6C7E63B}"/>
            </a:ext>
          </a:extLst>
        </cdr:cNvPr>
        <cdr:cNvSpPr txBox="1"/>
      </cdr:nvSpPr>
      <cdr:spPr>
        <a:xfrm xmlns:a="http://schemas.openxmlformats.org/drawingml/2006/main">
          <a:off x="1187533" y="35229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0.16545</cdr:x>
      <cdr:y>0.10975</cdr:y>
    </cdr:from>
    <cdr:to>
      <cdr:x>0.45959</cdr:x>
      <cdr:y>0.50361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0520167-ED49-EBDE-7A22-20222194F878}"/>
            </a:ext>
          </a:extLst>
        </cdr:cNvPr>
        <cdr:cNvSpPr txBox="1"/>
      </cdr:nvSpPr>
      <cdr:spPr>
        <a:xfrm xmlns:a="http://schemas.openxmlformats.org/drawingml/2006/main">
          <a:off x="1033113" y="285204"/>
          <a:ext cx="1836758" cy="10235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Around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half of HIF1 spend</a:t>
          </a:r>
        </a:p>
        <a:p xmlns:a="http://schemas.openxmlformats.org/drawingml/2006/main"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is in 2026 and 2027, but</a:t>
          </a:r>
        </a:p>
        <a:p xmlns:a="http://schemas.openxmlformats.org/drawingml/2006/main"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HE funding available only</a:t>
          </a:r>
        </a:p>
        <a:p xmlns:a="http://schemas.openxmlformats.org/drawingml/2006/main"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up to 31st March 2026, so </a:t>
          </a:r>
        </a:p>
        <a:p xmlns:a="http://schemas.openxmlformats.org/drawingml/2006/main"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there is significant delivery risk,</a:t>
          </a:r>
        </a:p>
        <a:p xmlns:a="http://schemas.openxmlformats.org/drawingml/2006/main"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exarcebated by the ongoing</a:t>
          </a:r>
        </a:p>
        <a:p xmlns:a="http://schemas.openxmlformats.org/drawingml/2006/main"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delays to HIF1.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6</xdr:row>
      <xdr:rowOff>53340</xdr:rowOff>
    </xdr:from>
    <xdr:to>
      <xdr:col>15</xdr:col>
      <xdr:colOff>213360</xdr:colOff>
      <xdr:row>21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6E8250-ACDC-477B-9CD6-756B926F2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</cdr:x>
      <cdr:y>0.10833</cdr:y>
    </cdr:from>
    <cdr:to>
      <cdr:x>0.53</cdr:x>
      <cdr:y>0.44167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4B42892-A9F2-0A30-5022-6EA6A5E38C97}"/>
            </a:ext>
          </a:extLst>
        </cdr:cNvPr>
        <cdr:cNvSpPr txBox="1"/>
      </cdr:nvSpPr>
      <cdr:spPr>
        <a:xfrm xmlns:a="http://schemas.openxmlformats.org/drawingml/2006/main">
          <a:off x="1508760" y="29718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900">
              <a:latin typeface="Arial" panose="020B0604020202020204" pitchFamily="34" charset="0"/>
              <a:cs typeface="Arial" panose="020B0604020202020204" pitchFamily="34" charset="0"/>
            </a:rPr>
            <a:t>Construction inflation, as measured by the BCIS TPI, </a:t>
          </a:r>
        </a:p>
        <a:p xmlns:a="http://schemas.openxmlformats.org/drawingml/2006/main">
          <a:r>
            <a:rPr lang="en-GB" sz="900">
              <a:latin typeface="Arial" panose="020B0604020202020204" pitchFamily="34" charset="0"/>
              <a:cs typeface="Arial" panose="020B0604020202020204" pitchFamily="34" charset="0"/>
            </a:rPr>
            <a:t>significantly exceeds HIF's inflation allowance .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9C7B9B-ED30-43E4-8918-B0CA0AE6F8A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BFE9D-21FF-48EA-951C-5E9E4F26237F}" name="bcis_tpi" displayName="bcis_tpi" ref="A3:B89" tableType="queryTable" totalsRowShown="0">
  <autoFilter ref="A3:B89" xr:uid="{6F3BFE9D-21FF-48EA-951C-5E9E4F26237F}"/>
  <tableColumns count="2">
    <tableColumn id="1" xr3:uid="{D5D7FE99-9BE9-45B6-861B-7DCEEF9F93D8}" uniqueName="1" name="Column1" queryTableFieldId="1"/>
    <tableColumn id="2" xr3:uid="{85D536AD-CB41-40F0-877C-BA1C2F6FCDC4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council.oxfordshire.gov.uk/documents/s59823/CA_MAR1522R13%20HIF1%20Cabinet%20_Mar22%20v5.2.pdf" TargetMode="External"/><Relationship Id="rId1" Type="http://schemas.openxmlformats.org/officeDocument/2006/relationships/hyperlink" Target="https://mycouncil.oxfordshire.gov.uk/documents/s59823/CA_MAR1522R13%20HIF1%20Cabinet%20_Mar22%20v5.2.pdf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FB36-AC18-4CBA-9C73-994E06195567}">
  <dimension ref="A1:N170"/>
  <sheetViews>
    <sheetView showGridLines="0" tabSelected="1" zoomScale="70" zoomScaleNormal="70" workbookViewId="0">
      <selection activeCell="G150" sqref="G150:H150"/>
    </sheetView>
  </sheetViews>
  <sheetFormatPr defaultRowHeight="13.2" x14ac:dyDescent="0.25"/>
  <cols>
    <col min="1" max="3" width="3.77734375" style="13" customWidth="1"/>
    <col min="4" max="4" width="26" style="13" customWidth="1"/>
    <col min="5" max="5" width="11.44140625" style="13" bestFit="1" customWidth="1"/>
    <col min="6" max="10" width="16.77734375" style="13" customWidth="1"/>
    <col min="11" max="11" width="8.88671875" style="13"/>
    <col min="12" max="12" width="14.88671875" style="13" customWidth="1"/>
    <col min="13" max="13" width="8.88671875" style="13"/>
    <col min="14" max="14" width="3.77734375" style="13" customWidth="1"/>
    <col min="15" max="16384" width="8.88671875" style="13"/>
  </cols>
  <sheetData>
    <row r="1" spans="1:14" s="20" customFormat="1" ht="21" x14ac:dyDescent="0.4">
      <c r="A1" s="19" t="s">
        <v>66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3" spans="1:14" s="10" customFormat="1" ht="15.6" x14ac:dyDescent="0.3">
      <c r="B3" s="21" t="s">
        <v>4</v>
      </c>
      <c r="D3" s="22" t="s">
        <v>5</v>
      </c>
      <c r="E3" s="23"/>
      <c r="F3" s="23"/>
      <c r="G3" s="23"/>
      <c r="H3" s="23"/>
      <c r="I3" s="23"/>
      <c r="J3" s="23"/>
      <c r="K3" s="23"/>
      <c r="L3" s="23"/>
      <c r="M3" s="23"/>
    </row>
    <row r="4" spans="1:14" x14ac:dyDescent="0.25">
      <c r="E4" s="29"/>
    </row>
    <row r="5" spans="1:14" x14ac:dyDescent="0.25">
      <c r="D5" s="13" t="s">
        <v>67</v>
      </c>
      <c r="E5" s="29"/>
    </row>
    <row r="6" spans="1:14" x14ac:dyDescent="0.25">
      <c r="D6" s="13" t="s">
        <v>68</v>
      </c>
      <c r="E6" s="29"/>
    </row>
    <row r="7" spans="1:14" x14ac:dyDescent="0.25">
      <c r="D7" s="13" t="s">
        <v>69</v>
      </c>
      <c r="E7" s="29"/>
    </row>
    <row r="8" spans="1:14" x14ac:dyDescent="0.25">
      <c r="E8" s="29"/>
    </row>
    <row r="9" spans="1:14" s="10" customFormat="1" ht="15.6" x14ac:dyDescent="0.3">
      <c r="B9" s="21" t="s">
        <v>7</v>
      </c>
      <c r="D9" s="22" t="s">
        <v>45</v>
      </c>
      <c r="E9" s="23"/>
      <c r="F9" s="23"/>
      <c r="G9" s="23"/>
      <c r="H9" s="23"/>
      <c r="I9" s="23"/>
      <c r="J9" s="23"/>
      <c r="K9" s="23"/>
      <c r="L9" s="23"/>
      <c r="M9" s="23"/>
    </row>
    <row r="10" spans="1:14" x14ac:dyDescent="0.25">
      <c r="E10" s="29"/>
    </row>
    <row r="11" spans="1:14" x14ac:dyDescent="0.25">
      <c r="D11" s="74" t="s">
        <v>79</v>
      </c>
      <c r="E11" s="29"/>
    </row>
    <row r="12" spans="1:14" x14ac:dyDescent="0.25">
      <c r="D12" s="14"/>
      <c r="E12" s="29"/>
    </row>
    <row r="13" spans="1:14" s="14" customFormat="1" x14ac:dyDescent="0.25">
      <c r="D13" s="35" t="s">
        <v>8</v>
      </c>
      <c r="E13" s="38"/>
      <c r="F13" s="35" t="s">
        <v>38</v>
      </c>
      <c r="G13" s="35" t="s">
        <v>40</v>
      </c>
      <c r="H13" s="35" t="s">
        <v>43</v>
      </c>
      <c r="I13" s="35" t="s">
        <v>39</v>
      </c>
    </row>
    <row r="14" spans="1:14" x14ac:dyDescent="0.25">
      <c r="D14" s="14" t="str">
        <f>D45</f>
        <v>A</v>
      </c>
      <c r="E14" s="29" t="s">
        <v>11</v>
      </c>
      <c r="F14" s="33">
        <f>L45</f>
        <v>33500</v>
      </c>
      <c r="G14" s="33">
        <f>L91</f>
        <v>37366.477151816594</v>
      </c>
      <c r="H14" s="33">
        <f>G14-F14</f>
        <v>3866.4771518165944</v>
      </c>
      <c r="I14" s="34">
        <f>H14/F14</f>
        <v>0.11541722841243565</v>
      </c>
    </row>
    <row r="15" spans="1:14" x14ac:dyDescent="0.25">
      <c r="D15" s="14" t="str">
        <f t="shared" ref="D15:D19" si="0">D46</f>
        <v>B</v>
      </c>
      <c r="E15" s="29" t="s">
        <v>11</v>
      </c>
      <c r="F15" s="33">
        <f t="shared" ref="F15:F19" si="1">L46</f>
        <v>57200</v>
      </c>
      <c r="G15" s="33">
        <f t="shared" ref="G15:G19" si="2">L92</f>
        <v>63944.516473494405</v>
      </c>
      <c r="H15" s="33">
        <f t="shared" ref="H15:H19" si="3">G15-F15</f>
        <v>6744.5164734944046</v>
      </c>
      <c r="I15" s="34">
        <f t="shared" ref="I15:I19" si="4">H15/F15</f>
        <v>0.11791112715899309</v>
      </c>
    </row>
    <row r="16" spans="1:14" x14ac:dyDescent="0.25">
      <c r="D16" s="14" t="str">
        <f t="shared" si="0"/>
        <v>C</v>
      </c>
      <c r="E16" s="29" t="s">
        <v>11</v>
      </c>
      <c r="F16" s="33">
        <f t="shared" si="1"/>
        <v>160000</v>
      </c>
      <c r="G16" s="33">
        <f t="shared" si="2"/>
        <v>179272.74896871595</v>
      </c>
      <c r="H16" s="33">
        <f t="shared" si="3"/>
        <v>19272.748968715954</v>
      </c>
      <c r="I16" s="34">
        <f t="shared" si="4"/>
        <v>0.12045468105447471</v>
      </c>
    </row>
    <row r="17" spans="4:13" x14ac:dyDescent="0.25">
      <c r="D17" s="14" t="str">
        <f t="shared" si="0"/>
        <v>D</v>
      </c>
      <c r="E17" s="29" t="s">
        <v>11</v>
      </c>
      <c r="F17" s="33">
        <f t="shared" si="1"/>
        <v>44801</v>
      </c>
      <c r="G17" s="33">
        <f t="shared" si="2"/>
        <v>50044.926257350584</v>
      </c>
      <c r="H17" s="33">
        <f t="shared" si="3"/>
        <v>5243.9262573505839</v>
      </c>
      <c r="I17" s="34">
        <f t="shared" si="4"/>
        <v>0.11704931267941751</v>
      </c>
    </row>
    <row r="18" spans="4:13" x14ac:dyDescent="0.25">
      <c r="D18" s="14" t="str">
        <f t="shared" si="0"/>
        <v>E</v>
      </c>
      <c r="E18" s="29" t="s">
        <v>11</v>
      </c>
      <c r="F18" s="33">
        <f t="shared" si="1"/>
        <v>655</v>
      </c>
      <c r="G18" s="33">
        <f t="shared" si="2"/>
        <v>698.6410196777781</v>
      </c>
      <c r="H18" s="33">
        <f t="shared" si="3"/>
        <v>43.641019677778104</v>
      </c>
      <c r="I18" s="34">
        <f t="shared" si="4"/>
        <v>6.6627510958439856E-2</v>
      </c>
    </row>
    <row r="19" spans="4:13" x14ac:dyDescent="0.25">
      <c r="D19" s="35" t="str">
        <f t="shared" si="0"/>
        <v>Overall</v>
      </c>
      <c r="E19" s="39" t="s">
        <v>11</v>
      </c>
      <c r="F19" s="36">
        <f t="shared" si="1"/>
        <v>296156</v>
      </c>
      <c r="G19" s="36">
        <f t="shared" si="2"/>
        <v>331327.30987105536</v>
      </c>
      <c r="H19" s="36">
        <f t="shared" si="3"/>
        <v>35171.30987105536</v>
      </c>
      <c r="I19" s="37">
        <f t="shared" si="4"/>
        <v>0.11875940339231811</v>
      </c>
    </row>
    <row r="20" spans="4:13" x14ac:dyDescent="0.25">
      <c r="E20" s="29"/>
    </row>
    <row r="21" spans="4:13" x14ac:dyDescent="0.25">
      <c r="D21" s="32" t="s">
        <v>41</v>
      </c>
      <c r="E21" s="29" t="s">
        <v>11</v>
      </c>
      <c r="F21" s="33">
        <f>F57</f>
        <v>26653</v>
      </c>
    </row>
    <row r="22" spans="4:13" ht="26.4" x14ac:dyDescent="0.25">
      <c r="D22" s="32" t="s">
        <v>44</v>
      </c>
      <c r="E22" s="29" t="s">
        <v>11</v>
      </c>
      <c r="F22" s="33">
        <f>H19</f>
        <v>35171.30987105536</v>
      </c>
    </row>
    <row r="23" spans="4:13" ht="26.4" x14ac:dyDescent="0.25">
      <c r="D23" s="32" t="s">
        <v>42</v>
      </c>
      <c r="E23" s="29" t="s">
        <v>11</v>
      </c>
      <c r="F23" s="33">
        <f>F21+H19</f>
        <v>61824.30987105536</v>
      </c>
    </row>
    <row r="25" spans="4:13" x14ac:dyDescent="0.25">
      <c r="D25" s="14" t="s">
        <v>86</v>
      </c>
      <c r="G25" s="14" t="s">
        <v>78</v>
      </c>
    </row>
    <row r="26" spans="4:13" x14ac:dyDescent="0.25">
      <c r="D26" s="35" t="s">
        <v>8</v>
      </c>
      <c r="E26" s="35" t="s">
        <v>70</v>
      </c>
    </row>
    <row r="27" spans="4:13" ht="39.6" x14ac:dyDescent="0.25">
      <c r="D27" s="14" t="str">
        <f>D14</f>
        <v>A</v>
      </c>
      <c r="E27" s="27">
        <f>(L91-L73)/10^3</f>
        <v>6.7299299753358497</v>
      </c>
      <c r="G27" s="2" t="str" cm="1">
        <f t="array" ref="G27:K28">TRANSPOSE(D26:E30)</f>
        <v>Section</v>
      </c>
      <c r="H27" s="67" t="str">
        <v>A</v>
      </c>
      <c r="I27" s="67" t="str">
        <v>B</v>
      </c>
      <c r="J27" s="67" t="str">
        <v>C</v>
      </c>
      <c r="K27" s="67" t="str">
        <v>D</v>
      </c>
      <c r="L27" s="72" t="s">
        <v>71</v>
      </c>
      <c r="M27" s="73" t="s">
        <v>72</v>
      </c>
    </row>
    <row r="28" spans="4:13" x14ac:dyDescent="0.25">
      <c r="D28" s="14" t="str">
        <f>D15</f>
        <v>B</v>
      </c>
      <c r="E28" s="27">
        <f>(L92-L74)/10^3</f>
        <v>11.819219518208032</v>
      </c>
      <c r="G28" s="2" t="str">
        <v>£m</v>
      </c>
      <c r="H28" s="68">
        <v>6.7299299753358497</v>
      </c>
      <c r="I28" s="68">
        <v>11.819219518208032</v>
      </c>
      <c r="J28" s="68">
        <v>34.037237990249359</v>
      </c>
      <c r="K28" s="68">
        <v>9.1780040354946326</v>
      </c>
      <c r="L28" s="68">
        <f>E31</f>
        <v>61.824309563335149</v>
      </c>
      <c r="M28" s="69">
        <f>F21/10^3</f>
        <v>26.652999999999999</v>
      </c>
    </row>
    <row r="29" spans="4:13" x14ac:dyDescent="0.25">
      <c r="D29" s="14" t="str">
        <f>D16</f>
        <v>C</v>
      </c>
      <c r="E29" s="27">
        <f>(L93-L75)/10^3</f>
        <v>34.037237990249359</v>
      </c>
    </row>
    <row r="30" spans="4:13" x14ac:dyDescent="0.25">
      <c r="D30" s="14" t="str">
        <f>D17</f>
        <v>D</v>
      </c>
      <c r="E30" s="27">
        <f>(L94-L76)/10^3</f>
        <v>9.1780040354946326</v>
      </c>
    </row>
    <row r="31" spans="4:13" x14ac:dyDescent="0.25">
      <c r="D31" s="35" t="s">
        <v>9</v>
      </c>
      <c r="E31" s="66">
        <f>(L96-L78)/10^3</f>
        <v>61.824309563335149</v>
      </c>
    </row>
    <row r="33" spans="2:13" x14ac:dyDescent="0.25">
      <c r="D33" s="74" t="s">
        <v>80</v>
      </c>
    </row>
    <row r="35" spans="2:13" s="14" customFormat="1" x14ac:dyDescent="0.25">
      <c r="D35" s="2" t="s">
        <v>76</v>
      </c>
      <c r="E35" s="2" t="s">
        <v>75</v>
      </c>
      <c r="F35" s="2" t="str">
        <f>"P"&amp;ROUND(D149,0)</f>
        <v>P62</v>
      </c>
      <c r="G35" s="2" t="s">
        <v>73</v>
      </c>
      <c r="H35" s="2" t="s">
        <v>74</v>
      </c>
    </row>
    <row r="36" spans="2:13" x14ac:dyDescent="0.25">
      <c r="D36" s="2" t="s">
        <v>70</v>
      </c>
      <c r="E36" s="69">
        <f>L50/10^3</f>
        <v>296.15600000000001</v>
      </c>
      <c r="F36" s="69">
        <f>I149/10^3</f>
        <v>331.32730949274372</v>
      </c>
      <c r="G36" s="69">
        <f>I150/10^3</f>
        <v>365.91311888708867</v>
      </c>
      <c r="H36" s="69">
        <f>I151/10^3</f>
        <v>402.77152064359848</v>
      </c>
    </row>
    <row r="37" spans="2:13" x14ac:dyDescent="0.25">
      <c r="D37" s="70"/>
    </row>
    <row r="38" spans="2:13" s="10" customFormat="1" ht="15.6" x14ac:dyDescent="0.3">
      <c r="B38" s="21" t="s">
        <v>12</v>
      </c>
      <c r="D38" s="22" t="s">
        <v>16</v>
      </c>
      <c r="E38" s="23"/>
      <c r="F38" s="23"/>
      <c r="G38" s="23"/>
      <c r="H38" s="23"/>
      <c r="I38" s="23"/>
      <c r="J38" s="23"/>
      <c r="K38" s="23"/>
      <c r="L38" s="23"/>
      <c r="M38" s="23"/>
    </row>
    <row r="40" spans="2:13" x14ac:dyDescent="0.25">
      <c r="D40" s="30" t="s">
        <v>17</v>
      </c>
      <c r="E40" s="31"/>
      <c r="F40" s="31"/>
      <c r="G40" s="31"/>
      <c r="H40" s="31"/>
      <c r="I40" s="31"/>
      <c r="J40" s="31"/>
      <c r="K40" s="31"/>
      <c r="L40" s="31"/>
      <c r="M40" s="31"/>
    </row>
    <row r="41" spans="2:13" x14ac:dyDescent="0.25">
      <c r="D41" s="15"/>
    </row>
    <row r="42" spans="2:13" x14ac:dyDescent="0.25">
      <c r="D42" s="14" t="s">
        <v>47</v>
      </c>
    </row>
    <row r="43" spans="2:13" x14ac:dyDescent="0.25">
      <c r="D43" s="15" t="s">
        <v>18</v>
      </c>
    </row>
    <row r="44" spans="2:13" x14ac:dyDescent="0.25">
      <c r="D44" s="2" t="s">
        <v>8</v>
      </c>
      <c r="E44" s="3"/>
      <c r="F44" s="2">
        <v>2022</v>
      </c>
      <c r="G44" s="2">
        <v>2023</v>
      </c>
      <c r="H44" s="2">
        <v>2024</v>
      </c>
      <c r="I44" s="2">
        <v>2025</v>
      </c>
      <c r="J44" s="2">
        <v>2026</v>
      </c>
      <c r="K44" s="2">
        <v>2027</v>
      </c>
      <c r="L44" s="2" t="s">
        <v>9</v>
      </c>
      <c r="M44" s="2" t="s">
        <v>10</v>
      </c>
    </row>
    <row r="45" spans="2:13" x14ac:dyDescent="0.25">
      <c r="D45" s="2" t="s">
        <v>4</v>
      </c>
      <c r="E45" s="4" t="s">
        <v>11</v>
      </c>
      <c r="F45" s="5">
        <v>2918</v>
      </c>
      <c r="G45" s="5">
        <v>750</v>
      </c>
      <c r="H45" s="5">
        <v>4300</v>
      </c>
      <c r="I45" s="5">
        <v>10800</v>
      </c>
      <c r="J45" s="5">
        <v>13900</v>
      </c>
      <c r="K45" s="5">
        <v>832</v>
      </c>
      <c r="L45" s="6">
        <f>SUM(F45:K45)</f>
        <v>33500</v>
      </c>
      <c r="M45" s="7">
        <f>L45/$L$50</f>
        <v>0.11311606045462526</v>
      </c>
    </row>
    <row r="46" spans="2:13" x14ac:dyDescent="0.25">
      <c r="D46" s="2" t="s">
        <v>7</v>
      </c>
      <c r="E46" s="4" t="s">
        <v>11</v>
      </c>
      <c r="F46" s="5">
        <v>3234</v>
      </c>
      <c r="G46" s="5">
        <v>750</v>
      </c>
      <c r="H46" s="5">
        <v>5500</v>
      </c>
      <c r="I46" s="5">
        <v>22500</v>
      </c>
      <c r="J46" s="5">
        <v>23100</v>
      </c>
      <c r="K46" s="5">
        <v>2116</v>
      </c>
      <c r="L46" s="6">
        <f>SUM(F46:K46)</f>
        <v>57200</v>
      </c>
      <c r="M46" s="7">
        <f t="shared" ref="M46:M50" si="5">L46/$L$50</f>
        <v>0.19314145247774822</v>
      </c>
    </row>
    <row r="47" spans="2:13" x14ac:dyDescent="0.25">
      <c r="D47" s="2" t="s">
        <v>12</v>
      </c>
      <c r="E47" s="4" t="s">
        <v>11</v>
      </c>
      <c r="F47" s="5">
        <v>6373</v>
      </c>
      <c r="G47" s="5">
        <v>1400</v>
      </c>
      <c r="H47" s="5">
        <v>10500</v>
      </c>
      <c r="I47" s="5">
        <v>60000</v>
      </c>
      <c r="J47" s="5">
        <v>73500</v>
      </c>
      <c r="K47" s="5">
        <v>8227</v>
      </c>
      <c r="L47" s="6">
        <f>SUM(F47:K47)</f>
        <v>160000</v>
      </c>
      <c r="M47" s="7">
        <f t="shared" si="5"/>
        <v>0.5402558111265684</v>
      </c>
    </row>
    <row r="48" spans="2:13" x14ac:dyDescent="0.25">
      <c r="D48" s="2" t="s">
        <v>13</v>
      </c>
      <c r="E48" s="4" t="s">
        <v>11</v>
      </c>
      <c r="F48" s="5">
        <v>2932</v>
      </c>
      <c r="G48" s="5">
        <v>700</v>
      </c>
      <c r="H48" s="5">
        <v>6900</v>
      </c>
      <c r="I48" s="5">
        <v>12900</v>
      </c>
      <c r="J48" s="5">
        <v>19200</v>
      </c>
      <c r="K48" s="5">
        <v>2169</v>
      </c>
      <c r="L48" s="6">
        <f>SUM(F48:K48)</f>
        <v>44801</v>
      </c>
      <c r="M48" s="7">
        <f t="shared" si="5"/>
        <v>0.1512750037142587</v>
      </c>
    </row>
    <row r="49" spans="4:13" x14ac:dyDescent="0.25">
      <c r="D49" s="2" t="s">
        <v>14</v>
      </c>
      <c r="E49" s="4" t="s">
        <v>11</v>
      </c>
      <c r="F49" s="5">
        <v>637</v>
      </c>
      <c r="G49" s="5"/>
      <c r="H49" s="5"/>
      <c r="I49" s="5"/>
      <c r="J49" s="5"/>
      <c r="K49" s="5">
        <v>18</v>
      </c>
      <c r="L49" s="6">
        <f>SUM(F49:K49)</f>
        <v>655</v>
      </c>
      <c r="M49" s="7">
        <f t="shared" si="5"/>
        <v>2.2116722267993896E-3</v>
      </c>
    </row>
    <row r="50" spans="4:13" x14ac:dyDescent="0.25">
      <c r="D50" s="2" t="s">
        <v>15</v>
      </c>
      <c r="E50" s="3" t="s">
        <v>11</v>
      </c>
      <c r="F50" s="8">
        <f>SUM(F45:F49)</f>
        <v>16094</v>
      </c>
      <c r="G50" s="8">
        <f t="shared" ref="G50:L50" si="6">SUM(G45:G49)</f>
        <v>3600</v>
      </c>
      <c r="H50" s="8">
        <f t="shared" si="6"/>
        <v>27200</v>
      </c>
      <c r="I50" s="8">
        <f t="shared" si="6"/>
        <v>106200</v>
      </c>
      <c r="J50" s="8">
        <f t="shared" si="6"/>
        <v>129700</v>
      </c>
      <c r="K50" s="8">
        <f t="shared" si="6"/>
        <v>13362</v>
      </c>
      <c r="L50" s="8">
        <f t="shared" si="6"/>
        <v>296156</v>
      </c>
      <c r="M50" s="9">
        <f t="shared" si="5"/>
        <v>1</v>
      </c>
    </row>
    <row r="51" spans="4:13" x14ac:dyDescent="0.25">
      <c r="D51" s="14" t="s">
        <v>87</v>
      </c>
      <c r="E51" s="82" t="s">
        <v>70</v>
      </c>
      <c r="F51" s="83">
        <f>F50/10^3</f>
        <v>16.094000000000001</v>
      </c>
      <c r="G51" s="83">
        <f t="shared" ref="G51:K51" si="7">G50/10^3</f>
        <v>3.6</v>
      </c>
      <c r="H51" s="83">
        <f t="shared" si="7"/>
        <v>27.2</v>
      </c>
      <c r="I51" s="83">
        <f t="shared" si="7"/>
        <v>106.2</v>
      </c>
      <c r="J51" s="83">
        <f t="shared" si="7"/>
        <v>129.69999999999999</v>
      </c>
      <c r="K51" s="83">
        <f t="shared" si="7"/>
        <v>13.362</v>
      </c>
      <c r="L51" s="83"/>
      <c r="M51" s="84"/>
    </row>
    <row r="52" spans="4:13" x14ac:dyDescent="0.25">
      <c r="F52" s="34">
        <f>F50/$L$50</f>
        <v>5.4342981401693705E-2</v>
      </c>
      <c r="G52" s="34">
        <f t="shared" ref="G52:K52" si="8">G50/$L$50</f>
        <v>1.215575575034779E-2</v>
      </c>
      <c r="H52" s="34">
        <f t="shared" si="8"/>
        <v>9.184348789151664E-2</v>
      </c>
      <c r="I52" s="34">
        <f t="shared" si="8"/>
        <v>0.35859479463525978</v>
      </c>
      <c r="J52" s="34">
        <f t="shared" si="8"/>
        <v>0.43794486689447454</v>
      </c>
      <c r="K52" s="34">
        <f t="shared" si="8"/>
        <v>4.5118113426707546E-2</v>
      </c>
    </row>
    <row r="53" spans="4:13" x14ac:dyDescent="0.25">
      <c r="F53" s="34">
        <f>SUM($F$52:F52)</f>
        <v>5.4342981401693705E-2</v>
      </c>
      <c r="G53" s="34">
        <f>SUM($F$52:G52)</f>
        <v>6.6498737152041493E-2</v>
      </c>
      <c r="H53" s="34">
        <f>SUM($F$52:H52)</f>
        <v>0.15834222504355813</v>
      </c>
      <c r="I53" s="34">
        <f>SUM($F$52:I52)</f>
        <v>0.51693701967881789</v>
      </c>
      <c r="J53" s="34">
        <f>SUM($F$52:J52)</f>
        <v>0.95488188657329243</v>
      </c>
      <c r="K53" s="34">
        <f>SUM($F$52:K52)</f>
        <v>1</v>
      </c>
    </row>
    <row r="55" spans="4:13" x14ac:dyDescent="0.25">
      <c r="D55" s="14" t="s">
        <v>31</v>
      </c>
    </row>
    <row r="56" spans="4:13" x14ac:dyDescent="0.25">
      <c r="D56" s="16" t="s">
        <v>19</v>
      </c>
    </row>
    <row r="57" spans="4:13" x14ac:dyDescent="0.25">
      <c r="D57" s="13" t="s">
        <v>21</v>
      </c>
      <c r="E57" s="11" t="s">
        <v>11</v>
      </c>
      <c r="F57" s="17">
        <v>26653</v>
      </c>
    </row>
    <row r="59" spans="4:13" x14ac:dyDescent="0.25">
      <c r="D59" s="30" t="s">
        <v>27</v>
      </c>
      <c r="E59" s="31"/>
      <c r="F59" s="31"/>
      <c r="G59" s="31"/>
      <c r="H59" s="31"/>
      <c r="I59" s="31"/>
      <c r="J59" s="31"/>
      <c r="K59" s="31"/>
      <c r="L59" s="31"/>
      <c r="M59" s="31"/>
    </row>
    <row r="60" spans="4:13" x14ac:dyDescent="0.25">
      <c r="D60" s="18" t="s">
        <v>25</v>
      </c>
    </row>
    <row r="61" spans="4:13" x14ac:dyDescent="0.25">
      <c r="D61" s="18" t="s">
        <v>26</v>
      </c>
    </row>
    <row r="62" spans="4:13" x14ac:dyDescent="0.25">
      <c r="D62" s="18"/>
    </row>
    <row r="63" spans="4:13" x14ac:dyDescent="0.25">
      <c r="D63" s="13" t="s">
        <v>23</v>
      </c>
      <c r="F63" s="28">
        <v>2.251474503129065E-2</v>
      </c>
    </row>
    <row r="64" spans="4:13" x14ac:dyDescent="0.25">
      <c r="D64" s="13" t="s">
        <v>2</v>
      </c>
      <c r="F64" s="24">
        <v>1</v>
      </c>
      <c r="G64" s="25">
        <f>F64+1</f>
        <v>2</v>
      </c>
      <c r="H64" s="25">
        <f t="shared" ref="H64:K64" si="9">G64+1</f>
        <v>3</v>
      </c>
      <c r="I64" s="25">
        <f t="shared" si="9"/>
        <v>4</v>
      </c>
      <c r="J64" s="25">
        <f t="shared" si="9"/>
        <v>5</v>
      </c>
      <c r="K64" s="25">
        <f t="shared" si="9"/>
        <v>6</v>
      </c>
    </row>
    <row r="65" spans="4:13" x14ac:dyDescent="0.25">
      <c r="D65" s="13" t="s">
        <v>28</v>
      </c>
      <c r="E65" s="29"/>
      <c r="F65" s="26">
        <f>(1+$F$63)^F64</f>
        <v>1.0225147450312906</v>
      </c>
      <c r="G65" s="26">
        <f t="shared" ref="G65:K65" si="10">(1+$F$63)^G64</f>
        <v>1.0455364038064052</v>
      </c>
      <c r="H65" s="26">
        <f t="shared" si="10"/>
        <v>1.0690763893590389</v>
      </c>
      <c r="I65" s="26">
        <f t="shared" si="10"/>
        <v>1.0931463716844305</v>
      </c>
      <c r="J65" s="26">
        <f t="shared" si="10"/>
        <v>1.1177582835247859</v>
      </c>
      <c r="K65" s="26">
        <f t="shared" si="10"/>
        <v>1.1429243262849595</v>
      </c>
    </row>
    <row r="66" spans="4:13" x14ac:dyDescent="0.25">
      <c r="D66" s="13" t="s">
        <v>22</v>
      </c>
      <c r="E66" s="29" t="s">
        <v>11</v>
      </c>
      <c r="F66" s="27" cm="1">
        <f t="array" ref="F66">F50/_xlfn.ANCHORARRAY(F65)</f>
        <v>15739.626326373902</v>
      </c>
      <c r="G66" s="27" cm="1">
        <f t="array" ref="G66">G50/_xlfn.ANCHORARRAY(G65)</f>
        <v>3443.2086600655439</v>
      </c>
      <c r="H66" s="27" cm="1">
        <f t="array" ref="H66">H50/_xlfn.ANCHORARRAY(H65)</f>
        <v>25442.522415360483</v>
      </c>
      <c r="I66" s="27" cm="1">
        <f t="array" ref="I66">I50/_xlfn.ANCHORARRAY(I65)</f>
        <v>97150.759267815432</v>
      </c>
      <c r="J66" s="27" cm="1">
        <f t="array" ref="J66">J50/_xlfn.ANCHORARRAY(J65)</f>
        <v>116035.82090306553</v>
      </c>
      <c r="K66" s="27" cm="1">
        <f t="array" ref="K66">K50/_xlfn.ANCHORARRAY(K65)</f>
        <v>11691.06273503931</v>
      </c>
    </row>
    <row r="67" spans="4:13" x14ac:dyDescent="0.25">
      <c r="D67" s="13" t="s">
        <v>24</v>
      </c>
      <c r="E67" s="29" t="s">
        <v>11</v>
      </c>
      <c r="F67" s="27">
        <f>SUM(F50:K50)-SUM(F66:K66)-F57</f>
        <v>-3.077202127315104E-4</v>
      </c>
      <c r="G67" s="26"/>
      <c r="H67" s="26"/>
      <c r="I67" s="26"/>
      <c r="J67" s="26"/>
      <c r="K67" s="26"/>
    </row>
    <row r="68" spans="4:13" x14ac:dyDescent="0.25">
      <c r="E68" s="29"/>
      <c r="F68" s="26"/>
      <c r="G68" s="26"/>
      <c r="H68" s="26"/>
      <c r="I68" s="26"/>
      <c r="J68" s="26"/>
      <c r="K68" s="26"/>
    </row>
    <row r="69" spans="4:13" x14ac:dyDescent="0.25">
      <c r="D69" s="13" t="s">
        <v>29</v>
      </c>
      <c r="E69" s="29"/>
      <c r="F69" s="26">
        <f>F65</f>
        <v>1.0225147450312906</v>
      </c>
      <c r="G69" s="26">
        <f t="shared" ref="G69:K69" si="11">G65</f>
        <v>1.0455364038064052</v>
      </c>
      <c r="H69" s="26">
        <f t="shared" si="11"/>
        <v>1.0690763893590389</v>
      </c>
      <c r="I69" s="26">
        <f t="shared" si="11"/>
        <v>1.0931463716844305</v>
      </c>
      <c r="J69" s="26">
        <f t="shared" si="11"/>
        <v>1.1177582835247859</v>
      </c>
      <c r="K69" s="26">
        <f t="shared" si="11"/>
        <v>1.1429243262849595</v>
      </c>
    </row>
    <row r="70" spans="4:13" x14ac:dyDescent="0.25">
      <c r="D70" s="14"/>
      <c r="E70" s="29"/>
      <c r="F70" s="26"/>
      <c r="G70" s="26"/>
      <c r="H70" s="26"/>
      <c r="I70" s="26"/>
      <c r="J70" s="26"/>
      <c r="K70" s="26"/>
    </row>
    <row r="71" spans="4:13" x14ac:dyDescent="0.25">
      <c r="D71" s="14" t="s">
        <v>30</v>
      </c>
      <c r="E71" s="29"/>
      <c r="F71" s="26"/>
      <c r="G71" s="26"/>
      <c r="H71" s="26"/>
      <c r="I71" s="26"/>
      <c r="J71" s="26"/>
      <c r="K71" s="26"/>
    </row>
    <row r="72" spans="4:13" x14ac:dyDescent="0.25">
      <c r="D72" s="2" t="s">
        <v>8</v>
      </c>
      <c r="E72" s="3"/>
      <c r="F72" s="2">
        <v>2022</v>
      </c>
      <c r="G72" s="2">
        <v>2023</v>
      </c>
      <c r="H72" s="2">
        <v>2024</v>
      </c>
      <c r="I72" s="2">
        <v>2025</v>
      </c>
      <c r="J72" s="2">
        <v>2026</v>
      </c>
      <c r="K72" s="2">
        <v>2027</v>
      </c>
      <c r="L72" s="2" t="s">
        <v>9</v>
      </c>
      <c r="M72" s="2" t="s">
        <v>10</v>
      </c>
    </row>
    <row r="73" spans="4:13" x14ac:dyDescent="0.25">
      <c r="D73" s="2" t="s">
        <v>4</v>
      </c>
      <c r="E73" s="4" t="s">
        <v>11</v>
      </c>
      <c r="F73" s="6">
        <f t="shared" ref="F73:K77" si="12">F45/F$69</f>
        <v>2853.7485783744905</v>
      </c>
      <c r="G73" s="6">
        <f t="shared" si="12"/>
        <v>717.33513751365501</v>
      </c>
      <c r="H73" s="6">
        <f t="shared" si="12"/>
        <v>4022.1634700753707</v>
      </c>
      <c r="I73" s="6">
        <f t="shared" si="12"/>
        <v>9879.7382306252985</v>
      </c>
      <c r="J73" s="6">
        <f t="shared" si="12"/>
        <v>12435.604553219822</v>
      </c>
      <c r="K73" s="6">
        <f t="shared" si="12"/>
        <v>727.95720667210787</v>
      </c>
      <c r="L73" s="6">
        <f>SUM(F73:K73)</f>
        <v>30636.547176480744</v>
      </c>
      <c r="M73" s="7">
        <f>L73/$L$78</f>
        <v>0.11367794474087392</v>
      </c>
    </row>
    <row r="74" spans="4:13" x14ac:dyDescent="0.25">
      <c r="D74" s="2" t="s">
        <v>7</v>
      </c>
      <c r="E74" s="4" t="s">
        <v>11</v>
      </c>
      <c r="F74" s="6">
        <f t="shared" si="12"/>
        <v>3162.7905765809123</v>
      </c>
      <c r="G74" s="6">
        <f t="shared" si="12"/>
        <v>717.33513751365501</v>
      </c>
      <c r="H74" s="6">
        <f t="shared" si="12"/>
        <v>5144.6276942824506</v>
      </c>
      <c r="I74" s="6">
        <f t="shared" si="12"/>
        <v>20582.787980469369</v>
      </c>
      <c r="J74" s="6">
        <f t="shared" si="12"/>
        <v>20666.364401394094</v>
      </c>
      <c r="K74" s="6">
        <f t="shared" si="12"/>
        <v>1851.3911650458899</v>
      </c>
      <c r="L74" s="6">
        <f>SUM(F74:K74)</f>
        <v>52125.296955286372</v>
      </c>
      <c r="M74" s="7">
        <f t="shared" ref="M74:M78" si="13">L74/$L$78</f>
        <v>0.1934126777652545</v>
      </c>
    </row>
    <row r="75" spans="4:13" x14ac:dyDescent="0.25">
      <c r="D75" s="2" t="s">
        <v>12</v>
      </c>
      <c r="E75" s="4" t="s">
        <v>11</v>
      </c>
      <c r="F75" s="6">
        <f t="shared" si="12"/>
        <v>6232.6729574985011</v>
      </c>
      <c r="G75" s="6">
        <f t="shared" si="12"/>
        <v>1339.0255900254892</v>
      </c>
      <c r="H75" s="6">
        <f t="shared" si="12"/>
        <v>9821.5619618119508</v>
      </c>
      <c r="I75" s="6">
        <f t="shared" si="12"/>
        <v>54887.434614584992</v>
      </c>
      <c r="J75" s="6">
        <f t="shared" si="12"/>
        <v>65756.614004435745</v>
      </c>
      <c r="K75" s="6">
        <f t="shared" si="12"/>
        <v>7198.2018501098937</v>
      </c>
      <c r="L75" s="6">
        <f>SUM(F75:K75)</f>
        <v>145235.5109784666</v>
      </c>
      <c r="M75" s="7">
        <f t="shared" si="13"/>
        <v>0.53890127684157796</v>
      </c>
    </row>
    <row r="76" spans="4:13" x14ac:dyDescent="0.25">
      <c r="D76" s="2" t="s">
        <v>13</v>
      </c>
      <c r="E76" s="4" t="s">
        <v>11</v>
      </c>
      <c r="F76" s="6">
        <f t="shared" si="12"/>
        <v>2867.440312472243</v>
      </c>
      <c r="G76" s="6">
        <f t="shared" si="12"/>
        <v>669.51279501274462</v>
      </c>
      <c r="H76" s="6">
        <f t="shared" si="12"/>
        <v>6454.1692891907105</v>
      </c>
      <c r="I76" s="6">
        <f t="shared" si="12"/>
        <v>11800.798442135772</v>
      </c>
      <c r="J76" s="6">
        <f t="shared" si="12"/>
        <v>17177.237944015869</v>
      </c>
      <c r="K76" s="6">
        <f t="shared" si="12"/>
        <v>1897.7634390286082</v>
      </c>
      <c r="L76" s="6">
        <f>SUM(F76:K76)</f>
        <v>40866.922221855952</v>
      </c>
      <c r="M76" s="7">
        <f t="shared" si="13"/>
        <v>0.15163809744304829</v>
      </c>
    </row>
    <row r="77" spans="4:13" x14ac:dyDescent="0.25">
      <c r="D77" s="2" t="s">
        <v>14</v>
      </c>
      <c r="E77" s="4" t="s">
        <v>11</v>
      </c>
      <c r="F77" s="6">
        <f t="shared" si="12"/>
        <v>622.97390144775545</v>
      </c>
      <c r="G77" s="6">
        <f t="shared" si="12"/>
        <v>0</v>
      </c>
      <c r="H77" s="6">
        <f t="shared" si="12"/>
        <v>0</v>
      </c>
      <c r="I77" s="6">
        <f t="shared" si="12"/>
        <v>0</v>
      </c>
      <c r="J77" s="6">
        <f t="shared" si="12"/>
        <v>0</v>
      </c>
      <c r="K77" s="6">
        <f t="shared" si="12"/>
        <v>15.749074182810027</v>
      </c>
      <c r="L77" s="6">
        <f>SUM(F77:K77)</f>
        <v>638.72297563056543</v>
      </c>
      <c r="M77" s="7">
        <f t="shared" si="13"/>
        <v>2.3700032092454169E-3</v>
      </c>
    </row>
    <row r="78" spans="4:13" x14ac:dyDescent="0.25">
      <c r="D78" s="2" t="s">
        <v>15</v>
      </c>
      <c r="E78" s="3" t="s">
        <v>11</v>
      </c>
      <c r="F78" s="8">
        <f>SUM(F73:F77)</f>
        <v>15739.626326373902</v>
      </c>
      <c r="G78" s="8">
        <f t="shared" ref="G78:L78" si="14">SUM(G73:G77)</f>
        <v>3443.2086600655439</v>
      </c>
      <c r="H78" s="8">
        <f t="shared" si="14"/>
        <v>25442.522415360483</v>
      </c>
      <c r="I78" s="8">
        <f t="shared" si="14"/>
        <v>97150.759267815432</v>
      </c>
      <c r="J78" s="8">
        <f t="shared" si="14"/>
        <v>116035.82090306553</v>
      </c>
      <c r="K78" s="8">
        <f t="shared" si="14"/>
        <v>11691.06273503931</v>
      </c>
      <c r="L78" s="8">
        <f t="shared" si="14"/>
        <v>269503.00030772021</v>
      </c>
      <c r="M78" s="9">
        <f t="shared" si="13"/>
        <v>1</v>
      </c>
    </row>
    <row r="79" spans="4:13" x14ac:dyDescent="0.25">
      <c r="D79" s="14"/>
      <c r="E79" s="29"/>
      <c r="F79" s="26"/>
      <c r="G79" s="26"/>
      <c r="H79" s="26"/>
      <c r="I79" s="26"/>
      <c r="J79" s="26"/>
      <c r="K79" s="26"/>
      <c r="L79" s="33"/>
    </row>
    <row r="80" spans="4:13" x14ac:dyDescent="0.25">
      <c r="D80" s="30" t="s">
        <v>27</v>
      </c>
      <c r="E80" s="31"/>
      <c r="F80" s="31"/>
      <c r="G80" s="31"/>
      <c r="H80" s="31"/>
      <c r="I80" s="31"/>
      <c r="J80" s="31"/>
      <c r="K80" s="31"/>
      <c r="L80" s="31"/>
      <c r="M80" s="31"/>
    </row>
    <row r="81" spans="4:13" x14ac:dyDescent="0.25">
      <c r="D81" s="14"/>
      <c r="E81" s="29"/>
      <c r="F81" s="26"/>
      <c r="G81" s="26"/>
      <c r="H81" s="26"/>
      <c r="I81" s="26"/>
      <c r="J81" s="26"/>
      <c r="K81" s="26"/>
    </row>
    <row r="82" spans="4:13" x14ac:dyDescent="0.25">
      <c r="D82" s="14" t="s">
        <v>32</v>
      </c>
      <c r="E82" s="29"/>
      <c r="F82" s="26"/>
      <c r="G82" s="26"/>
      <c r="H82" s="26"/>
      <c r="I82" s="26"/>
      <c r="J82" s="26"/>
      <c r="K82" s="26"/>
    </row>
    <row r="83" spans="4:13" x14ac:dyDescent="0.25">
      <c r="D83" s="15" t="s">
        <v>33</v>
      </c>
    </row>
    <row r="84" spans="4:13" x14ac:dyDescent="0.25">
      <c r="D84" s="15"/>
      <c r="F84" s="14">
        <v>2022</v>
      </c>
      <c r="G84" s="14">
        <v>2023</v>
      </c>
      <c r="H84" s="14">
        <v>2024</v>
      </c>
      <c r="I84" s="14">
        <v>2025</v>
      </c>
      <c r="J84" s="14">
        <v>2026</v>
      </c>
      <c r="K84" s="14">
        <v>2026</v>
      </c>
    </row>
    <row r="85" spans="4:13" ht="26.4" x14ac:dyDescent="0.25">
      <c r="D85" s="32" t="s">
        <v>34</v>
      </c>
      <c r="E85" s="29"/>
      <c r="F85" s="26">
        <f>AVERAGEIFS('bcis tpi'!$B:$B,'bcis tpi'!$D:$D,'HIF1 costs'!F$84)</f>
        <v>8.8457500000000007</v>
      </c>
      <c r="G85" s="26">
        <f>AVERAGEIFS('bcis tpi'!$B:$B,'bcis tpi'!$D:$D,'HIF1 costs'!G$84)</f>
        <v>5.1790000000000003</v>
      </c>
      <c r="H85" s="26">
        <f>AVERAGEIFS('bcis tpi'!$B:$B,'bcis tpi'!$D:$D,'HIF1 costs'!H$84)</f>
        <v>2.7409999999999997</v>
      </c>
      <c r="I85" s="26">
        <f>AVERAGEIFS('bcis tpi'!$B:$B,'bcis tpi'!$D:$D,'HIF1 costs'!I$84)</f>
        <v>3.7777500000000002</v>
      </c>
      <c r="J85" s="26">
        <f>AVERAGEIFS('bcis tpi'!$B:$B,'bcis tpi'!$D:$D,'HIF1 costs'!J$84)</f>
        <v>3.4175000000000004</v>
      </c>
      <c r="K85" s="26">
        <f>AVERAGEIFS('bcis tpi'!$B:$B,'bcis tpi'!$D:$D,'HIF1 costs'!K$84)</f>
        <v>3.4175000000000004</v>
      </c>
    </row>
    <row r="86" spans="4:13" x14ac:dyDescent="0.25">
      <c r="D86" s="13" t="s">
        <v>36</v>
      </c>
      <c r="E86" s="29"/>
      <c r="F86" s="26">
        <f>(1+F85%)</f>
        <v>1.0884575000000001</v>
      </c>
      <c r="G86" s="26">
        <f t="shared" ref="G86:K86" si="15">(1+G85%)</f>
        <v>1.05179</v>
      </c>
      <c r="H86" s="26">
        <f t="shared" si="15"/>
        <v>1.0274099999999999</v>
      </c>
      <c r="I86" s="26">
        <f t="shared" si="15"/>
        <v>1.0377775</v>
      </c>
      <c r="J86" s="26">
        <f t="shared" si="15"/>
        <v>1.0341750000000001</v>
      </c>
      <c r="K86" s="26">
        <f t="shared" si="15"/>
        <v>1.0341750000000001</v>
      </c>
    </row>
    <row r="87" spans="4:13" x14ac:dyDescent="0.25">
      <c r="D87" s="13" t="s">
        <v>37</v>
      </c>
      <c r="E87" s="29"/>
      <c r="F87" s="26">
        <f>PRODUCT($F$86:F86)</f>
        <v>1.0884575000000001</v>
      </c>
      <c r="G87" s="26">
        <f>PRODUCT($F$86:G86)</f>
        <v>1.1448287139250002</v>
      </c>
      <c r="H87" s="26">
        <f>PRODUCT($F$86:H86)</f>
        <v>1.1762084689736845</v>
      </c>
      <c r="I87" s="26">
        <f>PRODUCT($F$86:I86)</f>
        <v>1.220642684410338</v>
      </c>
      <c r="J87" s="26">
        <f>PRODUCT($F$86:J86)</f>
        <v>1.2623581481500614</v>
      </c>
      <c r="K87" s="26">
        <f>PRODUCT($F$86:K86)</f>
        <v>1.3054992378630899</v>
      </c>
    </row>
    <row r="88" spans="4:13" x14ac:dyDescent="0.25">
      <c r="D88" s="14"/>
      <c r="E88" s="29"/>
      <c r="F88" s="26"/>
      <c r="G88" s="26"/>
      <c r="H88" s="26"/>
      <c r="I88" s="26"/>
      <c r="J88" s="26"/>
      <c r="K88" s="26"/>
    </row>
    <row r="89" spans="4:13" x14ac:dyDescent="0.25">
      <c r="D89" s="14" t="s">
        <v>35</v>
      </c>
      <c r="E89" s="3"/>
      <c r="F89" s="26"/>
      <c r="G89" s="26"/>
      <c r="H89" s="26"/>
      <c r="I89" s="26"/>
      <c r="J89" s="26"/>
      <c r="K89" s="26"/>
    </row>
    <row r="90" spans="4:13" x14ac:dyDescent="0.25">
      <c r="D90" s="2" t="s">
        <v>8</v>
      </c>
      <c r="F90" s="2">
        <v>2022</v>
      </c>
      <c r="G90" s="2">
        <v>2023</v>
      </c>
      <c r="H90" s="2">
        <v>2024</v>
      </c>
      <c r="I90" s="2">
        <v>2025</v>
      </c>
      <c r="J90" s="2">
        <v>2026</v>
      </c>
      <c r="K90" s="2">
        <v>2027</v>
      </c>
      <c r="L90" s="2" t="s">
        <v>9</v>
      </c>
      <c r="M90" s="2" t="s">
        <v>10</v>
      </c>
    </row>
    <row r="91" spans="4:13" x14ac:dyDescent="0.25">
      <c r="D91" s="2" t="s">
        <v>4</v>
      </c>
      <c r="E91" s="4" t="s">
        <v>11</v>
      </c>
      <c r="F91" s="6">
        <f>F73*F$87</f>
        <v>3106.1840432460522</v>
      </c>
      <c r="G91" s="6">
        <f t="shared" ref="G91:K91" si="16">G73*G$87</f>
        <v>821.22586293297081</v>
      </c>
      <c r="H91" s="6">
        <f t="shared" si="16"/>
        <v>4730.9027370992335</v>
      </c>
      <c r="I91" s="6">
        <f t="shared" si="16"/>
        <v>12059.630195101907</v>
      </c>
      <c r="J91" s="6">
        <f t="shared" si="16"/>
        <v>15698.186734929046</v>
      </c>
      <c r="K91" s="6">
        <f t="shared" si="16"/>
        <v>950.3475785073806</v>
      </c>
      <c r="L91" s="6">
        <f>SUM(F91:K91)</f>
        <v>37366.477151816594</v>
      </c>
      <c r="M91" s="7">
        <f>L91/$L$96</f>
        <v>0.11277813822941046</v>
      </c>
    </row>
    <row r="92" spans="4:13" x14ac:dyDescent="0.25">
      <c r="D92" s="2" t="s">
        <v>7</v>
      </c>
      <c r="E92" s="4" t="s">
        <v>11</v>
      </c>
      <c r="F92" s="6">
        <f t="shared" ref="F92:K92" si="17">F74*F$87</f>
        <v>3442.5631240088187</v>
      </c>
      <c r="G92" s="6">
        <f t="shared" si="17"/>
        <v>821.22586293297081</v>
      </c>
      <c r="H92" s="6">
        <f t="shared" si="17"/>
        <v>6051.1546637315778</v>
      </c>
      <c r="I92" s="6">
        <f t="shared" si="17"/>
        <v>25124.229573128971</v>
      </c>
      <c r="J92" s="6">
        <f t="shared" si="17"/>
        <v>26088.3534947382</v>
      </c>
      <c r="K92" s="6">
        <f t="shared" si="17"/>
        <v>2416.9897549538673</v>
      </c>
      <c r="L92" s="6">
        <f>SUM(F92:K92)</f>
        <v>63944.516473494405</v>
      </c>
      <c r="M92" s="7">
        <f t="shared" ref="M92:M96" si="18">L92/$L$96</f>
        <v>0.19299500695665586</v>
      </c>
    </row>
    <row r="93" spans="4:13" x14ac:dyDescent="0.25">
      <c r="D93" s="2" t="s">
        <v>12</v>
      </c>
      <c r="E93" s="4" t="s">
        <v>11</v>
      </c>
      <c r="F93" s="6">
        <f t="shared" ref="F93:K93" si="19">F75*F$87</f>
        <v>6783.9996256364257</v>
      </c>
      <c r="G93" s="6">
        <f t="shared" si="19"/>
        <v>1532.9549441415454</v>
      </c>
      <c r="H93" s="6">
        <f t="shared" si="19"/>
        <v>11552.204358033012</v>
      </c>
      <c r="I93" s="6">
        <f t="shared" si="19"/>
        <v>66997.945528343931</v>
      </c>
      <c r="J93" s="6">
        <f t="shared" si="19"/>
        <v>83008.397483257897</v>
      </c>
      <c r="K93" s="6">
        <f t="shared" si="19"/>
        <v>9397.2470293031492</v>
      </c>
      <c r="L93" s="6">
        <f>SUM(F93:K93)</f>
        <v>179272.74896871595</v>
      </c>
      <c r="M93" s="7">
        <f t="shared" si="18"/>
        <v>0.54107447115809626</v>
      </c>
    </row>
    <row r="94" spans="4:13" x14ac:dyDescent="0.25">
      <c r="D94" s="2" t="s">
        <v>13</v>
      </c>
      <c r="E94" s="4" t="s">
        <v>11</v>
      </c>
      <c r="F94" s="6">
        <f t="shared" ref="F94:K94" si="20">F76*F$87</f>
        <v>3121.0869139127567</v>
      </c>
      <c r="G94" s="6">
        <f t="shared" si="20"/>
        <v>766.47747207077271</v>
      </c>
      <c r="H94" s="6">
        <f t="shared" si="20"/>
        <v>7591.448578135979</v>
      </c>
      <c r="I94" s="6">
        <f t="shared" si="20"/>
        <v>14404.558288593944</v>
      </c>
      <c r="J94" s="6">
        <f t="shared" si="20"/>
        <v>21683.82628134084</v>
      </c>
      <c r="K94" s="6">
        <f t="shared" si="20"/>
        <v>2477.5287232962846</v>
      </c>
      <c r="L94" s="6">
        <f>SUM(F94:K94)</f>
        <v>50044.926257350584</v>
      </c>
      <c r="M94" s="7">
        <f t="shared" si="18"/>
        <v>0.15104377081631715</v>
      </c>
    </row>
    <row r="95" spans="4:13" x14ac:dyDescent="0.25">
      <c r="D95" s="2" t="s">
        <v>14</v>
      </c>
      <c r="E95" s="4" t="s">
        <v>11</v>
      </c>
      <c r="F95" s="6">
        <f t="shared" ref="F95:K95" si="21">F77*F$87</f>
        <v>678.08061533507032</v>
      </c>
      <c r="G95" s="6">
        <f t="shared" si="21"/>
        <v>0</v>
      </c>
      <c r="H95" s="6">
        <f t="shared" si="21"/>
        <v>0</v>
      </c>
      <c r="I95" s="6">
        <f t="shared" si="21"/>
        <v>0</v>
      </c>
      <c r="J95" s="6">
        <f t="shared" si="21"/>
        <v>0</v>
      </c>
      <c r="K95" s="6">
        <f t="shared" si="21"/>
        <v>20.560404342707756</v>
      </c>
      <c r="L95" s="6">
        <f>SUM(F95:K95)</f>
        <v>698.6410196777781</v>
      </c>
      <c r="M95" s="7">
        <f t="shared" si="18"/>
        <v>2.1086128395201484E-3</v>
      </c>
    </row>
    <row r="96" spans="4:13" x14ac:dyDescent="0.25">
      <c r="D96" s="2" t="s">
        <v>15</v>
      </c>
      <c r="E96" s="3" t="s">
        <v>11</v>
      </c>
      <c r="F96" s="8">
        <f>SUM(F91:F95)</f>
        <v>17131.914322139124</v>
      </c>
      <c r="G96" s="8">
        <f t="shared" ref="G96:K96" si="22">SUM(G91:G95)</f>
        <v>3941.8841420782601</v>
      </c>
      <c r="H96" s="8">
        <f t="shared" si="22"/>
        <v>29925.710336999804</v>
      </c>
      <c r="I96" s="8">
        <f t="shared" si="22"/>
        <v>118586.36358516876</v>
      </c>
      <c r="J96" s="8">
        <f t="shared" si="22"/>
        <v>146478.76399426599</v>
      </c>
      <c r="K96" s="8">
        <f t="shared" si="22"/>
        <v>15262.673490403391</v>
      </c>
      <c r="L96" s="8">
        <f>SUM(L91:L95)</f>
        <v>331327.30987105536</v>
      </c>
      <c r="M96" s="9">
        <f t="shared" si="18"/>
        <v>1</v>
      </c>
    </row>
    <row r="97" spans="2:13" x14ac:dyDescent="0.25">
      <c r="D97" s="14"/>
      <c r="E97" s="29"/>
      <c r="F97" s="26"/>
      <c r="G97" s="26"/>
      <c r="H97" s="26"/>
      <c r="I97" s="26"/>
      <c r="J97" s="26"/>
      <c r="K97" s="26"/>
    </row>
    <row r="98" spans="2:13" x14ac:dyDescent="0.25">
      <c r="D98" s="14" t="s">
        <v>77</v>
      </c>
      <c r="E98" s="29"/>
      <c r="F98" s="34">
        <f>L96/L78</f>
        <v>1.2294011921675965</v>
      </c>
      <c r="G98" s="26"/>
      <c r="H98" s="26"/>
      <c r="I98" s="26"/>
      <c r="J98" s="26"/>
      <c r="K98" s="26"/>
    </row>
    <row r="99" spans="2:13" x14ac:dyDescent="0.25">
      <c r="D99" s="14"/>
      <c r="E99" s="29"/>
      <c r="F99" s="26"/>
      <c r="G99" s="26"/>
      <c r="H99" s="26"/>
      <c r="I99" s="26"/>
      <c r="J99" s="26"/>
      <c r="K99" s="26"/>
    </row>
    <row r="100" spans="2:13" s="10" customFormat="1" ht="15.6" x14ac:dyDescent="0.3">
      <c r="B100" s="21" t="s">
        <v>13</v>
      </c>
      <c r="D100" s="22" t="s">
        <v>46</v>
      </c>
      <c r="E100" s="23"/>
      <c r="F100" s="23"/>
      <c r="G100" s="23"/>
      <c r="H100" s="23"/>
      <c r="I100" s="23"/>
      <c r="J100" s="23"/>
      <c r="K100" s="23"/>
      <c r="L100" s="23"/>
      <c r="M100" s="23"/>
    </row>
    <row r="101" spans="2:13" x14ac:dyDescent="0.25">
      <c r="D101" s="14"/>
      <c r="E101" s="29"/>
      <c r="F101" s="26"/>
      <c r="G101" s="26"/>
      <c r="H101" s="26"/>
      <c r="I101" s="26"/>
      <c r="J101" s="26"/>
      <c r="K101" s="26"/>
    </row>
    <row r="102" spans="2:13" x14ac:dyDescent="0.25">
      <c r="D102" s="30" t="s">
        <v>48</v>
      </c>
      <c r="E102" s="57"/>
      <c r="F102" s="58"/>
      <c r="G102" s="58"/>
      <c r="H102" s="58"/>
      <c r="I102" s="58"/>
      <c r="J102" s="58"/>
      <c r="K102" s="58"/>
      <c r="L102" s="31"/>
      <c r="M102" s="31"/>
    </row>
    <row r="103" spans="2:13" ht="13.8" thickBot="1" x14ac:dyDescent="0.3">
      <c r="D103" s="15" t="s">
        <v>57</v>
      </c>
      <c r="E103" s="29"/>
      <c r="F103" s="26"/>
      <c r="G103" s="26"/>
      <c r="H103" s="26"/>
      <c r="I103" s="26"/>
      <c r="J103" s="26"/>
      <c r="K103" s="26"/>
    </row>
    <row r="104" spans="2:13" x14ac:dyDescent="0.25">
      <c r="D104" s="86" t="s">
        <v>49</v>
      </c>
      <c r="E104" s="87"/>
      <c r="F104" s="87"/>
      <c r="G104" s="87"/>
      <c r="H104" s="88"/>
      <c r="I104" s="26"/>
      <c r="J104" s="26"/>
      <c r="K104" s="26"/>
    </row>
    <row r="105" spans="2:13" ht="52.8" x14ac:dyDescent="0.25">
      <c r="D105" s="40" t="s">
        <v>50</v>
      </c>
      <c r="E105" s="41" t="s">
        <v>51</v>
      </c>
      <c r="F105" s="42" t="s">
        <v>52</v>
      </c>
      <c r="G105" s="42" t="s">
        <v>53</v>
      </c>
      <c r="H105" s="42" t="s">
        <v>54</v>
      </c>
      <c r="I105" s="26"/>
      <c r="J105" s="26"/>
      <c r="K105" s="26"/>
    </row>
    <row r="106" spans="2:13" x14ac:dyDescent="0.25">
      <c r="D106" s="43">
        <v>5</v>
      </c>
      <c r="E106" s="44">
        <v>0.05</v>
      </c>
      <c r="F106" s="45">
        <v>-6.9999999999999951E-2</v>
      </c>
      <c r="G106" s="45">
        <v>-0.16823916424972646</v>
      </c>
      <c r="H106" s="45">
        <v>-0.16823916424972646</v>
      </c>
      <c r="I106" s="26"/>
      <c r="J106" s="26"/>
      <c r="K106" s="26"/>
    </row>
    <row r="107" spans="2:13" x14ac:dyDescent="0.25">
      <c r="D107" s="43">
        <v>10</v>
      </c>
      <c r="E107" s="44">
        <v>0.1</v>
      </c>
      <c r="F107" s="45">
        <v>1.0000000000000009E-2</v>
      </c>
      <c r="G107" s="45">
        <v>-8.8239164249726498E-2</v>
      </c>
      <c r="H107" s="45">
        <v>-8.8239164249726498E-2</v>
      </c>
      <c r="I107" s="26"/>
      <c r="J107" s="26"/>
      <c r="K107" s="26"/>
    </row>
    <row r="108" spans="2:13" x14ac:dyDescent="0.25">
      <c r="D108" s="43">
        <v>15</v>
      </c>
      <c r="E108" s="44">
        <v>0.15</v>
      </c>
      <c r="F108" s="45">
        <v>3.0000000000000027E-2</v>
      </c>
      <c r="G108" s="45">
        <v>-2.8250471759809354E-2</v>
      </c>
      <c r="H108" s="45">
        <v>-2.8250471759809354E-2</v>
      </c>
      <c r="I108" s="26"/>
      <c r="J108" s="26"/>
      <c r="K108" s="26"/>
    </row>
    <row r="109" spans="2:13" x14ac:dyDescent="0.25">
      <c r="D109" s="43">
        <v>20</v>
      </c>
      <c r="E109" s="44">
        <v>0.2</v>
      </c>
      <c r="F109" s="45">
        <v>5.1046799999999948E-2</v>
      </c>
      <c r="G109" s="45">
        <v>2.149292549800623E-2</v>
      </c>
      <c r="H109" s="45">
        <v>-1.6399684943365661E-2</v>
      </c>
      <c r="I109" s="26"/>
      <c r="J109" s="26"/>
      <c r="K109" s="26"/>
    </row>
    <row r="110" spans="2:13" x14ac:dyDescent="0.25">
      <c r="D110" s="43">
        <v>25</v>
      </c>
      <c r="E110" s="44">
        <v>0.25</v>
      </c>
      <c r="F110" s="45">
        <v>7.0000000000000062E-2</v>
      </c>
      <c r="G110" s="45">
        <v>7.0000000000000062E-2</v>
      </c>
      <c r="H110" s="45">
        <v>4.2700000000000071E-2</v>
      </c>
      <c r="I110" s="26"/>
      <c r="J110" s="26"/>
      <c r="K110" s="26"/>
    </row>
    <row r="111" spans="2:13" x14ac:dyDescent="0.25">
      <c r="D111" s="43">
        <v>30</v>
      </c>
      <c r="E111" s="44">
        <v>0.3</v>
      </c>
      <c r="F111" s="45">
        <v>9.000000000000008E-2</v>
      </c>
      <c r="G111" s="45">
        <v>9.000000000000008E-2</v>
      </c>
      <c r="H111" s="45">
        <v>9.000000000000008E-2</v>
      </c>
      <c r="I111" s="26"/>
      <c r="J111" s="26"/>
      <c r="K111" s="26"/>
    </row>
    <row r="112" spans="2:13" x14ac:dyDescent="0.25">
      <c r="D112" s="43">
        <v>35</v>
      </c>
      <c r="E112" s="44">
        <v>0.35</v>
      </c>
      <c r="F112" s="45">
        <v>0.1100000000000001</v>
      </c>
      <c r="G112" s="45">
        <v>0.1100000000000001</v>
      </c>
      <c r="H112" s="45">
        <v>0.1100000000000001</v>
      </c>
      <c r="I112" s="26"/>
      <c r="J112" s="26"/>
      <c r="K112" s="26"/>
    </row>
    <row r="113" spans="4:13" x14ac:dyDescent="0.25">
      <c r="D113" s="43">
        <v>40</v>
      </c>
      <c r="E113" s="44">
        <v>0.4</v>
      </c>
      <c r="F113" s="45">
        <v>0.1339999999999999</v>
      </c>
      <c r="G113" s="45">
        <v>0.1339999999999999</v>
      </c>
      <c r="H113" s="45">
        <v>0.1339999999999999</v>
      </c>
      <c r="I113" s="26"/>
      <c r="J113" s="26"/>
      <c r="K113" s="26"/>
    </row>
    <row r="114" spans="4:13" x14ac:dyDescent="0.25">
      <c r="D114" s="43">
        <v>45</v>
      </c>
      <c r="E114" s="44">
        <v>0.45</v>
      </c>
      <c r="F114" s="45">
        <v>0.15999999999999992</v>
      </c>
      <c r="G114" s="45">
        <v>0.15999999999999992</v>
      </c>
      <c r="H114" s="45">
        <v>0.15999999999999992</v>
      </c>
      <c r="I114" s="26"/>
      <c r="J114" s="26"/>
      <c r="K114" s="26"/>
    </row>
    <row r="115" spans="4:13" x14ac:dyDescent="0.25">
      <c r="D115" s="43">
        <v>50</v>
      </c>
      <c r="E115" s="44">
        <v>0.5</v>
      </c>
      <c r="F115" s="45">
        <v>0.17999999999999994</v>
      </c>
      <c r="G115" s="45">
        <v>0.17999999999999994</v>
      </c>
      <c r="H115" s="45">
        <v>0.17999999999999994</v>
      </c>
      <c r="I115" s="26"/>
      <c r="J115" s="26"/>
      <c r="K115" s="26"/>
    </row>
    <row r="116" spans="4:13" x14ac:dyDescent="0.25">
      <c r="D116" s="43">
        <v>55</v>
      </c>
      <c r="E116" s="44">
        <v>0.55000000000000004</v>
      </c>
      <c r="F116" s="45">
        <v>0.20550000000000002</v>
      </c>
      <c r="G116" s="45">
        <v>0.20550000000000002</v>
      </c>
      <c r="H116" s="45">
        <v>0.20550000000000002</v>
      </c>
      <c r="I116" s="26"/>
      <c r="J116" s="26"/>
      <c r="K116" s="26"/>
    </row>
    <row r="117" spans="4:13" x14ac:dyDescent="0.25">
      <c r="D117" s="43">
        <v>60</v>
      </c>
      <c r="E117" s="44">
        <v>0.6</v>
      </c>
      <c r="F117" s="45">
        <v>0.22999999999999998</v>
      </c>
      <c r="G117" s="45">
        <v>0.22999999999999998</v>
      </c>
      <c r="H117" s="45">
        <v>0.22999999999999998</v>
      </c>
      <c r="I117" s="26"/>
      <c r="J117" s="26"/>
      <c r="K117" s="26"/>
    </row>
    <row r="118" spans="4:13" x14ac:dyDescent="0.25">
      <c r="D118" s="43">
        <v>65</v>
      </c>
      <c r="E118" s="44">
        <v>0.65</v>
      </c>
      <c r="F118" s="45">
        <v>0.25650000000000017</v>
      </c>
      <c r="G118" s="45">
        <v>0.25650000000000017</v>
      </c>
      <c r="H118" s="45">
        <v>0.39190088997007444</v>
      </c>
      <c r="I118" s="26"/>
      <c r="J118" s="26"/>
      <c r="K118" s="26"/>
    </row>
    <row r="119" spans="4:13" x14ac:dyDescent="0.25">
      <c r="D119" s="43">
        <v>70</v>
      </c>
      <c r="E119" s="44">
        <v>0.7</v>
      </c>
      <c r="F119" s="45">
        <v>0.29000000000000004</v>
      </c>
      <c r="G119" s="45">
        <v>0.29800838913276451</v>
      </c>
      <c r="H119" s="45">
        <v>0.41509607134641446</v>
      </c>
      <c r="I119" s="26"/>
      <c r="J119" s="26"/>
      <c r="K119" s="26"/>
    </row>
    <row r="120" spans="4:13" x14ac:dyDescent="0.25">
      <c r="D120" s="43">
        <v>75</v>
      </c>
      <c r="E120" s="44">
        <v>0.75</v>
      </c>
      <c r="F120" s="45">
        <v>0.33000000000000007</v>
      </c>
      <c r="G120" s="45">
        <v>0.43647128156919246</v>
      </c>
      <c r="H120" s="45">
        <v>0.76876331249845054</v>
      </c>
      <c r="I120" s="26"/>
      <c r="J120" s="26"/>
      <c r="K120" s="26"/>
    </row>
    <row r="121" spans="4:13" x14ac:dyDescent="0.25">
      <c r="D121" s="43">
        <v>80</v>
      </c>
      <c r="E121" s="44">
        <v>0.8</v>
      </c>
      <c r="F121" s="45">
        <v>0.37000000000000011</v>
      </c>
      <c r="G121" s="45">
        <v>0.535985243626802</v>
      </c>
      <c r="H121" s="45">
        <v>0.98147051696200904</v>
      </c>
      <c r="I121" s="26"/>
      <c r="J121" s="26"/>
      <c r="K121" s="26"/>
    </row>
    <row r="122" spans="4:13" x14ac:dyDescent="0.25">
      <c r="D122" s="43">
        <v>85</v>
      </c>
      <c r="E122" s="44">
        <v>0.85</v>
      </c>
      <c r="F122" s="45">
        <v>0.40849999999999986</v>
      </c>
      <c r="G122" s="45">
        <v>0.57780059044871712</v>
      </c>
      <c r="H122" s="45">
        <v>1.0384950800660031</v>
      </c>
      <c r="I122" s="26"/>
      <c r="J122" s="26"/>
      <c r="K122" s="26"/>
    </row>
    <row r="123" spans="4:13" x14ac:dyDescent="0.25">
      <c r="D123" s="43">
        <v>90</v>
      </c>
      <c r="E123" s="44">
        <v>0.9</v>
      </c>
      <c r="F123" s="45">
        <v>0.50800000000000023</v>
      </c>
      <c r="G123" s="45">
        <v>0.69983260353910004</v>
      </c>
      <c r="H123" s="45">
        <v>2.2725680882526333</v>
      </c>
      <c r="I123" s="26"/>
      <c r="J123" s="26"/>
      <c r="K123" s="26"/>
    </row>
    <row r="124" spans="4:13" ht="13.8" thickBot="1" x14ac:dyDescent="0.3">
      <c r="D124" s="46">
        <v>95</v>
      </c>
      <c r="E124" s="44">
        <v>0.95</v>
      </c>
      <c r="F124" s="47">
        <v>0.66920049999999942</v>
      </c>
      <c r="G124" s="47">
        <v>0.86103310353909923</v>
      </c>
      <c r="H124" s="47">
        <v>2.4337685882526321</v>
      </c>
      <c r="I124" s="26"/>
      <c r="J124" s="26"/>
      <c r="K124" s="26"/>
    </row>
    <row r="125" spans="4:13" x14ac:dyDescent="0.25">
      <c r="D125" s="48" t="s">
        <v>55</v>
      </c>
      <c r="E125" s="49"/>
      <c r="F125" s="50">
        <v>202</v>
      </c>
      <c r="G125" s="50">
        <v>202</v>
      </c>
      <c r="H125" s="51">
        <v>202</v>
      </c>
      <c r="I125" s="26"/>
      <c r="J125" s="26"/>
      <c r="K125" s="26"/>
    </row>
    <row r="126" spans="4:13" ht="13.8" thickBot="1" x14ac:dyDescent="0.3">
      <c r="D126" s="52" t="s">
        <v>56</v>
      </c>
      <c r="E126" s="53"/>
      <c r="F126" s="54">
        <v>0.20163736499999999</v>
      </c>
      <c r="G126" s="54">
        <v>0.22909476685472099</v>
      </c>
      <c r="H126" s="55">
        <v>0.45765670310727946</v>
      </c>
      <c r="I126" s="26"/>
      <c r="J126" s="26"/>
      <c r="K126" s="26"/>
    </row>
    <row r="127" spans="4:13" x14ac:dyDescent="0.25">
      <c r="E127" s="29"/>
      <c r="F127" s="26"/>
      <c r="G127" s="26"/>
      <c r="H127" s="26"/>
      <c r="I127" s="26"/>
      <c r="J127" s="26"/>
      <c r="K127" s="26"/>
    </row>
    <row r="128" spans="4:13" x14ac:dyDescent="0.25">
      <c r="D128" s="30" t="s">
        <v>60</v>
      </c>
      <c r="E128" s="57"/>
      <c r="F128" s="58"/>
      <c r="G128" s="58"/>
      <c r="H128" s="58"/>
      <c r="I128" s="58"/>
      <c r="J128" s="58"/>
      <c r="K128" s="58"/>
      <c r="L128" s="31"/>
      <c r="M128" s="31"/>
    </row>
    <row r="129" spans="4:13" x14ac:dyDescent="0.25">
      <c r="E129" s="29"/>
      <c r="F129" s="26"/>
      <c r="G129" s="26"/>
      <c r="H129" s="26"/>
      <c r="I129" s="26"/>
      <c r="J129" s="26"/>
      <c r="K129" s="26"/>
    </row>
    <row r="130" spans="4:13" x14ac:dyDescent="0.25">
      <c r="D130" s="13" t="s">
        <v>83</v>
      </c>
      <c r="E130" s="11" t="s">
        <v>11</v>
      </c>
      <c r="F130" s="27">
        <f>L50</f>
        <v>296156</v>
      </c>
      <c r="G130" s="26"/>
      <c r="H130" s="26"/>
      <c r="I130" s="26"/>
      <c r="J130" s="26"/>
      <c r="K130" s="26"/>
    </row>
    <row r="131" spans="4:13" x14ac:dyDescent="0.25">
      <c r="D131" s="13" t="s">
        <v>84</v>
      </c>
      <c r="E131" s="11" t="s">
        <v>11</v>
      </c>
      <c r="F131" s="27">
        <f>F57</f>
        <v>26653</v>
      </c>
      <c r="G131" s="26"/>
      <c r="H131" s="26"/>
      <c r="I131" s="26"/>
      <c r="J131" s="26"/>
      <c r="K131" s="26"/>
    </row>
    <row r="132" spans="4:13" x14ac:dyDescent="0.25">
      <c r="D132" s="13" t="s">
        <v>20</v>
      </c>
      <c r="E132" s="11" t="s">
        <v>11</v>
      </c>
      <c r="F132" s="17">
        <v>52251</v>
      </c>
      <c r="G132" s="16" t="s">
        <v>19</v>
      </c>
    </row>
    <row r="133" spans="4:13" ht="26.4" x14ac:dyDescent="0.25">
      <c r="D133" s="32" t="s">
        <v>82</v>
      </c>
      <c r="E133" s="11" t="s">
        <v>11</v>
      </c>
      <c r="F133" s="27">
        <f>F130-F131-F132</f>
        <v>217252</v>
      </c>
      <c r="G133" s="18" t="s">
        <v>81</v>
      </c>
      <c r="H133" s="26"/>
      <c r="I133" s="26"/>
      <c r="J133" s="26"/>
      <c r="K133" s="26"/>
    </row>
    <row r="134" spans="4:13" x14ac:dyDescent="0.25">
      <c r="D134" s="13" t="s">
        <v>58</v>
      </c>
      <c r="E134" s="29"/>
      <c r="F134" s="75">
        <f>F132/F133</f>
        <v>0.24050871798648574</v>
      </c>
      <c r="G134" s="26"/>
      <c r="H134" s="26"/>
      <c r="I134" s="26"/>
      <c r="J134" s="26"/>
      <c r="K134" s="26"/>
    </row>
    <row r="135" spans="4:13" x14ac:dyDescent="0.25">
      <c r="E135" s="29"/>
      <c r="F135" s="56"/>
      <c r="G135" s="26"/>
      <c r="H135" s="26"/>
      <c r="I135" s="26"/>
      <c r="J135" s="26"/>
      <c r="K135" s="26"/>
    </row>
    <row r="136" spans="4:13" x14ac:dyDescent="0.25">
      <c r="D136" s="30" t="s">
        <v>61</v>
      </c>
      <c r="E136" s="57"/>
      <c r="F136" s="58"/>
      <c r="G136" s="58"/>
      <c r="H136" s="58"/>
      <c r="I136" s="58"/>
      <c r="J136" s="58"/>
      <c r="K136" s="58"/>
      <c r="L136" s="31"/>
      <c r="M136" s="31"/>
    </row>
    <row r="137" spans="4:13" x14ac:dyDescent="0.25">
      <c r="E137" s="29"/>
      <c r="F137" s="56"/>
      <c r="G137" s="26"/>
      <c r="H137" s="26"/>
      <c r="I137" s="26"/>
      <c r="J137" s="26"/>
      <c r="K137" s="26"/>
    </row>
    <row r="138" spans="4:13" x14ac:dyDescent="0.25">
      <c r="D138" s="13" t="s">
        <v>50</v>
      </c>
      <c r="E138" s="29"/>
      <c r="F138" s="56" t="s">
        <v>46</v>
      </c>
      <c r="G138" s="26"/>
      <c r="H138" s="26"/>
      <c r="I138" s="26"/>
      <c r="J138" s="26"/>
      <c r="K138" s="26"/>
    </row>
    <row r="139" spans="4:13" x14ac:dyDescent="0.25">
      <c r="D139" s="76">
        <v>60</v>
      </c>
      <c r="E139" s="29"/>
      <c r="F139" s="56">
        <f>INDEX($F$106:$F$124,MATCH(D139,$D$106:$D$124,0))</f>
        <v>0.22999999999999998</v>
      </c>
      <c r="G139" s="26"/>
      <c r="H139" s="26"/>
      <c r="I139" s="26"/>
      <c r="J139" s="26"/>
      <c r="K139" s="26"/>
    </row>
    <row r="140" spans="4:13" x14ac:dyDescent="0.25">
      <c r="D140" s="76">
        <v>65</v>
      </c>
      <c r="E140" s="29"/>
      <c r="F140" s="56">
        <f>INDEX($F$106:$F$124,MATCH(D140,$D$106:$D$124,0))</f>
        <v>0.25650000000000017</v>
      </c>
      <c r="G140" s="26"/>
      <c r="H140" s="26"/>
      <c r="I140" s="26"/>
      <c r="J140" s="26"/>
      <c r="K140" s="26"/>
    </row>
    <row r="141" spans="4:13" x14ac:dyDescent="0.25">
      <c r="D141" s="13" t="s">
        <v>59</v>
      </c>
      <c r="E141" s="29"/>
      <c r="F141" s="27">
        <f>(F134-F139)/(F140-F139)*(D140-D139)+D139</f>
        <v>61.982776978582201</v>
      </c>
      <c r="G141" s="26"/>
      <c r="H141" s="26"/>
      <c r="I141" s="26"/>
      <c r="J141" s="26"/>
      <c r="K141" s="26"/>
    </row>
    <row r="142" spans="4:13" x14ac:dyDescent="0.25">
      <c r="E142" s="29"/>
      <c r="F142" s="26"/>
      <c r="G142" s="26"/>
      <c r="H142" s="26"/>
      <c r="I142" s="26"/>
      <c r="J142" s="26"/>
      <c r="K142" s="26"/>
    </row>
    <row r="143" spans="4:13" x14ac:dyDescent="0.25">
      <c r="D143" s="30" t="s">
        <v>62</v>
      </c>
      <c r="E143" s="57"/>
      <c r="F143" s="58"/>
      <c r="G143" s="58"/>
      <c r="H143" s="58"/>
      <c r="I143" s="58"/>
      <c r="J143" s="58"/>
      <c r="K143" s="58"/>
      <c r="L143" s="31"/>
      <c r="M143" s="31"/>
    </row>
    <row r="145" spans="1:14" x14ac:dyDescent="0.25">
      <c r="D145" s="13" t="str">
        <f>D133</f>
        <v>HIF1 costs excluding inflation and contingency</v>
      </c>
      <c r="E145" s="11" t="s">
        <v>11</v>
      </c>
      <c r="F145" s="27">
        <f>F133</f>
        <v>217252</v>
      </c>
      <c r="G145" s="33"/>
    </row>
    <row r="146" spans="1:14" x14ac:dyDescent="0.25">
      <c r="E146" s="11"/>
      <c r="F146" s="33"/>
      <c r="G146" s="33"/>
    </row>
    <row r="147" spans="1:14" s="61" customFormat="1" ht="39.6" x14ac:dyDescent="0.25">
      <c r="D147" s="62" t="s">
        <v>50</v>
      </c>
      <c r="E147" s="63"/>
      <c r="F147" s="64" t="s">
        <v>63</v>
      </c>
      <c r="G147" s="64" t="s">
        <v>65</v>
      </c>
      <c r="H147" s="64" t="s">
        <v>64</v>
      </c>
      <c r="I147" s="64" t="s">
        <v>85</v>
      </c>
      <c r="J147" s="77" t="s">
        <v>84</v>
      </c>
      <c r="K147" s="65"/>
    </row>
    <row r="148" spans="1:14" s="29" customFormat="1" x14ac:dyDescent="0.25">
      <c r="G148" s="29" t="s">
        <v>11</v>
      </c>
      <c r="H148" s="29" t="s">
        <v>11</v>
      </c>
      <c r="I148" s="29" t="s">
        <v>11</v>
      </c>
      <c r="J148" s="29" t="s">
        <v>11</v>
      </c>
    </row>
    <row r="149" spans="1:14" x14ac:dyDescent="0.25">
      <c r="D149" s="71">
        <f>F141</f>
        <v>61.982776978582201</v>
      </c>
      <c r="E149" s="29"/>
      <c r="F149" s="60">
        <f>F134</f>
        <v>0.24050871798648574</v>
      </c>
      <c r="G149" s="27">
        <f>F149*$F$145</f>
        <v>52251</v>
      </c>
      <c r="H149" s="27">
        <f>G149-$F$132</f>
        <v>0</v>
      </c>
      <c r="I149" s="27">
        <f>SUM(G149,$F$145)*$F$98</f>
        <v>331327.30949274375</v>
      </c>
      <c r="J149" s="80">
        <f>I149-SUM(G149,$F$145)</f>
        <v>61824.309492743749</v>
      </c>
      <c r="K149" s="26"/>
    </row>
    <row r="150" spans="1:14" x14ac:dyDescent="0.25">
      <c r="D150" s="59">
        <f>D121</f>
        <v>80</v>
      </c>
      <c r="E150" s="29"/>
      <c r="F150" s="60">
        <f>F121</f>
        <v>0.37000000000000011</v>
      </c>
      <c r="G150" s="27">
        <f>F150*$F$145</f>
        <v>80383.24000000002</v>
      </c>
      <c r="H150" s="27">
        <f>G150-$F$132</f>
        <v>28132.24000000002</v>
      </c>
      <c r="I150" s="27">
        <f>SUM(G150,$F$145)*$F$98</f>
        <v>365913.11888708867</v>
      </c>
      <c r="J150" s="80">
        <f>I150-SUM(G150,$F$145)</f>
        <v>68277.878887088678</v>
      </c>
      <c r="K150" s="26"/>
    </row>
    <row r="151" spans="1:14" x14ac:dyDescent="0.25">
      <c r="D151" s="59">
        <f>D123</f>
        <v>90</v>
      </c>
      <c r="E151" s="29"/>
      <c r="F151" s="60">
        <f>F123</f>
        <v>0.50800000000000023</v>
      </c>
      <c r="G151" s="27">
        <f>F151*$F$145</f>
        <v>110364.01600000005</v>
      </c>
      <c r="H151" s="27">
        <f>G151-$F$132</f>
        <v>58113.016000000047</v>
      </c>
      <c r="I151" s="27">
        <f>SUM(G151,$F$145)*$F$98</f>
        <v>402771.52064359846</v>
      </c>
      <c r="J151" s="80">
        <f>I151-SUM(G151,$F$145)</f>
        <v>75155.504643598397</v>
      </c>
      <c r="K151" s="26"/>
    </row>
    <row r="152" spans="1:14" x14ac:dyDescent="0.25">
      <c r="D152" s="78">
        <f>D124</f>
        <v>95</v>
      </c>
      <c r="E152" s="39"/>
      <c r="F152" s="79">
        <f>F124</f>
        <v>0.66920049999999942</v>
      </c>
      <c r="G152" s="66">
        <f>F152*$F$145</f>
        <v>145385.14702599988</v>
      </c>
      <c r="H152" s="66">
        <f>G152-$F$132</f>
        <v>93134.147025999875</v>
      </c>
      <c r="I152" s="66">
        <f>SUM(G152,$F$145)*$F$98</f>
        <v>445826.54087802017</v>
      </c>
      <c r="J152" s="81">
        <f>I152-SUM(G152,$F$145)</f>
        <v>83189.393852020323</v>
      </c>
      <c r="K152" s="26"/>
    </row>
    <row r="154" spans="1:14" x14ac:dyDescent="0.25">
      <c r="A154" s="12" t="s">
        <v>6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70" spans="3:3" x14ac:dyDescent="0.25">
      <c r="C170" s="18"/>
    </row>
  </sheetData>
  <mergeCells count="1">
    <mergeCell ref="D104:H104"/>
  </mergeCells>
  <hyperlinks>
    <hyperlink ref="D56" r:id="rId1" xr:uid="{547F6384-FA9C-4E78-A496-B1D75D470D13}"/>
    <hyperlink ref="G132" r:id="rId2" xr:uid="{AA582418-9B1B-42B8-B4E6-07538BE422C1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2283-0E62-4090-BD4A-F95FD536CBC7}">
  <sheetPr>
    <tabColor theme="1"/>
  </sheetPr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6898-44E0-448D-A022-C8F3DC61939C}">
  <dimension ref="A1:H89"/>
  <sheetViews>
    <sheetView workbookViewId="0">
      <selection activeCell="Q12" sqref="Q12"/>
    </sheetView>
  </sheetViews>
  <sheetFormatPr defaultRowHeight="14.4" x14ac:dyDescent="0.3"/>
  <cols>
    <col min="1" max="2" width="10.77734375" bestFit="1" customWidth="1"/>
  </cols>
  <sheetData>
    <row r="1" spans="1:8" x14ac:dyDescent="0.3">
      <c r="A1" t="s">
        <v>89</v>
      </c>
    </row>
    <row r="3" spans="1:8" x14ac:dyDescent="0.3">
      <c r="A3" t="s">
        <v>0</v>
      </c>
      <c r="B3" t="s">
        <v>1</v>
      </c>
      <c r="D3" t="s">
        <v>2</v>
      </c>
      <c r="E3" t="s">
        <v>3</v>
      </c>
      <c r="G3" t="s">
        <v>88</v>
      </c>
      <c r="H3" t="s">
        <v>90</v>
      </c>
    </row>
    <row r="4" spans="1:8" x14ac:dyDescent="0.3">
      <c r="A4">
        <v>1</v>
      </c>
      <c r="B4">
        <v>4.9459999999999997</v>
      </c>
      <c r="D4" s="1">
        <v>2007</v>
      </c>
      <c r="E4" s="1">
        <v>1</v>
      </c>
      <c r="G4" t="str">
        <f>D4&amp;"Q"&amp;E4</f>
        <v>2007Q1</v>
      </c>
      <c r="H4" s="85">
        <f>'HIF1 costs'!$F$63*100</f>
        <v>2.2514745031290651</v>
      </c>
    </row>
    <row r="5" spans="1:8" x14ac:dyDescent="0.3">
      <c r="A5">
        <v>2</v>
      </c>
      <c r="B5">
        <v>4.4020000000000001</v>
      </c>
      <c r="D5" s="1">
        <v>2007</v>
      </c>
      <c r="E5" s="1">
        <v>2</v>
      </c>
      <c r="G5" t="str">
        <f t="shared" ref="G5:G68" si="0">D5&amp;"Q"&amp;E5</f>
        <v>2007Q2</v>
      </c>
      <c r="H5" s="85">
        <f>'HIF1 costs'!$F$63*100</f>
        <v>2.2514745031290651</v>
      </c>
    </row>
    <row r="6" spans="1:8" x14ac:dyDescent="0.3">
      <c r="A6">
        <v>3</v>
      </c>
      <c r="B6">
        <v>8.64</v>
      </c>
      <c r="D6" s="1">
        <v>2007</v>
      </c>
      <c r="E6" s="1">
        <v>3</v>
      </c>
      <c r="G6" t="str">
        <f t="shared" si="0"/>
        <v>2007Q3</v>
      </c>
      <c r="H6" s="85">
        <f>'HIF1 costs'!$F$63*100</f>
        <v>2.2514745031290651</v>
      </c>
    </row>
    <row r="7" spans="1:8" x14ac:dyDescent="0.3">
      <c r="A7">
        <v>4</v>
      </c>
      <c r="B7">
        <v>8.1769999999999996</v>
      </c>
      <c r="D7" s="1">
        <v>2007</v>
      </c>
      <c r="E7" s="1">
        <v>4</v>
      </c>
      <c r="G7" t="str">
        <f t="shared" si="0"/>
        <v>2007Q4</v>
      </c>
      <c r="H7" s="85">
        <f>'HIF1 costs'!$F$63*100</f>
        <v>2.2514745031290651</v>
      </c>
    </row>
    <row r="8" spans="1:8" x14ac:dyDescent="0.3">
      <c r="A8">
        <v>5</v>
      </c>
      <c r="B8">
        <v>4.3710000000000004</v>
      </c>
      <c r="D8">
        <f>D4+1</f>
        <v>2008</v>
      </c>
      <c r="E8">
        <f>E4</f>
        <v>1</v>
      </c>
      <c r="G8" t="str">
        <f t="shared" si="0"/>
        <v>2008Q1</v>
      </c>
      <c r="H8" s="85">
        <f>'HIF1 costs'!$F$63*100</f>
        <v>2.2514745031290651</v>
      </c>
    </row>
    <row r="9" spans="1:8" x14ac:dyDescent="0.3">
      <c r="A9">
        <v>6</v>
      </c>
      <c r="B9">
        <v>2.6840000000000002</v>
      </c>
      <c r="D9">
        <f t="shared" ref="D9:D72" si="1">D5+1</f>
        <v>2008</v>
      </c>
      <c r="E9">
        <f t="shared" ref="E9:E72" si="2">E5</f>
        <v>2</v>
      </c>
      <c r="G9" t="str">
        <f t="shared" si="0"/>
        <v>2008Q2</v>
      </c>
      <c r="H9" s="85">
        <f>'HIF1 costs'!$F$63*100</f>
        <v>2.2514745031290651</v>
      </c>
    </row>
    <row r="10" spans="1:8" x14ac:dyDescent="0.3">
      <c r="A10">
        <v>7</v>
      </c>
      <c r="B10">
        <v>-0.88</v>
      </c>
      <c r="D10">
        <f t="shared" si="1"/>
        <v>2008</v>
      </c>
      <c r="E10">
        <f t="shared" si="2"/>
        <v>3</v>
      </c>
      <c r="G10" t="str">
        <f t="shared" si="0"/>
        <v>2008Q3</v>
      </c>
      <c r="H10" s="85">
        <f>'HIF1 costs'!$F$63*100</f>
        <v>2.2514745031290651</v>
      </c>
    </row>
    <row r="11" spans="1:8" x14ac:dyDescent="0.3">
      <c r="A11">
        <v>8</v>
      </c>
      <c r="B11">
        <v>-4.4450000000000003</v>
      </c>
      <c r="D11">
        <f t="shared" si="1"/>
        <v>2008</v>
      </c>
      <c r="E11">
        <f t="shared" si="2"/>
        <v>4</v>
      </c>
      <c r="G11" t="str">
        <f t="shared" si="0"/>
        <v>2008Q4</v>
      </c>
      <c r="H11" s="85">
        <f>'HIF1 costs'!$F$63*100</f>
        <v>2.2514745031290651</v>
      </c>
    </row>
    <row r="12" spans="1:8" x14ac:dyDescent="0.3">
      <c r="A12">
        <v>9</v>
      </c>
      <c r="B12">
        <v>-10.356999999999999</v>
      </c>
      <c r="D12">
        <f t="shared" si="1"/>
        <v>2009</v>
      </c>
      <c r="E12">
        <f t="shared" si="2"/>
        <v>1</v>
      </c>
      <c r="G12" t="str">
        <f t="shared" si="0"/>
        <v>2009Q1</v>
      </c>
      <c r="H12" s="85">
        <f>'HIF1 costs'!$F$63*100</f>
        <v>2.2514745031290651</v>
      </c>
    </row>
    <row r="13" spans="1:8" x14ac:dyDescent="0.3">
      <c r="A13">
        <v>10</v>
      </c>
      <c r="B13">
        <v>-12.522</v>
      </c>
      <c r="D13">
        <f t="shared" si="1"/>
        <v>2009</v>
      </c>
      <c r="E13">
        <f t="shared" si="2"/>
        <v>2</v>
      </c>
      <c r="G13" t="str">
        <f t="shared" si="0"/>
        <v>2009Q2</v>
      </c>
      <c r="H13" s="85">
        <f>'HIF1 costs'!$F$63*100</f>
        <v>2.2514745031290651</v>
      </c>
    </row>
    <row r="14" spans="1:8" x14ac:dyDescent="0.3">
      <c r="A14">
        <v>11</v>
      </c>
      <c r="B14">
        <v>-12.077999999999999</v>
      </c>
      <c r="D14">
        <f t="shared" si="1"/>
        <v>2009</v>
      </c>
      <c r="E14">
        <f t="shared" si="2"/>
        <v>3</v>
      </c>
      <c r="G14" t="str">
        <f t="shared" si="0"/>
        <v>2009Q3</v>
      </c>
      <c r="H14" s="85">
        <f>'HIF1 costs'!$F$63*100</f>
        <v>2.2514745031290651</v>
      </c>
    </row>
    <row r="15" spans="1:8" x14ac:dyDescent="0.3">
      <c r="A15">
        <v>12</v>
      </c>
      <c r="B15">
        <v>-11.634</v>
      </c>
      <c r="D15">
        <f t="shared" si="1"/>
        <v>2009</v>
      </c>
      <c r="E15">
        <f t="shared" si="2"/>
        <v>4</v>
      </c>
      <c r="G15" t="str">
        <f t="shared" si="0"/>
        <v>2009Q4</v>
      </c>
      <c r="H15" s="85">
        <f>'HIF1 costs'!$F$63*100</f>
        <v>2.2514745031290651</v>
      </c>
    </row>
    <row r="16" spans="1:8" x14ac:dyDescent="0.3">
      <c r="A16">
        <v>13</v>
      </c>
      <c r="B16">
        <v>-6.3019999999999996</v>
      </c>
      <c r="D16">
        <f t="shared" si="1"/>
        <v>2010</v>
      </c>
      <c r="E16">
        <f t="shared" si="2"/>
        <v>1</v>
      </c>
      <c r="G16" t="str">
        <f t="shared" si="0"/>
        <v>2010Q1</v>
      </c>
      <c r="H16" s="85">
        <f>'HIF1 costs'!$F$63*100</f>
        <v>2.2514745031290651</v>
      </c>
    </row>
    <row r="17" spans="1:8" x14ac:dyDescent="0.3">
      <c r="A17">
        <v>14</v>
      </c>
      <c r="B17">
        <v>0.92200000000000004</v>
      </c>
      <c r="D17">
        <f t="shared" si="1"/>
        <v>2010</v>
      </c>
      <c r="E17">
        <f t="shared" si="2"/>
        <v>2</v>
      </c>
      <c r="G17" t="str">
        <f t="shared" si="0"/>
        <v>2010Q2</v>
      </c>
      <c r="H17" s="85">
        <f>'HIF1 costs'!$F$63*100</f>
        <v>2.2514745031290651</v>
      </c>
    </row>
    <row r="18" spans="1:8" x14ac:dyDescent="0.3">
      <c r="A18">
        <v>15</v>
      </c>
      <c r="B18">
        <v>1.712</v>
      </c>
      <c r="D18">
        <f t="shared" si="1"/>
        <v>2010</v>
      </c>
      <c r="E18">
        <f t="shared" si="2"/>
        <v>3</v>
      </c>
      <c r="G18" t="str">
        <f t="shared" si="0"/>
        <v>2010Q3</v>
      </c>
      <c r="H18" s="85">
        <f>'HIF1 costs'!$F$63*100</f>
        <v>2.2514745031290651</v>
      </c>
    </row>
    <row r="19" spans="1:8" x14ac:dyDescent="0.3">
      <c r="A19">
        <v>16</v>
      </c>
      <c r="B19">
        <v>3.9660000000000002</v>
      </c>
      <c r="D19">
        <f t="shared" si="1"/>
        <v>2010</v>
      </c>
      <c r="E19">
        <f t="shared" si="2"/>
        <v>4</v>
      </c>
      <c r="G19" t="str">
        <f t="shared" si="0"/>
        <v>2010Q4</v>
      </c>
      <c r="H19" s="85">
        <f>'HIF1 costs'!$F$63*100</f>
        <v>2.2514745031290651</v>
      </c>
    </row>
    <row r="20" spans="1:8" x14ac:dyDescent="0.3">
      <c r="A20">
        <v>17</v>
      </c>
      <c r="B20">
        <v>4.6820000000000004</v>
      </c>
      <c r="D20">
        <f t="shared" si="1"/>
        <v>2011</v>
      </c>
      <c r="E20">
        <f t="shared" si="2"/>
        <v>1</v>
      </c>
      <c r="G20" t="str">
        <f t="shared" si="0"/>
        <v>2011Q1</v>
      </c>
      <c r="H20" s="85">
        <f>'HIF1 costs'!$F$63*100</f>
        <v>2.2514745031290651</v>
      </c>
    </row>
    <row r="21" spans="1:8" x14ac:dyDescent="0.3">
      <c r="A21">
        <v>18</v>
      </c>
      <c r="B21">
        <v>2.1859999999999999</v>
      </c>
      <c r="D21">
        <f t="shared" si="1"/>
        <v>2011</v>
      </c>
      <c r="E21">
        <f t="shared" si="2"/>
        <v>2</v>
      </c>
      <c r="G21" t="str">
        <f t="shared" si="0"/>
        <v>2011Q2</v>
      </c>
      <c r="H21" s="85">
        <f>'HIF1 costs'!$F$63*100</f>
        <v>2.2514745031290651</v>
      </c>
    </row>
    <row r="22" spans="1:8" x14ac:dyDescent="0.3">
      <c r="A22">
        <v>19</v>
      </c>
      <c r="B22">
        <v>0.746</v>
      </c>
      <c r="D22">
        <f t="shared" si="1"/>
        <v>2011</v>
      </c>
      <c r="E22">
        <f t="shared" si="2"/>
        <v>3</v>
      </c>
      <c r="G22" t="str">
        <f t="shared" si="0"/>
        <v>2011Q3</v>
      </c>
      <c r="H22" s="85">
        <f>'HIF1 costs'!$F$63*100</f>
        <v>2.2514745031290651</v>
      </c>
    </row>
    <row r="23" spans="1:8" x14ac:dyDescent="0.3">
      <c r="A23">
        <v>20</v>
      </c>
      <c r="B23">
        <v>1.2090000000000001</v>
      </c>
      <c r="D23">
        <f t="shared" si="1"/>
        <v>2011</v>
      </c>
      <c r="E23">
        <f t="shared" si="2"/>
        <v>4</v>
      </c>
      <c r="G23" t="str">
        <f t="shared" si="0"/>
        <v>2011Q4</v>
      </c>
      <c r="H23" s="85">
        <f>'HIF1 costs'!$F$63*100</f>
        <v>2.2514745031290651</v>
      </c>
    </row>
    <row r="24" spans="1:8" x14ac:dyDescent="0.3">
      <c r="A24">
        <v>21</v>
      </c>
      <c r="B24">
        <v>-1.1919999999999999</v>
      </c>
      <c r="D24">
        <f t="shared" si="1"/>
        <v>2012</v>
      </c>
      <c r="E24">
        <f t="shared" si="2"/>
        <v>1</v>
      </c>
      <c r="G24" t="str">
        <f t="shared" si="0"/>
        <v>2012Q1</v>
      </c>
      <c r="H24" s="85">
        <f>'HIF1 costs'!$F$63*100</f>
        <v>2.2514745031290651</v>
      </c>
    </row>
    <row r="25" spans="1:8" x14ac:dyDescent="0.3">
      <c r="A25">
        <v>22</v>
      </c>
      <c r="B25">
        <v>2.5619999999999998</v>
      </c>
      <c r="D25">
        <f t="shared" si="1"/>
        <v>2012</v>
      </c>
      <c r="E25">
        <f t="shared" si="2"/>
        <v>2</v>
      </c>
      <c r="G25" t="str">
        <f t="shared" si="0"/>
        <v>2012Q2</v>
      </c>
      <c r="H25" s="85">
        <f>'HIF1 costs'!$F$63*100</f>
        <v>2.2514745031290651</v>
      </c>
    </row>
    <row r="26" spans="1:8" x14ac:dyDescent="0.3">
      <c r="A26">
        <v>23</v>
      </c>
      <c r="B26">
        <v>1.4419999999999999</v>
      </c>
      <c r="D26">
        <f t="shared" si="1"/>
        <v>2012</v>
      </c>
      <c r="E26">
        <f t="shared" si="2"/>
        <v>3</v>
      </c>
      <c r="G26" t="str">
        <f t="shared" si="0"/>
        <v>2012Q3</v>
      </c>
      <c r="H26" s="85">
        <f>'HIF1 costs'!$F$63*100</f>
        <v>2.2514745031290651</v>
      </c>
    </row>
    <row r="27" spans="1:8" x14ac:dyDescent="0.3">
      <c r="A27">
        <v>24</v>
      </c>
      <c r="B27">
        <v>1.32</v>
      </c>
      <c r="D27">
        <f t="shared" si="1"/>
        <v>2012</v>
      </c>
      <c r="E27">
        <f t="shared" si="2"/>
        <v>4</v>
      </c>
      <c r="G27" t="str">
        <f t="shared" si="0"/>
        <v>2012Q4</v>
      </c>
      <c r="H27" s="85">
        <f>'HIF1 costs'!$F$63*100</f>
        <v>2.2514745031290651</v>
      </c>
    </row>
    <row r="28" spans="1:8" x14ac:dyDescent="0.3">
      <c r="A28">
        <v>25</v>
      </c>
      <c r="B28">
        <v>8.5939999999999994</v>
      </c>
      <c r="D28">
        <f t="shared" si="1"/>
        <v>2013</v>
      </c>
      <c r="E28">
        <f t="shared" si="2"/>
        <v>1</v>
      </c>
      <c r="G28" t="str">
        <f t="shared" si="0"/>
        <v>2013Q1</v>
      </c>
      <c r="H28" s="85">
        <f>'HIF1 costs'!$F$63*100</f>
        <v>2.2514745031290651</v>
      </c>
    </row>
    <row r="29" spans="1:8" x14ac:dyDescent="0.3">
      <c r="A29">
        <v>26</v>
      </c>
      <c r="B29">
        <v>2.9580000000000002</v>
      </c>
      <c r="D29">
        <f t="shared" si="1"/>
        <v>2013</v>
      </c>
      <c r="E29">
        <f t="shared" si="2"/>
        <v>2</v>
      </c>
      <c r="G29" t="str">
        <f t="shared" si="0"/>
        <v>2013Q2</v>
      </c>
      <c r="H29" s="85">
        <f>'HIF1 costs'!$F$63*100</f>
        <v>2.2514745031290651</v>
      </c>
    </row>
    <row r="30" spans="1:8" x14ac:dyDescent="0.3">
      <c r="A30">
        <v>27</v>
      </c>
      <c r="B30">
        <v>4.2389999999999999</v>
      </c>
      <c r="D30">
        <f t="shared" si="1"/>
        <v>2013</v>
      </c>
      <c r="E30">
        <f t="shared" si="2"/>
        <v>3</v>
      </c>
      <c r="G30" t="str">
        <f t="shared" si="0"/>
        <v>2013Q3</v>
      </c>
      <c r="H30" s="85">
        <f>'HIF1 costs'!$F$63*100</f>
        <v>2.2514745031290651</v>
      </c>
    </row>
    <row r="31" spans="1:8" x14ac:dyDescent="0.3">
      <c r="A31">
        <v>28</v>
      </c>
      <c r="B31">
        <v>6.5289999999999999</v>
      </c>
      <c r="D31">
        <f t="shared" si="1"/>
        <v>2013</v>
      </c>
      <c r="E31">
        <f t="shared" si="2"/>
        <v>4</v>
      </c>
      <c r="G31" t="str">
        <f t="shared" si="0"/>
        <v>2013Q4</v>
      </c>
      <c r="H31" s="85">
        <f>'HIF1 costs'!$F$63*100</f>
        <v>2.2514745031290651</v>
      </c>
    </row>
    <row r="32" spans="1:8" x14ac:dyDescent="0.3">
      <c r="A32">
        <v>29</v>
      </c>
      <c r="B32">
        <v>5.8929999999999998</v>
      </c>
      <c r="D32">
        <f t="shared" si="1"/>
        <v>2014</v>
      </c>
      <c r="E32">
        <f t="shared" si="2"/>
        <v>1</v>
      </c>
      <c r="G32" t="str">
        <f t="shared" si="0"/>
        <v>2014Q1</v>
      </c>
      <c r="H32" s="85">
        <f>'HIF1 costs'!$F$63*100</f>
        <v>2.2514745031290651</v>
      </c>
    </row>
    <row r="33" spans="1:8" x14ac:dyDescent="0.3">
      <c r="A33">
        <v>30</v>
      </c>
      <c r="B33">
        <v>9.6519999999999992</v>
      </c>
      <c r="D33">
        <f t="shared" si="1"/>
        <v>2014</v>
      </c>
      <c r="E33">
        <f t="shared" si="2"/>
        <v>2</v>
      </c>
      <c r="G33" t="str">
        <f t="shared" si="0"/>
        <v>2014Q2</v>
      </c>
      <c r="H33" s="85">
        <f>'HIF1 costs'!$F$63*100</f>
        <v>2.2514745031290651</v>
      </c>
    </row>
    <row r="34" spans="1:8" x14ac:dyDescent="0.3">
      <c r="A34">
        <v>31</v>
      </c>
      <c r="B34">
        <v>10.59</v>
      </c>
      <c r="D34">
        <f t="shared" si="1"/>
        <v>2014</v>
      </c>
      <c r="E34">
        <f t="shared" si="2"/>
        <v>3</v>
      </c>
      <c r="G34" t="str">
        <f t="shared" si="0"/>
        <v>2014Q3</v>
      </c>
      <c r="H34" s="85">
        <f>'HIF1 costs'!$F$63*100</f>
        <v>2.2514745031290651</v>
      </c>
    </row>
    <row r="35" spans="1:8" x14ac:dyDescent="0.3">
      <c r="A35">
        <v>32</v>
      </c>
      <c r="B35">
        <v>8.3740000000000006</v>
      </c>
      <c r="D35">
        <f t="shared" si="1"/>
        <v>2014</v>
      </c>
      <c r="E35">
        <f t="shared" si="2"/>
        <v>4</v>
      </c>
      <c r="G35" t="str">
        <f t="shared" si="0"/>
        <v>2014Q4</v>
      </c>
      <c r="H35" s="85">
        <f>'HIF1 costs'!$F$63*100</f>
        <v>2.2514745031290651</v>
      </c>
    </row>
    <row r="36" spans="1:8" x14ac:dyDescent="0.3">
      <c r="A36">
        <v>33</v>
      </c>
      <c r="B36">
        <v>7.7140000000000004</v>
      </c>
      <c r="D36">
        <f t="shared" si="1"/>
        <v>2015</v>
      </c>
      <c r="E36">
        <f t="shared" si="2"/>
        <v>1</v>
      </c>
      <c r="G36" t="str">
        <f t="shared" si="0"/>
        <v>2015Q1</v>
      </c>
      <c r="H36" s="85">
        <f>'HIF1 costs'!$F$63*100</f>
        <v>2.2514745031290651</v>
      </c>
    </row>
    <row r="37" spans="1:8" x14ac:dyDescent="0.3">
      <c r="A37">
        <v>34</v>
      </c>
      <c r="B37">
        <v>5.1449999999999996</v>
      </c>
      <c r="D37">
        <f t="shared" si="1"/>
        <v>2015</v>
      </c>
      <c r="E37">
        <f t="shared" si="2"/>
        <v>2</v>
      </c>
      <c r="G37" t="str">
        <f t="shared" si="0"/>
        <v>2015Q2</v>
      </c>
      <c r="H37" s="85">
        <f>'HIF1 costs'!$F$63*100</f>
        <v>2.2514745031290651</v>
      </c>
    </row>
    <row r="38" spans="1:8" x14ac:dyDescent="0.3">
      <c r="A38">
        <v>35</v>
      </c>
      <c r="B38">
        <v>5.2569999999999997</v>
      </c>
      <c r="D38">
        <f t="shared" si="1"/>
        <v>2015</v>
      </c>
      <c r="E38">
        <f t="shared" si="2"/>
        <v>3</v>
      </c>
      <c r="G38" t="str">
        <f t="shared" si="0"/>
        <v>2015Q3</v>
      </c>
      <c r="H38" s="85">
        <f>'HIF1 costs'!$F$63*100</f>
        <v>2.2514745031290651</v>
      </c>
    </row>
    <row r="39" spans="1:8" x14ac:dyDescent="0.3">
      <c r="A39">
        <v>36</v>
      </c>
      <c r="B39">
        <v>4.3310000000000004</v>
      </c>
      <c r="D39">
        <f t="shared" si="1"/>
        <v>2015</v>
      </c>
      <c r="E39">
        <f t="shared" si="2"/>
        <v>4</v>
      </c>
      <c r="G39" t="str">
        <f t="shared" si="0"/>
        <v>2015Q4</v>
      </c>
      <c r="H39" s="85">
        <f>'HIF1 costs'!$F$63*100</f>
        <v>2.2514745031290651</v>
      </c>
    </row>
    <row r="40" spans="1:8" x14ac:dyDescent="0.3">
      <c r="A40">
        <v>37</v>
      </c>
      <c r="B40">
        <v>3.601</v>
      </c>
      <c r="D40">
        <f t="shared" si="1"/>
        <v>2016</v>
      </c>
      <c r="E40">
        <f t="shared" si="2"/>
        <v>1</v>
      </c>
      <c r="G40" t="str">
        <f t="shared" si="0"/>
        <v>2016Q1</v>
      </c>
      <c r="H40" s="85">
        <f>'HIF1 costs'!$F$63*100</f>
        <v>2.2514745031290651</v>
      </c>
    </row>
    <row r="41" spans="1:8" x14ac:dyDescent="0.3">
      <c r="A41">
        <v>38</v>
      </c>
      <c r="B41">
        <v>3.7970000000000002</v>
      </c>
      <c r="D41">
        <f t="shared" si="1"/>
        <v>2016</v>
      </c>
      <c r="E41">
        <f t="shared" si="2"/>
        <v>2</v>
      </c>
      <c r="G41" t="str">
        <f t="shared" si="0"/>
        <v>2016Q2</v>
      </c>
      <c r="H41" s="85">
        <f>'HIF1 costs'!$F$63*100</f>
        <v>2.2514745031290651</v>
      </c>
    </row>
    <row r="42" spans="1:8" x14ac:dyDescent="0.3">
      <c r="A42">
        <v>39</v>
      </c>
      <c r="B42">
        <v>3.9009999999999998</v>
      </c>
      <c r="D42">
        <f t="shared" si="1"/>
        <v>2016</v>
      </c>
      <c r="E42">
        <f t="shared" si="2"/>
        <v>3</v>
      </c>
      <c r="G42" t="str">
        <f t="shared" si="0"/>
        <v>2016Q3</v>
      </c>
      <c r="H42" s="85">
        <f>'HIF1 costs'!$F$63*100</f>
        <v>2.2514745031290651</v>
      </c>
    </row>
    <row r="43" spans="1:8" x14ac:dyDescent="0.3">
      <c r="A43">
        <v>40</v>
      </c>
      <c r="B43">
        <v>7.7309999999999999</v>
      </c>
      <c r="D43">
        <f t="shared" si="1"/>
        <v>2016</v>
      </c>
      <c r="E43">
        <f t="shared" si="2"/>
        <v>4</v>
      </c>
      <c r="G43" t="str">
        <f t="shared" si="0"/>
        <v>2016Q4</v>
      </c>
      <c r="H43" s="85">
        <f>'HIF1 costs'!$F$63*100</f>
        <v>2.2514745031290651</v>
      </c>
    </row>
    <row r="44" spans="1:8" x14ac:dyDescent="0.3">
      <c r="A44">
        <v>41</v>
      </c>
      <c r="B44">
        <v>9.3089999999999993</v>
      </c>
      <c r="D44">
        <f t="shared" si="1"/>
        <v>2017</v>
      </c>
      <c r="E44">
        <f t="shared" si="2"/>
        <v>1</v>
      </c>
      <c r="G44" t="str">
        <f t="shared" si="0"/>
        <v>2017Q1</v>
      </c>
      <c r="H44" s="85">
        <f>'HIF1 costs'!$F$63*100</f>
        <v>2.2514745031290651</v>
      </c>
    </row>
    <row r="45" spans="1:8" x14ac:dyDescent="0.3">
      <c r="A45">
        <v>42</v>
      </c>
      <c r="B45">
        <v>8.9469999999999992</v>
      </c>
      <c r="D45">
        <f t="shared" si="1"/>
        <v>2017</v>
      </c>
      <c r="E45">
        <f t="shared" si="2"/>
        <v>2</v>
      </c>
      <c r="G45" t="str">
        <f t="shared" si="0"/>
        <v>2017Q2</v>
      </c>
      <c r="H45" s="85">
        <f>'HIF1 costs'!$F$63*100</f>
        <v>2.2514745031290651</v>
      </c>
    </row>
    <row r="46" spans="1:8" x14ac:dyDescent="0.3">
      <c r="A46">
        <v>43</v>
      </c>
      <c r="B46">
        <v>8.9600000000000009</v>
      </c>
      <c r="D46">
        <f t="shared" si="1"/>
        <v>2017</v>
      </c>
      <c r="E46">
        <f t="shared" si="2"/>
        <v>3</v>
      </c>
      <c r="G46" t="str">
        <f t="shared" si="0"/>
        <v>2017Q3</v>
      </c>
      <c r="H46" s="85">
        <f>'HIF1 costs'!$F$63*100</f>
        <v>2.2514745031290651</v>
      </c>
    </row>
    <row r="47" spans="1:8" x14ac:dyDescent="0.3">
      <c r="A47">
        <v>44</v>
      </c>
      <c r="B47">
        <v>8.9109999999999996</v>
      </c>
      <c r="D47">
        <f t="shared" si="1"/>
        <v>2017</v>
      </c>
      <c r="E47">
        <f t="shared" si="2"/>
        <v>4</v>
      </c>
      <c r="G47" t="str">
        <f t="shared" si="0"/>
        <v>2017Q4</v>
      </c>
      <c r="H47" s="85">
        <f>'HIF1 costs'!$F$63*100</f>
        <v>2.2514745031290651</v>
      </c>
    </row>
    <row r="48" spans="1:8" x14ac:dyDescent="0.3">
      <c r="A48">
        <v>45</v>
      </c>
      <c r="B48">
        <v>8.2799999999999994</v>
      </c>
      <c r="D48">
        <f t="shared" si="1"/>
        <v>2018</v>
      </c>
      <c r="E48">
        <f t="shared" si="2"/>
        <v>1</v>
      </c>
      <c r="G48" t="str">
        <f t="shared" si="0"/>
        <v>2018Q1</v>
      </c>
      <c r="H48" s="85">
        <f>'HIF1 costs'!$F$63*100</f>
        <v>2.2514745031290651</v>
      </c>
    </row>
    <row r="49" spans="1:8" x14ac:dyDescent="0.3">
      <c r="A49">
        <v>46</v>
      </c>
      <c r="B49">
        <v>6.3319999999999999</v>
      </c>
      <c r="D49">
        <f t="shared" si="1"/>
        <v>2018</v>
      </c>
      <c r="E49">
        <f t="shared" si="2"/>
        <v>2</v>
      </c>
      <c r="G49" t="str">
        <f t="shared" si="0"/>
        <v>2018Q2</v>
      </c>
      <c r="H49" s="85">
        <f>'HIF1 costs'!$F$63*100</f>
        <v>2.2514745031290651</v>
      </c>
    </row>
    <row r="50" spans="1:8" x14ac:dyDescent="0.3">
      <c r="A50">
        <v>47</v>
      </c>
      <c r="B50">
        <v>6.4909999999999997</v>
      </c>
      <c r="D50">
        <f t="shared" si="1"/>
        <v>2018</v>
      </c>
      <c r="E50">
        <f t="shared" si="2"/>
        <v>3</v>
      </c>
      <c r="G50" t="str">
        <f t="shared" si="0"/>
        <v>2018Q3</v>
      </c>
      <c r="H50" s="85">
        <f>'HIF1 costs'!$F$63*100</f>
        <v>2.2514745031290651</v>
      </c>
    </row>
    <row r="51" spans="1:8" x14ac:dyDescent="0.3">
      <c r="A51">
        <v>48</v>
      </c>
      <c r="B51">
        <v>4.1970000000000001</v>
      </c>
      <c r="D51">
        <f t="shared" si="1"/>
        <v>2018</v>
      </c>
      <c r="E51">
        <f t="shared" si="2"/>
        <v>4</v>
      </c>
      <c r="G51" t="str">
        <f t="shared" si="0"/>
        <v>2018Q4</v>
      </c>
      <c r="H51" s="85">
        <f>'HIF1 costs'!$F$63*100</f>
        <v>2.2514745031290651</v>
      </c>
    </row>
    <row r="52" spans="1:8" x14ac:dyDescent="0.3">
      <c r="A52">
        <v>49</v>
      </c>
      <c r="B52">
        <v>1.6870000000000001</v>
      </c>
      <c r="D52">
        <f t="shared" si="1"/>
        <v>2019</v>
      </c>
      <c r="E52">
        <f t="shared" si="2"/>
        <v>1</v>
      </c>
      <c r="G52" t="str">
        <f t="shared" si="0"/>
        <v>2019Q1</v>
      </c>
      <c r="H52" s="85">
        <f>'HIF1 costs'!$F$63*100</f>
        <v>2.2514745031290651</v>
      </c>
    </row>
    <row r="53" spans="1:8" x14ac:dyDescent="0.3">
      <c r="A53">
        <v>50</v>
      </c>
      <c r="B53">
        <v>2.657</v>
      </c>
      <c r="D53">
        <f t="shared" si="1"/>
        <v>2019</v>
      </c>
      <c r="E53">
        <f t="shared" si="2"/>
        <v>2</v>
      </c>
      <c r="G53" t="str">
        <f t="shared" si="0"/>
        <v>2019Q2</v>
      </c>
      <c r="H53" s="85">
        <f>'HIF1 costs'!$F$63*100</f>
        <v>2.2514745031290651</v>
      </c>
    </row>
    <row r="54" spans="1:8" x14ac:dyDescent="0.3">
      <c r="A54">
        <v>51</v>
      </c>
      <c r="B54">
        <v>2.4020000000000001</v>
      </c>
      <c r="D54">
        <f t="shared" si="1"/>
        <v>2019</v>
      </c>
      <c r="E54">
        <f t="shared" si="2"/>
        <v>3</v>
      </c>
      <c r="G54" t="str">
        <f t="shared" si="0"/>
        <v>2019Q3</v>
      </c>
      <c r="H54" s="85">
        <f>'HIF1 costs'!$F$63*100</f>
        <v>2.2514745031290651</v>
      </c>
    </row>
    <row r="55" spans="1:8" x14ac:dyDescent="0.3">
      <c r="A55">
        <v>52</v>
      </c>
      <c r="B55">
        <v>1.099</v>
      </c>
      <c r="D55">
        <f t="shared" si="1"/>
        <v>2019</v>
      </c>
      <c r="E55">
        <f t="shared" si="2"/>
        <v>4</v>
      </c>
      <c r="G55" t="str">
        <f t="shared" si="0"/>
        <v>2019Q4</v>
      </c>
      <c r="H55" s="85">
        <f>'HIF1 costs'!$F$63*100</f>
        <v>2.2514745031290651</v>
      </c>
    </row>
    <row r="56" spans="1:8" x14ac:dyDescent="0.3">
      <c r="A56">
        <v>53</v>
      </c>
      <c r="B56">
        <v>1.0369999999999999</v>
      </c>
      <c r="D56">
        <f t="shared" si="1"/>
        <v>2020</v>
      </c>
      <c r="E56">
        <f t="shared" si="2"/>
        <v>1</v>
      </c>
      <c r="G56" t="str">
        <f t="shared" si="0"/>
        <v>2020Q1</v>
      </c>
      <c r="H56" s="85">
        <f>'HIF1 costs'!$F$63*100</f>
        <v>2.2514745031290651</v>
      </c>
    </row>
    <row r="57" spans="1:8" x14ac:dyDescent="0.3">
      <c r="A57">
        <v>54</v>
      </c>
      <c r="B57">
        <v>-0.24299999999999999</v>
      </c>
      <c r="D57">
        <f t="shared" si="1"/>
        <v>2020</v>
      </c>
      <c r="E57">
        <f t="shared" si="2"/>
        <v>2</v>
      </c>
      <c r="G57" t="str">
        <f t="shared" si="0"/>
        <v>2020Q2</v>
      </c>
      <c r="H57" s="85">
        <f>'HIF1 costs'!$F$63*100</f>
        <v>2.2514745031290651</v>
      </c>
    </row>
    <row r="58" spans="1:8" x14ac:dyDescent="0.3">
      <c r="A58">
        <v>55</v>
      </c>
      <c r="B58">
        <v>-1.393</v>
      </c>
      <c r="D58">
        <f t="shared" si="1"/>
        <v>2020</v>
      </c>
      <c r="E58">
        <f t="shared" si="2"/>
        <v>3</v>
      </c>
      <c r="G58" t="str">
        <f t="shared" si="0"/>
        <v>2020Q3</v>
      </c>
      <c r="H58" s="85">
        <f>'HIF1 costs'!$F$63*100</f>
        <v>2.2514745031290651</v>
      </c>
    </row>
    <row r="59" spans="1:8" x14ac:dyDescent="0.3">
      <c r="A59">
        <v>56</v>
      </c>
      <c r="B59">
        <v>-1.619</v>
      </c>
      <c r="D59">
        <f t="shared" si="1"/>
        <v>2020</v>
      </c>
      <c r="E59">
        <f t="shared" si="2"/>
        <v>4</v>
      </c>
      <c r="G59" t="str">
        <f t="shared" si="0"/>
        <v>2020Q4</v>
      </c>
      <c r="H59" s="85">
        <f>'HIF1 costs'!$F$63*100</f>
        <v>2.2514745031290651</v>
      </c>
    </row>
    <row r="60" spans="1:8" x14ac:dyDescent="0.3">
      <c r="A60">
        <v>57</v>
      </c>
      <c r="B60">
        <v>-1.857</v>
      </c>
      <c r="D60">
        <f t="shared" si="1"/>
        <v>2021</v>
      </c>
      <c r="E60">
        <f t="shared" si="2"/>
        <v>1</v>
      </c>
      <c r="G60" t="str">
        <f t="shared" si="0"/>
        <v>2021Q1</v>
      </c>
      <c r="H60" s="85">
        <f>'HIF1 costs'!$F$63*100</f>
        <v>2.2514745031290651</v>
      </c>
    </row>
    <row r="61" spans="1:8" x14ac:dyDescent="0.3">
      <c r="A61">
        <v>58</v>
      </c>
      <c r="B61">
        <v>-0.67200000000000004</v>
      </c>
      <c r="D61">
        <f t="shared" si="1"/>
        <v>2021</v>
      </c>
      <c r="E61">
        <f t="shared" si="2"/>
        <v>2</v>
      </c>
      <c r="G61" t="str">
        <f t="shared" si="0"/>
        <v>2021Q2</v>
      </c>
      <c r="H61" s="85">
        <f>'HIF1 costs'!$F$63*100</f>
        <v>2.2514745031290651</v>
      </c>
    </row>
    <row r="62" spans="1:8" x14ac:dyDescent="0.3">
      <c r="A62">
        <v>59</v>
      </c>
      <c r="B62">
        <v>3.2</v>
      </c>
      <c r="D62">
        <f t="shared" si="1"/>
        <v>2021</v>
      </c>
      <c r="E62">
        <f t="shared" si="2"/>
        <v>3</v>
      </c>
      <c r="G62" t="str">
        <f t="shared" si="0"/>
        <v>2021Q3</v>
      </c>
      <c r="H62" s="85">
        <f>'HIF1 costs'!$F$63*100</f>
        <v>2.2514745031290651</v>
      </c>
    </row>
    <row r="63" spans="1:8" x14ac:dyDescent="0.3">
      <c r="A63">
        <v>60</v>
      </c>
      <c r="B63">
        <v>5.1440000000000001</v>
      </c>
      <c r="D63">
        <f t="shared" si="1"/>
        <v>2021</v>
      </c>
      <c r="E63">
        <f t="shared" si="2"/>
        <v>4</v>
      </c>
      <c r="G63" t="str">
        <f t="shared" si="0"/>
        <v>2021Q4</v>
      </c>
      <c r="H63" s="85">
        <f>'HIF1 costs'!$F$63*100</f>
        <v>2.2514745031290651</v>
      </c>
    </row>
    <row r="64" spans="1:8" x14ac:dyDescent="0.3">
      <c r="A64">
        <v>61</v>
      </c>
      <c r="B64">
        <v>6.7160000000000002</v>
      </c>
      <c r="D64">
        <f t="shared" si="1"/>
        <v>2022</v>
      </c>
      <c r="E64">
        <f t="shared" si="2"/>
        <v>1</v>
      </c>
      <c r="G64" t="str">
        <f t="shared" si="0"/>
        <v>2022Q1</v>
      </c>
      <c r="H64" s="85">
        <f>'HIF1 costs'!$F$63*100</f>
        <v>2.2514745031290651</v>
      </c>
    </row>
    <row r="65" spans="1:8" x14ac:dyDescent="0.3">
      <c r="A65">
        <v>62</v>
      </c>
      <c r="B65">
        <v>10.141</v>
      </c>
      <c r="D65">
        <f t="shared" si="1"/>
        <v>2022</v>
      </c>
      <c r="E65">
        <f t="shared" si="2"/>
        <v>2</v>
      </c>
      <c r="G65" t="str">
        <f t="shared" si="0"/>
        <v>2022Q2</v>
      </c>
      <c r="H65" s="85">
        <f>'HIF1 costs'!$F$63*100</f>
        <v>2.2514745031290651</v>
      </c>
    </row>
    <row r="66" spans="1:8" x14ac:dyDescent="0.3">
      <c r="A66">
        <v>63</v>
      </c>
      <c r="B66">
        <v>9.4380000000000006</v>
      </c>
      <c r="D66">
        <f t="shared" si="1"/>
        <v>2022</v>
      </c>
      <c r="E66">
        <f t="shared" si="2"/>
        <v>3</v>
      </c>
      <c r="G66" t="str">
        <f t="shared" si="0"/>
        <v>2022Q3</v>
      </c>
      <c r="H66" s="85">
        <f>'HIF1 costs'!$F$63*100</f>
        <v>2.2514745031290651</v>
      </c>
    </row>
    <row r="67" spans="1:8" x14ac:dyDescent="0.3">
      <c r="A67">
        <v>64</v>
      </c>
      <c r="B67">
        <v>9.0879999999999992</v>
      </c>
      <c r="D67">
        <f t="shared" si="1"/>
        <v>2022</v>
      </c>
      <c r="E67">
        <f t="shared" si="2"/>
        <v>4</v>
      </c>
      <c r="G67" t="str">
        <f t="shared" si="0"/>
        <v>2022Q4</v>
      </c>
      <c r="H67" s="85">
        <f>'HIF1 costs'!$F$63*100</f>
        <v>2.2514745031290651</v>
      </c>
    </row>
    <row r="68" spans="1:8" x14ac:dyDescent="0.3">
      <c r="A68">
        <v>65</v>
      </c>
      <c r="B68">
        <v>8.2430000000000003</v>
      </c>
      <c r="D68">
        <f t="shared" si="1"/>
        <v>2023</v>
      </c>
      <c r="E68">
        <f t="shared" si="2"/>
        <v>1</v>
      </c>
      <c r="G68" t="str">
        <f t="shared" si="0"/>
        <v>2023Q1</v>
      </c>
      <c r="H68" s="85">
        <f>'HIF1 costs'!$F$63*100</f>
        <v>2.2514745031290651</v>
      </c>
    </row>
    <row r="69" spans="1:8" x14ac:dyDescent="0.3">
      <c r="A69">
        <v>66</v>
      </c>
      <c r="B69">
        <v>4.8129999999999997</v>
      </c>
      <c r="D69">
        <f t="shared" si="1"/>
        <v>2023</v>
      </c>
      <c r="E69">
        <f t="shared" si="2"/>
        <v>2</v>
      </c>
      <c r="G69" t="str">
        <f t="shared" ref="G69:G89" si="3">D69&amp;"Q"&amp;E69</f>
        <v>2023Q2</v>
      </c>
      <c r="H69" s="85">
        <f>'HIF1 costs'!$F$63*100</f>
        <v>2.2514745031290651</v>
      </c>
    </row>
    <row r="70" spans="1:8" x14ac:dyDescent="0.3">
      <c r="A70">
        <v>67</v>
      </c>
      <c r="B70">
        <v>4.077</v>
      </c>
      <c r="D70">
        <f t="shared" si="1"/>
        <v>2023</v>
      </c>
      <c r="E70">
        <f t="shared" si="2"/>
        <v>3</v>
      </c>
      <c r="G70" t="str">
        <f t="shared" si="3"/>
        <v>2023Q3</v>
      </c>
      <c r="H70" s="85">
        <f>'HIF1 costs'!$F$63*100</f>
        <v>2.2514745031290651</v>
      </c>
    </row>
    <row r="71" spans="1:8" x14ac:dyDescent="0.3">
      <c r="A71">
        <v>68</v>
      </c>
      <c r="B71">
        <v>3.5830000000000002</v>
      </c>
      <c r="D71">
        <f t="shared" si="1"/>
        <v>2023</v>
      </c>
      <c r="E71">
        <f t="shared" si="2"/>
        <v>4</v>
      </c>
      <c r="G71" t="str">
        <f t="shared" si="3"/>
        <v>2023Q4</v>
      </c>
      <c r="H71" s="85">
        <f>'HIF1 costs'!$F$63*100</f>
        <v>2.2514745031290651</v>
      </c>
    </row>
    <row r="72" spans="1:8" x14ac:dyDescent="0.3">
      <c r="A72">
        <v>69</v>
      </c>
      <c r="B72">
        <v>3</v>
      </c>
      <c r="D72">
        <f t="shared" si="1"/>
        <v>2024</v>
      </c>
      <c r="E72">
        <f t="shared" si="2"/>
        <v>1</v>
      </c>
      <c r="G72" t="str">
        <f t="shared" si="3"/>
        <v>2024Q1</v>
      </c>
      <c r="H72" s="85">
        <f>'HIF1 costs'!$F$63*100</f>
        <v>2.2514745031290651</v>
      </c>
    </row>
    <row r="73" spans="1:8" x14ac:dyDescent="0.3">
      <c r="A73">
        <v>70</v>
      </c>
      <c r="B73">
        <v>2.456</v>
      </c>
      <c r="D73">
        <f t="shared" ref="D73:D89" si="4">D69+1</f>
        <v>2024</v>
      </c>
      <c r="E73">
        <f t="shared" ref="E73:E89" si="5">E69</f>
        <v>2</v>
      </c>
      <c r="G73" t="str">
        <f t="shared" si="3"/>
        <v>2024Q2</v>
      </c>
      <c r="H73" s="85">
        <f>'HIF1 costs'!$F$63*100</f>
        <v>2.2514745031290651</v>
      </c>
    </row>
    <row r="74" spans="1:8" x14ac:dyDescent="0.3">
      <c r="A74">
        <v>71</v>
      </c>
      <c r="B74">
        <v>2.2509999999999999</v>
      </c>
      <c r="D74">
        <f t="shared" si="4"/>
        <v>2024</v>
      </c>
      <c r="E74">
        <f t="shared" si="5"/>
        <v>3</v>
      </c>
      <c r="G74" t="str">
        <f t="shared" si="3"/>
        <v>2024Q3</v>
      </c>
      <c r="H74" s="85">
        <f>'HIF1 costs'!$F$63*100</f>
        <v>2.2514745031290651</v>
      </c>
    </row>
    <row r="75" spans="1:8" x14ac:dyDescent="0.3">
      <c r="A75">
        <v>72</v>
      </c>
      <c r="B75">
        <v>3.2570000000000001</v>
      </c>
      <c r="D75">
        <f t="shared" si="4"/>
        <v>2024</v>
      </c>
      <c r="E75">
        <f t="shared" si="5"/>
        <v>4</v>
      </c>
      <c r="G75" t="str">
        <f t="shared" si="3"/>
        <v>2024Q4</v>
      </c>
      <c r="H75" s="85">
        <f>'HIF1 costs'!$F$63*100</f>
        <v>2.2514745031290651</v>
      </c>
    </row>
    <row r="76" spans="1:8" x14ac:dyDescent="0.3">
      <c r="A76">
        <v>73</v>
      </c>
      <c r="B76">
        <v>3.7429999999999999</v>
      </c>
      <c r="D76">
        <f t="shared" si="4"/>
        <v>2025</v>
      </c>
      <c r="E76">
        <f t="shared" si="5"/>
        <v>1</v>
      </c>
      <c r="G76" t="str">
        <f t="shared" si="3"/>
        <v>2025Q1</v>
      </c>
      <c r="H76" s="85">
        <f>'HIF1 costs'!$F$63*100</f>
        <v>2.2514745031290651</v>
      </c>
    </row>
    <row r="77" spans="1:8" x14ac:dyDescent="0.3">
      <c r="A77">
        <v>74</v>
      </c>
      <c r="B77">
        <v>4.1189999999999998</v>
      </c>
      <c r="D77">
        <f t="shared" si="4"/>
        <v>2025</v>
      </c>
      <c r="E77">
        <f t="shared" si="5"/>
        <v>2</v>
      </c>
      <c r="G77" t="str">
        <f t="shared" si="3"/>
        <v>2025Q2</v>
      </c>
      <c r="H77" s="85">
        <f>'HIF1 costs'!$F$63*100</f>
        <v>2.2514745031290651</v>
      </c>
    </row>
    <row r="78" spans="1:8" x14ac:dyDescent="0.3">
      <c r="A78">
        <v>75</v>
      </c>
      <c r="B78">
        <v>3.6760000000000002</v>
      </c>
      <c r="D78">
        <f t="shared" si="4"/>
        <v>2025</v>
      </c>
      <c r="E78">
        <f t="shared" si="5"/>
        <v>3</v>
      </c>
      <c r="G78" t="str">
        <f t="shared" si="3"/>
        <v>2025Q3</v>
      </c>
      <c r="H78" s="85">
        <f>'HIF1 costs'!$F$63*100</f>
        <v>2.2514745031290651</v>
      </c>
    </row>
    <row r="79" spans="1:8" x14ac:dyDescent="0.3">
      <c r="A79">
        <v>76</v>
      </c>
      <c r="B79">
        <v>3.573</v>
      </c>
      <c r="D79">
        <f t="shared" si="4"/>
        <v>2025</v>
      </c>
      <c r="E79">
        <f t="shared" si="5"/>
        <v>4</v>
      </c>
      <c r="G79" t="str">
        <f t="shared" si="3"/>
        <v>2025Q4</v>
      </c>
      <c r="H79" s="85">
        <f>'HIF1 costs'!$F$63*100</f>
        <v>2.2514745031290651</v>
      </c>
    </row>
    <row r="80" spans="1:8" x14ac:dyDescent="0.3">
      <c r="A80">
        <v>77</v>
      </c>
      <c r="B80">
        <v>3.5230000000000001</v>
      </c>
      <c r="D80">
        <f t="shared" si="4"/>
        <v>2026</v>
      </c>
      <c r="E80">
        <f t="shared" si="5"/>
        <v>1</v>
      </c>
      <c r="G80" t="str">
        <f t="shared" si="3"/>
        <v>2026Q1</v>
      </c>
      <c r="H80" s="85">
        <f>'HIF1 costs'!$F$63*100</f>
        <v>2.2514745031290651</v>
      </c>
    </row>
    <row r="81" spans="1:8" x14ac:dyDescent="0.3">
      <c r="A81">
        <v>78</v>
      </c>
      <c r="B81">
        <v>3.1930000000000001</v>
      </c>
      <c r="D81">
        <f t="shared" si="4"/>
        <v>2026</v>
      </c>
      <c r="E81">
        <f t="shared" si="5"/>
        <v>2</v>
      </c>
      <c r="G81" t="str">
        <f t="shared" si="3"/>
        <v>2026Q2</v>
      </c>
      <c r="H81" s="85">
        <f>'HIF1 costs'!$F$63*100</f>
        <v>2.2514745031290651</v>
      </c>
    </row>
    <row r="82" spans="1:8" x14ac:dyDescent="0.3">
      <c r="A82">
        <v>79</v>
      </c>
      <c r="B82">
        <v>3.7570000000000001</v>
      </c>
      <c r="D82">
        <f t="shared" si="4"/>
        <v>2026</v>
      </c>
      <c r="E82">
        <f t="shared" si="5"/>
        <v>3</v>
      </c>
      <c r="G82" t="str">
        <f t="shared" si="3"/>
        <v>2026Q3</v>
      </c>
      <c r="H82" s="85">
        <f>'HIF1 costs'!$F$63*100</f>
        <v>2.2514745031290651</v>
      </c>
    </row>
    <row r="83" spans="1:8" x14ac:dyDescent="0.3">
      <c r="A83">
        <v>80</v>
      </c>
      <c r="B83">
        <v>3.1970000000000001</v>
      </c>
      <c r="D83">
        <f t="shared" si="4"/>
        <v>2026</v>
      </c>
      <c r="E83">
        <f t="shared" si="5"/>
        <v>4</v>
      </c>
      <c r="G83" t="str">
        <f t="shared" si="3"/>
        <v>2026Q4</v>
      </c>
      <c r="H83" s="85">
        <f>'HIF1 costs'!$F$63*100</f>
        <v>2.2514745031290651</v>
      </c>
    </row>
    <row r="84" spans="1:8" x14ac:dyDescent="0.3">
      <c r="A84">
        <v>81</v>
      </c>
      <c r="B84">
        <v>3.7149999999999999</v>
      </c>
      <c r="D84">
        <f t="shared" si="4"/>
        <v>2027</v>
      </c>
      <c r="E84">
        <f t="shared" si="5"/>
        <v>1</v>
      </c>
      <c r="G84" t="str">
        <f t="shared" si="3"/>
        <v>2027Q1</v>
      </c>
      <c r="H84" s="85">
        <f>'HIF1 costs'!$F$63*100</f>
        <v>2.2514745031290651</v>
      </c>
    </row>
    <row r="85" spans="1:8" x14ac:dyDescent="0.3">
      <c r="A85">
        <v>82</v>
      </c>
      <c r="B85">
        <v>3.738</v>
      </c>
      <c r="D85">
        <f t="shared" si="4"/>
        <v>2027</v>
      </c>
      <c r="E85">
        <f t="shared" si="5"/>
        <v>2</v>
      </c>
      <c r="G85" t="str">
        <f t="shared" si="3"/>
        <v>2027Q2</v>
      </c>
      <c r="H85" s="85">
        <f>'HIF1 costs'!$F$63*100</f>
        <v>2.2514745031290651</v>
      </c>
    </row>
    <row r="86" spans="1:8" x14ac:dyDescent="0.3">
      <c r="A86">
        <v>83</v>
      </c>
      <c r="B86">
        <v>3.7290000000000001</v>
      </c>
      <c r="D86">
        <f t="shared" si="4"/>
        <v>2027</v>
      </c>
      <c r="E86">
        <f t="shared" si="5"/>
        <v>3</v>
      </c>
      <c r="G86" t="str">
        <f t="shared" si="3"/>
        <v>2027Q3</v>
      </c>
      <c r="H86" s="85">
        <f>'HIF1 costs'!$F$63*100</f>
        <v>2.2514745031290651</v>
      </c>
    </row>
    <row r="87" spans="1:8" x14ac:dyDescent="0.3">
      <c r="A87">
        <v>84</v>
      </c>
      <c r="B87">
        <v>3.5259999999999998</v>
      </c>
      <c r="D87">
        <f t="shared" si="4"/>
        <v>2027</v>
      </c>
      <c r="E87">
        <f t="shared" si="5"/>
        <v>4</v>
      </c>
      <c r="G87" t="str">
        <f t="shared" si="3"/>
        <v>2027Q4</v>
      </c>
      <c r="H87" s="85">
        <f>'HIF1 costs'!$F$63*100</f>
        <v>2.2514745031290651</v>
      </c>
    </row>
    <row r="88" spans="1:8" x14ac:dyDescent="0.3">
      <c r="A88">
        <v>85</v>
      </c>
      <c r="B88">
        <v>3.6019999999999999</v>
      </c>
      <c r="D88">
        <f t="shared" si="4"/>
        <v>2028</v>
      </c>
      <c r="E88">
        <f t="shared" si="5"/>
        <v>1</v>
      </c>
      <c r="G88" t="str">
        <f t="shared" si="3"/>
        <v>2028Q1</v>
      </c>
      <c r="H88" s="85">
        <f>'HIF1 costs'!$F$63*100</f>
        <v>2.2514745031290651</v>
      </c>
    </row>
    <row r="89" spans="1:8" x14ac:dyDescent="0.3">
      <c r="A89">
        <v>86</v>
      </c>
      <c r="B89">
        <v>3.6709999999999998</v>
      </c>
      <c r="D89">
        <f t="shared" si="4"/>
        <v>2028</v>
      </c>
      <c r="E89">
        <f t="shared" si="5"/>
        <v>2</v>
      </c>
      <c r="G89" t="str">
        <f t="shared" si="3"/>
        <v>2028Q2</v>
      </c>
      <c r="H89" s="85">
        <f>'HIF1 costs'!$F$63*100</f>
        <v>2.2514745031290651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BE7A6-4E56-4DB2-8A87-50681E9192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HIF1 costs</vt:lpstr>
      <vt:lpstr>Inputs&gt;&gt;</vt:lpstr>
      <vt:lpstr>bcis tpi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Xen Ng</dc:creator>
  <cp:lastModifiedBy>Chien Xen Ng</cp:lastModifiedBy>
  <dcterms:created xsi:type="dcterms:W3CDTF">2023-11-26T10:07:39Z</dcterms:created>
  <dcterms:modified xsi:type="dcterms:W3CDTF">2023-12-29T18:22:30Z</dcterms:modified>
</cp:coreProperties>
</file>